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drawings/drawing4.xml" ContentType="application/vnd.openxmlformats-officedocument.drawing+xml"/>
  <Override PartName="/xl/worksheets/sheet36.xml" ContentType="application/vnd.openxmlformats-officedocument.spreadsheetml.worksheet+xml"/>
  <Override PartName="/xl/drawings/drawing5.xml" ContentType="application/vnd.openxmlformats-officedocument.drawing+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drawings/drawing6.xml" ContentType="application/vnd.openxmlformats-officedocument.drawing+xml"/>
  <Override PartName="/xl/worksheets/sheet48.xml" ContentType="application/vnd.openxmlformats-officedocument.spreadsheetml.worksheet+xml"/>
  <Override PartName="/xl/drawings/drawing7.xml" ContentType="application/vnd.openxmlformats-officedocument.drawing+xml"/>
  <Override PartName="/xl/worksheets/sheet49.xml" ContentType="application/vnd.openxmlformats-officedocument.spreadsheetml.worksheet+xml"/>
  <Override PartName="/xl/drawings/drawing8.xml" ContentType="application/vnd.openxmlformats-officedocument.drawing+xml"/>
  <Override PartName="/xl/worksheets/sheet50.xml" ContentType="application/vnd.openxmlformats-officedocument.spreadsheetml.worksheet+xml"/>
  <Override PartName="/xl/worksheets/sheet51.xml" ContentType="application/vnd.openxmlformats-officedocument.spreadsheetml.worksheet+xml"/>
  <Override PartName="/xl/comments2.xml" ContentType="application/vnd.openxmlformats-officedocument.spreadsheetml.comments+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comments3.xml" ContentType="application/vnd.openxmlformats-officedocument.spreadsheetml.comments+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2" firstSheet="26" activeTab="26"/>
  </bookViews>
  <sheets>
    <sheet name="Инструкция" sheetId="1" r:id="rId2"/>
    <sheet name="Титульный" sheetId="2" r:id="rId3"/>
    <sheet name="Список территорий" sheetId="3" r:id="rId4"/>
    <sheet name="Дифференциация" sheetId="4" state="hidden" r:id="rId5"/>
    <sheet name="Перечень тарифов" sheetId="5"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ТС. Т-ТЭ | &gt;=25МВт" sheetId="11" state="hidden" r:id="rId12"/>
    <sheet name="ТС. Т-ТЭ | ТСО" sheetId="12" state="hidden" r:id="rId13"/>
    <sheet name="ТС. Т-ТЭ | предел" sheetId="13" state="hidden" r:id="rId14"/>
    <sheet name="ТС. Т-ТЭ | индикат" sheetId="14" state="hidden" r:id="rId15"/>
    <sheet name="ТС. Резерв мощности" sheetId="15" state="hidden" r:id="rId16"/>
    <sheet name="ТС. Т-ТН" sheetId="16" state="hidden" r:id="rId17"/>
    <sheet name="ТС. Т-передача ТЭ" sheetId="17" state="hidden" r:id="rId18"/>
    <sheet name="ТС. Т-передача ТН" sheetId="18" state="hidden" r:id="rId19"/>
    <sheet name="ТС. Т-гор.вода" sheetId="19" state="hidden" r:id="rId20"/>
    <sheet name="ТС. Т-подкл" sheetId="20" state="hidden" r:id="rId21"/>
    <sheet name="ХВС. Т-пит" sheetId="21" state="hidden" r:id="rId22"/>
    <sheet name="ХВС. Т-тех" sheetId="22" state="hidden" r:id="rId23"/>
    <sheet name="ХВС. Т-транс" sheetId="23" state="hidden" r:id="rId24"/>
    <sheet name="ХВС. Т-подвоз" sheetId="24" state="hidden" r:id="rId25"/>
    <sheet name="ТС. Т-подкл(инд)" sheetId="25" state="hidden" r:id="rId26"/>
    <sheet name="ХВС. Т-подкл" sheetId="26" state="hidden" r:id="rId27"/>
    <sheet name="ВО. Т-во" sheetId="27" r:id="rId28"/>
    <sheet name="ВО. Т-транс" sheetId="28" state="hidden" r:id="rId29"/>
    <sheet name="ВО. Т-подкл" sheetId="29" state="hidden" r:id="rId30"/>
    <sheet name="ГВС. Т-гор.вода" sheetId="30" state="hidden" r:id="rId31"/>
    <sheet name="ГВС. Т-транс" sheetId="31" state="hidden" r:id="rId32"/>
    <sheet name="ГВС. Т-подкл" sheetId="32" state="hidden" r:id="rId33"/>
    <sheet name="Показатели ФХД" sheetId="33" state="hidden" r:id="rId34"/>
    <sheet name="Показатели ФХД &gt;20%" sheetId="34" state="hidden" r:id="rId35"/>
    <sheet name="Показатели ОТЭП" sheetId="35" state="hidden" r:id="rId36"/>
    <sheet name="Стандарты качества" sheetId="36" state="hidden" r:id="rId37"/>
    <sheet name="ТКО. Показатели ФХД" sheetId="37" state="hidden" r:id="rId38"/>
    <sheet name="ТКО. Транс. Показатели ФХД" sheetId="38" state="hidden" r:id="rId39"/>
    <sheet name="Показатели КНЭ" sheetId="39" state="hidden" r:id="rId40"/>
    <sheet name="Ограничения" sheetId="40" state="hidden" r:id="rId41"/>
    <sheet name="ИП" sheetId="41" state="hidden" r:id="rId42"/>
    <sheet name="ИП. Детализация" sheetId="42" state="hidden" r:id="rId43"/>
    <sheet name="ИП. Финансовый план" sheetId="43" state="hidden" r:id="rId44"/>
    <sheet name="ИП. КНЭ" sheetId="44" state="hidden" r:id="rId45"/>
    <sheet name="ТП" sheetId="45" state="hidden" r:id="rId46"/>
    <sheet name="Договоры" sheetId="46" state="hidden" r:id="rId47"/>
    <sheet name="Порядок ТП" sheetId="47" r:id="rId48"/>
    <sheet name="Предложение" sheetId="48" state="hidden" r:id="rId49"/>
    <sheet name="Сведения о закупках" sheetId="49" state="hidden" r:id="rId50"/>
    <sheet name="Потребительские характеристики" sheetId="50" state="hidden" r:id="rId51"/>
    <sheet name="TEHSHEET" sheetId="51" state="hidden" r:id="rId52"/>
    <sheet name="Орган регулирования" sheetId="52" state="hidden" r:id="rId53"/>
    <sheet name="Перечень организаций" sheetId="53" state="hidden" r:id="rId54"/>
    <sheet name="Дела об установлении тарифов" sheetId="54" state="hidden" r:id="rId55"/>
    <sheet name="Дела об утверждении ПУЦ" sheetId="55" state="hidden" r:id="rId56"/>
    <sheet name="Привлечение к ответственности" sheetId="56" state="hidden" r:id="rId57"/>
    <sheet name="ЭД" sheetId="57" state="hidden" r:id="rId58"/>
    <sheet name="Сведения об изменении" sheetId="58" r:id="rId59"/>
    <sheet name="Комментарии" sheetId="59" r:id="rId60"/>
    <sheet name="Проверка" sheetId="60" state="hidden" r:id="rId61"/>
    <sheet name="et_union_hor" sheetId="61" state="hidden" r:id="rId62"/>
    <sheet name="DATA_FORMS" sheetId="62" state="hidden" r:id="rId63"/>
    <sheet name="DATA_NPA" sheetId="63" state="hidden" r:id="rId64"/>
    <sheet name="Т-ТЭ | потр" sheetId="64" state="hidden" r:id="rId65"/>
    <sheet name="modMainProcedures" sheetId="65" state="hidden" r:id="rId66"/>
    <sheet name="modB_FHD" sheetId="66" state="hidden" r:id="rId67"/>
    <sheet name="modB_FHD20" sheetId="67" state="hidden" r:id="rId68"/>
    <sheet name="modB_KNE" sheetId="68" state="hidden" r:id="rId69"/>
    <sheet name="modIP_MAIN" sheetId="69" state="hidden" r:id="rId70"/>
    <sheet name="modIP_QRE" sheetId="70" state="hidden" r:id="rId71"/>
    <sheet name="modIP_DETAILED" sheetId="71" state="hidden" r:id="rId72"/>
    <sheet name="et_union_vert" sheetId="72" state="hidden" r:id="rId73"/>
    <sheet name="Легенда" sheetId="73" state="hidden" r:id="rId74"/>
    <sheet name="modfrmListIP" sheetId="74" state="hidden" r:id="rId75"/>
    <sheet name="modfrmActivity" sheetId="75" state="hidden" r:id="rId76"/>
    <sheet name="REESTR_ORG" sheetId="76" state="hidden" r:id="rId77"/>
    <sheet name="REESTR_MO" sheetId="77" state="hidden" r:id="rId78"/>
    <sheet name="REESTR_IP" sheetId="78" state="hidden" r:id="rId79"/>
    <sheet name="REESTR_OBJ_INFR" sheetId="79" state="hidden" r:id="rId80"/>
    <sheet name="REESTR_DS" sheetId="80" state="hidden" r:id="rId81"/>
    <sheet name="REESTR_VT" sheetId="81" state="hidden" r:id="rId82"/>
    <sheet name="REESTR_VED" sheetId="82" state="hidden" r:id="rId83"/>
    <sheet name="REESTR_MO_FILTER" sheetId="83" state="hidden" r:id="rId84"/>
    <sheet name="REESTR_LINK" sheetId="84" state="hidden" r:id="rId85"/>
    <sheet name="modSheetMain" sheetId="85" state="hidden" r:id="rId86"/>
    <sheet name="modfrmReportMode" sheetId="86" state="hidden" r:id="rId87"/>
    <sheet name="modfrmReestrObj" sheetId="87" state="hidden" r:id="rId88"/>
    <sheet name="AllSheetsInThisWorkbook" sheetId="88" state="hidden" r:id="rId89"/>
    <sheet name="modInfo" sheetId="89" state="hidden" r:id="rId90"/>
  </sheets>
  <definedNames>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Т-во'!$286:$287</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Т-во'!$288:$289</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тарифов'!$121:$181</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территорий'!$E$51:$I$51</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тарифов'!$Z$12:$Z$183</definedName>
    <definedName name="DIFFERENTIATION_TARIFF_VD_ID">'Перечень тарифов'!$AB$12:$AB$183</definedName>
    <definedName name="DIFFERENTIATION_TARIFF_VTAR_ID">'Перечень тарифов'!$AA$12:$AA$183</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территорий'!$C$12:$C$51</definedName>
    <definedName name="pDel_LT_MO">'Список территорий'!$D$11:$D$51</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территорий'!$G$51</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Т-во'!$T$285</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Т-во'!$CU$37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Т-во'!$43:$54</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тарифов'!$AL$12:$AL$183</definedName>
    <definedName name="PT_DIFFERENTIATION_CS_ID">'Перечень тарифов'!$AF$12:$AF$183</definedName>
    <definedName name="PT_DIFFERENTIATION_IST_TE">'Перечень тарифов'!$AM$12:$AM$183</definedName>
    <definedName name="PT_DIFFERENTIATION_IST_TE_ID">'Перечень тарифов'!$AG$12:$AG$183</definedName>
    <definedName name="PT_DIFFERENTIATION_NTAR">'Перечень тарифов'!$AJ$12:$AJ$183</definedName>
    <definedName name="PT_DIFFERENTIATION_NTAR_ID">'Перечень тарифов'!$AD$12:$AD$183</definedName>
    <definedName name="PT_DIFFERENTIATION_NUM_CS">'Перечень тарифов'!$AP$12:$AP$183</definedName>
    <definedName name="PT_DIFFERENTIATION_NUM_IST_TE">'Перечень тарифов'!$AQ$12:$AQ$183</definedName>
    <definedName name="PT_DIFFERENTIATION_NUM_NTAR">'Перечень тарифов'!$AN$12:$AN$183</definedName>
    <definedName name="PT_DIFFERENTIATION_NUM_TER">'Перечень тарифов'!$AO$12:$AO$183</definedName>
    <definedName name="PT_DIFFERENTIATION_TER">'Перечень тарифов'!$AK$12:$AK$183</definedName>
    <definedName name="PT_DIFFERENTIATION_TER_ID">'Перечень тарифов'!$AE$12:$AE$183</definedName>
    <definedName name="PT_DIFFERENTIATION_VDET">'Перечень тарифов'!$AI$12:$AI$183</definedName>
    <definedName name="PT_DIFFERENTIATION_VTAR">'Перечень тарифов'!$AH$12:$AH$183</definedName>
    <definedName name="PT_DIFFERENTIATION_VTAR_ID">'Перечень тарифов'!$AC$12:$AC$183</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Т-во'!$41:$284</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Т-во'!$42:$55</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тарифов'!$W$182</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Т-во'!$CU$286</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территорий'!$I$52</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территорий'!$E$11:$I$51</definedName>
    <definedName name="TERRITORY_ID">TEHSHEET!$E$56</definedName>
    <definedName name="TERRITORY_LIST_ID">'Список территорий'!$F$11:$F$51</definedName>
    <definedName name="TERRITORY_MO_LIST">'Список территорий'!$H$11:$H$51</definedName>
    <definedName name="TERRITORY_MR_LIST">'Список территорий'!$G$11:$G$51</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 name="REESTR_IP_RANGE">REESTR_IP!$A$2:$I$13</definedName>
    <definedName name="VD_LIST">REESTR_VED!$A$2:$B$4</definedName>
    <definedName name="VD_ID_LIST">REESTR_VED!$A$2:$A$4</definedName>
    <definedName name="VD_NAME_LIST">REESTR_VED!$B$2:$B$4</definedName>
    <definedName name="et_B_FHD20_1">et_union_hor!$115:$123</definedName>
    <definedName name="ter_5">'Список территорий'!$G$16:$I$16</definedName>
    <definedName name="ter_51">'Список территорий'!$G$19:$I$19</definedName>
    <definedName name="ter_511">'Список территорий'!$G$22:$I$22</definedName>
    <definedName name="ter_5111">'Список территорий'!$G$25:$I$25</definedName>
    <definedName name="ter_51111">'Список территорий'!$G$28:$I$28</definedName>
    <definedName name="ter_511111">'Список территорий'!$G$31:$I$31</definedName>
    <definedName name="ter_5111111">'Список территорий'!$G$34:$I$34</definedName>
    <definedName name="ter_51111111">'Список территорий'!$G$37:$I$37</definedName>
    <definedName name="ter_511111111">'Список территорий'!$G$40:$I$40</definedName>
    <definedName name="ter_5111111111">'Список территорий'!$G$43:$I$43</definedName>
    <definedName name="ter_51111111111">'Список территорий'!$G$46:$I$46</definedName>
    <definedName name="ter_511111111111">'Список территорий'!$G$49:$I$49</definedName>
    <definedName name="pt_ter_30">'ВО. Т-во'!$56:$69</definedName>
    <definedName name="pt_cs_31">'ВО. Т-во'!$57:$68</definedName>
    <definedName name="pt_ter_31">'ВО. Т-во'!$70:$83</definedName>
    <definedName name="pt_cs_32">'ВО. Т-во'!$71:$82</definedName>
    <definedName name="pt_ter_32">'ВО. Т-во'!$84:$145</definedName>
    <definedName name="pt_cs_33">'ВО. Т-во'!$85:$96</definedName>
    <definedName name="pt_cs_34">'ВО. Т-во'!$97:$108</definedName>
    <definedName name="pt_cs_35">'ВО. Т-во'!$109:$120</definedName>
    <definedName name="pt_cs_36">'ВО. Т-во'!$121:$132</definedName>
    <definedName name="pt_cs_37">'ВО. Т-во'!$133:$144</definedName>
    <definedName name="pt_ter_33">'ВО. Т-во'!$146:$159</definedName>
    <definedName name="pt_cs_38">'ВО. Т-во'!$147:$158</definedName>
    <definedName name="pt_ter_34">'ВО. Т-во'!$160:$173</definedName>
    <definedName name="pt_cs_39">'ВО. Т-во'!$161:$172</definedName>
    <definedName name="pt_ter_35">'ВО. Т-во'!$174:$187</definedName>
    <definedName name="pt_cs_40">'ВО. Т-во'!$175:$186</definedName>
    <definedName name="pt_ter_36">'ВО. Т-во'!$188:$201</definedName>
    <definedName name="pt_cs_41">'ВО. Т-во'!$189:$200</definedName>
    <definedName name="pt_ter_37">'ВО. Т-во'!$202:$215</definedName>
    <definedName name="pt_cs_42">'ВО. Т-во'!$203:$214</definedName>
    <definedName name="pt_ter_38">'ВО. Т-во'!$216:$229</definedName>
    <definedName name="pt_cs_43">'ВО. Т-во'!$217:$228</definedName>
    <definedName name="pt_ter_39">'ВО. Т-во'!$230:$243</definedName>
    <definedName name="pt_cs_44">'ВО. Т-во'!$231:$242</definedName>
    <definedName name="pt_ter_40">'ВО. Т-во'!$244:$257</definedName>
    <definedName name="pt_cs_45">'ВО. Т-во'!$245:$256</definedName>
    <definedName name="pt_ter_41">'ВО. Т-во'!$258:$283</definedName>
    <definedName name="pt_cs_46">'ВО. Т-во'!$259:$270</definedName>
    <definedName name="DESCRIPTION_TERRITORY">REESTR_DS!$B$2:$B$14</definedName>
    <definedName name="pt_cs_47">'ВО. Т-во'!$271:$282</definedName>
    <definedName name="_xlnm._FilterDatabase" localSheetId="59">Проверка!$B$4:$E$5</definedName>
  </definedNames>
  <calcPr calcId="0" iterate="1" iterateCount="100" iterateDelta="0.001"/>
</workbook>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<sst xmlns="http://schemas.openxmlformats.org/spreadsheetml/2006/main" count="16413" uniqueCount="3767">
  <si>
    <t xml:space="preserve"> (требуется обновление)</t>
  </si>
  <si>
    <t>Код отчёта: PP108.OPEN.INFO.PRICE.VOTV.EIAS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</si>
  <si>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</si>
  <si>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</si>
  <si>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</si>
  <si>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</si>
  <si>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</si>
  <si>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</si>
  <si>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</si>
  <si>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</si>
  <si>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</si>
  <si>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</si>
  <si>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</si>
  <si>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26470185</t>
  </si>
  <si>
    <t>Flag_Row_Size</t>
  </si>
  <si>
    <t>Субъект РФ</t>
  </si>
  <si>
    <t>Приморский край</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</si>
  <si>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</si>
  <si>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</si>
  <si>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</si>
  <si>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</si>
  <si>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</si>
  <si>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</si>
  <si>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</si>
  <si>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</si>
  <si>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</si>
  <si>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</si>
  <si>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</si>
  <si>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</si>
  <si>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</si>
  <si>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</si>
  <si>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</si>
  <si>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</si>
  <si>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</si>
  <si>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</si>
  <si>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</si>
  <si>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</si>
  <si>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</si>
  <si>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</si>
  <si>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</si>
  <si>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</si>
  <si>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71/10</t>
  </si>
  <si>
    <t>Наименование органа регулирования, принявшего решение об утверждении тарифов</t>
  </si>
  <si>
    <t>Агентство по тарифам Приморского края</t>
  </si>
  <si>
    <t>Источник официального опубликования решения</t>
  </si>
  <si>
    <t>http://pravo.gov.ru</t>
  </si>
  <si>
    <t>Открывается, если Тип отчёта "изменения в раскрытой ранее информации"</t>
  </si>
  <si>
    <t>53/9</t>
  </si>
  <si>
    <t>Наименование органа регулирования, принявшего решение об изменении тарифов</t>
  </si>
  <si>
    <t>КГУП "Примтеплоэнерго"</t>
  </si>
  <si>
    <t>Наименование (описание) обособленного подразделения</t>
  </si>
  <si>
    <t>ИНН</t>
  </si>
  <si>
    <t>2536112729</t>
  </si>
  <si>
    <t>КПП</t>
  </si>
  <si>
    <t>253801001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</si>
  <si>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</si>
  <si>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</si>
  <si>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</si>
  <si>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</si>
  <si>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</si>
  <si>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</si>
  <si>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</si>
  <si>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</si>
  <si>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</si>
  <si>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</si>
  <si>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</si>
  <si>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</si>
  <si>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</si>
  <si>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</si>
  <si>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</si>
  <si>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</si>
  <si>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</si>
  <si>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690089 Приморский край, город Владивосток, улица Героев Варяга, 12</t>
  </si>
  <si>
    <t>Фамилия, имя, отчество руководителя</t>
  </si>
  <si>
    <t>Бабич Вячеслав Владимирович</t>
  </si>
  <si>
    <t>Ответственный за заполнение формы</t>
  </si>
  <si>
    <t>Фамилия, имя, отчество</t>
  </si>
  <si>
    <t>Долматова Елена Викторовна</t>
  </si>
  <si>
    <t>Должность</t>
  </si>
  <si>
    <t>Начальник отдела стандартов раскрытия информации</t>
  </si>
  <si>
    <t>Контактный телефон</t>
  </si>
  <si>
    <t>8 (423) 30-31-56</t>
  </si>
  <si>
    <t>E-mail</t>
  </si>
  <si>
    <t>dolmatovaev@primtep.ru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</si>
  <si>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</si>
  <si>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</si>
  <si>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</si>
  <si>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</si>
  <si>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</si>
  <si>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</si>
  <si>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</si>
  <si>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</si>
  <si>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</si>
  <si>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</si>
  <si>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</si>
  <si>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</si>
  <si>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</si>
  <si>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</si>
  <si>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</si>
  <si>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</si>
  <si>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</si>
  <si>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1</t>
  </si>
  <si>
    <t>Анучинский муниципальный округ</t>
  </si>
  <si>
    <t>05502000</t>
  </si>
  <si>
    <t>Добавить МО</t>
  </si>
  <si>
    <t>2</t>
  </si>
  <si>
    <t>×</t>
  </si>
  <si>
    <t>ter_5</t>
  </si>
  <si>
    <t>44</t>
  </si>
  <si>
    <t>Михайловский муниципальный район</t>
  </si>
  <si>
    <t>Новошахтинское городское поселение</t>
  </si>
  <si>
    <t>05620154</t>
  </si>
  <si>
    <t>ter_51</t>
  </si>
  <si>
    <t>16</t>
  </si>
  <si>
    <t>Кавалеровский муниципальный округ</t>
  </si>
  <si>
    <t>05510000</t>
  </si>
  <si>
    <t>ter_511</t>
  </si>
  <si>
    <t>78</t>
  </si>
  <si>
    <t>Хасанский муниципальный округ</t>
  </si>
  <si>
    <t>05548000</t>
  </si>
  <si>
    <t>5</t>
  </si>
  <si>
    <t>ter_5111</t>
  </si>
  <si>
    <t>81</t>
  </si>
  <si>
    <t>Черниговский муниципальный район</t>
  </si>
  <si>
    <t>Дмитриевское сельское поселение</t>
  </si>
  <si>
    <t>05653410</t>
  </si>
  <si>
    <t>ter_51111</t>
  </si>
  <si>
    <t>83</t>
  </si>
  <si>
    <t>Реттиховское городское поселение</t>
  </si>
  <si>
    <t>05653422</t>
  </si>
  <si>
    <t>ter_511111</t>
  </si>
  <si>
    <t>85</t>
  </si>
  <si>
    <t>Снегуровское</t>
  </si>
  <si>
    <t>05653419</t>
  </si>
  <si>
    <t>8</t>
  </si>
  <si>
    <t>ter_5111111</t>
  </si>
  <si>
    <t>80</t>
  </si>
  <si>
    <t>Черниговский муниципальный округ</t>
  </si>
  <si>
    <t>05553000</t>
  </si>
  <si>
    <t>9</t>
  </si>
  <si>
    <t>ter_51111111</t>
  </si>
  <si>
    <t>92</t>
  </si>
  <si>
    <t>Шкотовский муниципальный район</t>
  </si>
  <si>
    <t>Романовское сельское поселение</t>
  </si>
  <si>
    <t>05657425</t>
  </si>
  <si>
    <t>10</t>
  </si>
  <si>
    <t>ter_511111111</t>
  </si>
  <si>
    <t>89</t>
  </si>
  <si>
    <t>Шкотовский муниципальный округ</t>
  </si>
  <si>
    <t>05557000</t>
  </si>
  <si>
    <t>11</t>
  </si>
  <si>
    <t>ter_5111111111</t>
  </si>
  <si>
    <t>Дальнегорский городской округ</t>
  </si>
  <si>
    <t>05707000</t>
  </si>
  <si>
    <t>12</t>
  </si>
  <si>
    <t>ter_51111111111</t>
  </si>
  <si>
    <t>Городской округ Спасск-Дальний</t>
  </si>
  <si>
    <t>05720000</t>
  </si>
  <si>
    <t>13</t>
  </si>
  <si>
    <t>ter_511111111111</t>
  </si>
  <si>
    <t>106</t>
  </si>
  <si>
    <t>городской округ ЗАТО Фокино</t>
  </si>
  <si>
    <t>05747000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</si>
  <si>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</si>
  <si>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</si>
  <si>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</si>
  <si>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</si>
  <si>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</si>
  <si>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</si>
  <si>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</si>
  <si>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</si>
  <si>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</si>
  <si>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</si>
  <si>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</si>
  <si>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</si>
  <si>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</si>
  <si>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</si>
  <si>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</si>
  <si>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</si>
  <si>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</si>
  <si>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</si>
  <si>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</si>
  <si>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</si>
  <si>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</si>
  <si>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</si>
  <si>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</si>
  <si>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</si>
  <si>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</si>
  <si>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</si>
  <si>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</si>
  <si>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</si>
  <si>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</si>
  <si>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</si>
  <si>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</si>
  <si>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</si>
  <si>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</si>
  <si>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</si>
  <si>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</si>
  <si>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</si>
  <si>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</si>
  <si>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</si>
  <si>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</si>
  <si>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</si>
  <si>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</si>
  <si>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</si>
  <si>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</si>
  <si>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</si>
  <si>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</si>
  <si>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</si>
  <si>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</si>
  <si>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</si>
  <si>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</si>
  <si>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</si>
  <si>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</si>
  <si>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</si>
  <si>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</si>
  <si>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</si>
  <si>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</si>
  <si>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</si>
  <si>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</si>
  <si>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</si>
  <si>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</si>
  <si>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</si>
  <si>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</si>
  <si>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</si>
  <si>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</si>
  <si>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</si>
  <si>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</si>
  <si>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</si>
  <si>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</si>
  <si>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</si>
  <si>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</si>
  <si>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</si>
  <si>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</si>
  <si>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</si>
  <si>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</si>
  <si>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</si>
  <si>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</si>
  <si>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</si>
  <si>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</si>
  <si>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</si>
  <si>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</si>
  <si>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</si>
  <si>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</si>
  <si>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</si>
  <si>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</si>
  <si>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</si>
  <si>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</si>
  <si>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</si>
  <si>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</si>
  <si>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</si>
  <si>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</si>
  <si>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</si>
  <si>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</si>
  <si>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</si>
  <si>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</si>
  <si>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</si>
  <si>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</si>
  <si>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</si>
  <si>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</si>
  <si>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</si>
  <si>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</si>
  <si>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</si>
  <si>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</si>
  <si>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</si>
  <si>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</si>
  <si>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</si>
  <si>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</si>
  <si>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</si>
  <si>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</si>
  <si>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</si>
  <si>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</si>
  <si>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</si>
  <si>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</si>
  <si>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</si>
  <si>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</si>
  <si>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</si>
  <si>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</si>
  <si>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</si>
  <si>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</si>
  <si>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</si>
  <si>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</si>
  <si>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</si>
  <si>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</si>
  <si>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</si>
  <si>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</si>
  <si>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</si>
  <si>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</si>
  <si>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</si>
  <si>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</si>
  <si>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</si>
  <si>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</si>
  <si>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</si>
  <si>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</si>
  <si>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</si>
  <si>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</si>
  <si>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</si>
  <si>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</si>
  <si>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</si>
  <si>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</si>
  <si>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</si>
  <si>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</si>
  <si>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</si>
  <si>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</si>
  <si>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</si>
  <si>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</si>
  <si>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</si>
  <si>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</si>
  <si>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</si>
  <si>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</si>
  <si>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</si>
  <si>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</si>
  <si>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</si>
  <si>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</si>
  <si>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Тариф на водоотведение для потребителей КГУП "Примтеплоэнерго"</t>
  </si>
  <si>
    <t>с. Анучино</t>
  </si>
  <si>
    <t>"4189714"</t>
  </si>
  <si>
    <t>pIns_PT_VTAR_A_VOTV</t>
  </si>
  <si>
    <t>pt_ntar_17</t>
  </si>
  <si>
    <t>pt_ter_17</t>
  </si>
  <si>
    <t>pt_cs_17</t>
  </si>
  <si>
    <t>Добавить централизованную систему для дифференциации</t>
  </si>
  <si>
    <t>пгт. Новошахтинский</t>
  </si>
  <si>
    <t>pt_ter_30</t>
  </si>
  <si>
    <t>pt_cs_31</t>
  </si>
  <si>
    <t>pt_ist_te_31</t>
  </si>
  <si>
    <t>Кавалеровский МО</t>
  </si>
  <si>
    <t>pt_ter_31</t>
  </si>
  <si>
    <t>pt_cs_32</t>
  </si>
  <si>
    <t>pt_ist_te_32</t>
  </si>
  <si>
    <t>с. Барабаш, с. Занадворовка</t>
  </si>
  <si>
    <t>pt_ter_32</t>
  </si>
  <si>
    <t>pt_cs_33</t>
  </si>
  <si>
    <t>pt_ist_te_33</t>
  </si>
  <si>
    <t>с. Безверхово, с. Перевозная</t>
  </si>
  <si>
    <t>pt_cs_34</t>
  </si>
  <si>
    <t>pt_ist_te_34</t>
  </si>
  <si>
    <t>пгт. Краскино</t>
  </si>
  <si>
    <t>pt_cs_35</t>
  </si>
  <si>
    <t>pt_ist_te_35</t>
  </si>
  <si>
    <t>пгт. Посьет</t>
  </si>
  <si>
    <t>pt_cs_36</t>
  </si>
  <si>
    <t>pt_ist_te_36</t>
  </si>
  <si>
    <t>пгт. Приморский</t>
  </si>
  <si>
    <t>pt_cs_37</t>
  </si>
  <si>
    <t>pt_ist_te_37</t>
  </si>
  <si>
    <t>с. Дмитриевка, с. Майское</t>
  </si>
  <si>
    <t>pt_ter_33</t>
  </si>
  <si>
    <t>pt_cs_38</t>
  </si>
  <si>
    <t>pt_ist_te_38</t>
  </si>
  <si>
    <t>п. Реттиховка</t>
  </si>
  <si>
    <t>pt_ter_34</t>
  </si>
  <si>
    <t>pt_cs_39</t>
  </si>
  <si>
    <t>pt_ist_te_39</t>
  </si>
  <si>
    <t>с. Снегуровка</t>
  </si>
  <si>
    <t>pt_ter_35</t>
  </si>
  <si>
    <t>pt_cs_40</t>
  </si>
  <si>
    <t>pt_ist_te_40</t>
  </si>
  <si>
    <t>с. Черниговка</t>
  </si>
  <si>
    <t>pt_ter_36</t>
  </si>
  <si>
    <t>pt_cs_41</t>
  </si>
  <si>
    <t>pt_ist_te_41</t>
  </si>
  <si>
    <t>с. Романовка</t>
  </si>
  <si>
    <t>pt_ter_37</t>
  </si>
  <si>
    <t>pt_cs_42</t>
  </si>
  <si>
    <t>pt_ist_te_42</t>
  </si>
  <si>
    <t>с. Многоудобное</t>
  </si>
  <si>
    <t>pt_ter_38</t>
  </si>
  <si>
    <t>pt_cs_43</t>
  </si>
  <si>
    <t>pt_ist_te_43</t>
  </si>
  <si>
    <t>Дальнегорский ГО</t>
  </si>
  <si>
    <t>pt_ter_39</t>
  </si>
  <si>
    <t>pt_cs_44</t>
  </si>
  <si>
    <t>pt_ist_te_44</t>
  </si>
  <si>
    <t>ГО Спасск-Дальний</t>
  </si>
  <si>
    <t>pt_ter_40</t>
  </si>
  <si>
    <t>pt_cs_45</t>
  </si>
  <si>
    <t>pt_ist_te_45</t>
  </si>
  <si>
    <t>ГО ЗАТО г. Фокино</t>
  </si>
  <si>
    <t>pt_ter_41</t>
  </si>
  <si>
    <t>pt_cs_46</t>
  </si>
  <si>
    <t>pt_ist_te_46</t>
  </si>
  <si>
    <t>ГО ЗАТО г. Фокино (пгт. Путятин)</t>
  </si>
  <si>
    <t>pt_cs_47</t>
  </si>
  <si>
    <t>pt_ist_te_47</t>
  </si>
  <si>
    <t>Добавить территорию для дифференциации</t>
  </si>
  <si>
    <t>Добавить наименование тарифа</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</si>
  <si>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</si>
  <si>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</si>
  <si>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</si>
  <si>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</si>
  <si>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</si>
  <si>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</si>
  <si>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</si>
  <si>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</si>
  <si>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</si>
  <si>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</si>
  <si>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</si>
  <si>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</si>
  <si>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</si>
  <si>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</si>
  <si>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</si>
  <si>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</si>
  <si>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</si>
  <si>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</si>
  <si>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</si>
  <si>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</si>
  <si>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</si>
  <si>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</si>
  <si>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</si>
  <si>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</si>
  <si>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</si>
  <si>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</si>
  <si>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</si>
  <si>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</si>
  <si>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</si>
  <si>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</si>
  <si>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</si>
  <si>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</si>
  <si>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</si>
  <si>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</si>
  <si>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</si>
  <si>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</si>
  <si>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</si>
  <si>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</si>
  <si>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</si>
  <si>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</si>
  <si>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</si>
  <si>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</si>
  <si>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</si>
  <si>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</si>
  <si>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</si>
  <si>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</si>
  <si>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</si>
  <si>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</si>
  <si>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</si>
  <si>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</si>
  <si>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</si>
  <si>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</si>
  <si>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</si>
  <si>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</si>
  <si>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</si>
  <si>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</si>
  <si>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</si>
  <si>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</si>
  <si>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</si>
  <si>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</si>
  <si>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</si>
  <si>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</si>
  <si>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</si>
  <si>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</si>
  <si>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</si>
  <si>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</si>
  <si>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</si>
  <si>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</si>
  <si>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</si>
  <si>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</si>
  <si>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</si>
  <si>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</si>
  <si>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</si>
  <si>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</si>
  <si>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</si>
  <si>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</si>
  <si>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</si>
  <si>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</si>
  <si>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</si>
  <si>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</si>
  <si>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</si>
  <si>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</si>
  <si>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</si>
  <si>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</si>
  <si>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</si>
  <si>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</si>
  <si>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</si>
  <si>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</si>
  <si>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</si>
  <si>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</si>
  <si>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</si>
  <si>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</si>
  <si>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</si>
  <si>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</si>
  <si>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</si>
  <si>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</si>
  <si>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</si>
  <si>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</si>
  <si>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</si>
  <si>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</si>
  <si>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</si>
  <si>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</si>
  <si>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</si>
  <si>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</si>
  <si>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</si>
  <si>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</si>
  <si>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</si>
  <si>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</si>
  <si>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</si>
  <si>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</si>
  <si>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</si>
  <si>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</si>
  <si>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</si>
  <si>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</si>
  <si>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</si>
  <si>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</si>
  <si>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</si>
  <si>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</si>
  <si>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</si>
  <si>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</si>
  <si>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</si>
  <si>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</si>
  <si>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</si>
  <si>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</si>
  <si>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</si>
  <si>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</si>
  <si>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</si>
  <si>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</si>
  <si>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</si>
  <si>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</si>
  <si>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</si>
  <si>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</si>
  <si>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</si>
  <si>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</si>
  <si>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</si>
  <si>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</si>
  <si>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</si>
  <si>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</si>
  <si>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</si>
  <si>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</si>
  <si>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</si>
  <si>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</si>
  <si>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</si>
  <si>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</si>
  <si>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</si>
  <si>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</si>
  <si>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</si>
  <si>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</si>
  <si>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</si>
  <si>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</si>
  <si>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</si>
  <si>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</si>
  <si>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</si>
  <si>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</si>
  <si>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</si>
  <si>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</si>
  <si>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</si>
  <si>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</si>
  <si>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</si>
  <si>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</si>
  <si>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</si>
  <si>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</si>
  <si>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</si>
  <si>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</si>
  <si>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</si>
  <si>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</si>
  <si>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</si>
  <si>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</si>
  <si>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</si>
  <si>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</si>
  <si>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</si>
  <si>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</si>
  <si>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</si>
  <si>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</si>
  <si>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</si>
  <si>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</si>
  <si>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</si>
  <si>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</si>
  <si>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</si>
  <si>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</si>
  <si>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</si>
  <si>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</si>
  <si>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</si>
  <si>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</si>
  <si>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</si>
  <si>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</si>
  <si>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</si>
  <si>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</si>
  <si>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</si>
  <si>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</si>
  <si>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</si>
  <si>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</si>
  <si>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</si>
  <si>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</si>
  <si>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</si>
  <si>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</si>
  <si>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</si>
  <si>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</si>
  <si>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</si>
  <si>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</si>
  <si>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</si>
  <si>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</si>
  <si>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</si>
  <si>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</si>
  <si>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</si>
  <si>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</si>
  <si>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</si>
  <si>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</si>
  <si>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</si>
  <si>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</si>
  <si>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</si>
  <si>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</si>
  <si>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</si>
  <si>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</si>
  <si>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</si>
  <si>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</si>
  <si>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</si>
  <si>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</si>
  <si>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</si>
  <si>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</si>
  <si>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</si>
  <si>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</si>
  <si>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</si>
  <si>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</si>
  <si>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</si>
  <si>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</si>
  <si>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</si>
  <si>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</si>
  <si>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</si>
  <si>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</si>
  <si>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</si>
  <si>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</si>
  <si>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</si>
  <si>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</si>
  <si>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</si>
  <si>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</si>
  <si>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</si>
  <si>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</si>
  <si>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</si>
  <si>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</si>
  <si>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</si>
  <si>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</si>
  <si>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</si>
  <si>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</si>
  <si>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</si>
  <si>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</si>
  <si>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</si>
  <si>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</si>
  <si>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</si>
  <si>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население</t>
  </si>
  <si>
    <t>прочие</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</si>
  <si>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</si>
  <si>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</si>
  <si>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</si>
  <si>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</si>
  <si>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</si>
  <si>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</si>
  <si>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</si>
  <si>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</si>
  <si>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</si>
  <si>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</si>
  <si>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</si>
  <si>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</si>
  <si>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</si>
  <si>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</si>
  <si>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</si>
  <si>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</si>
  <si>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</si>
  <si>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</si>
  <si>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</si>
  <si>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</si>
  <si>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</si>
  <si>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</si>
  <si>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</si>
  <si>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</si>
  <si>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</si>
  <si>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</si>
  <si>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</si>
  <si>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</si>
  <si>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</si>
  <si>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</si>
  <si>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</si>
  <si>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</si>
  <si>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</si>
  <si>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</si>
  <si>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</si>
  <si>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</si>
  <si>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</si>
  <si>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</si>
  <si>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</si>
  <si>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</si>
  <si>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</si>
  <si>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</si>
  <si>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</si>
  <si>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</si>
  <si>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</si>
  <si>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</si>
  <si>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</si>
  <si>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</si>
  <si>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</si>
  <si>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</si>
  <si>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</si>
  <si>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</si>
  <si>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</si>
  <si>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</si>
  <si>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</si>
  <si>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</si>
  <si>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</si>
  <si>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</si>
  <si>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</si>
  <si>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</si>
  <si>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</si>
  <si>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</si>
  <si>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</si>
  <si>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</si>
  <si>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</si>
  <si>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</si>
  <si>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</si>
  <si>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</si>
  <si>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</si>
  <si>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</si>
  <si>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</si>
  <si>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</si>
  <si>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</si>
  <si>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</si>
  <si>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</si>
  <si>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</si>
  <si>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</si>
  <si>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</si>
  <si>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</si>
  <si>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</si>
  <si>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</si>
  <si>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</si>
  <si>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</si>
  <si>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</si>
  <si>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</si>
  <si>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</si>
  <si>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</si>
  <si>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</si>
  <si>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</si>
  <si>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</si>
  <si>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</si>
  <si>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</si>
  <si>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</si>
  <si>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</si>
  <si>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</si>
  <si>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</si>
  <si>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</si>
  <si>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</si>
  <si>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</si>
  <si>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</si>
  <si>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</si>
  <si>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</si>
  <si>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</si>
  <si>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</si>
  <si>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</si>
  <si>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</si>
  <si>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</si>
  <si>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</si>
  <si>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</si>
  <si>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</si>
  <si>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</si>
  <si>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</si>
  <si>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</si>
  <si>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</si>
  <si>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</si>
  <si>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</si>
  <si>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</si>
  <si>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</si>
  <si>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</si>
  <si>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</si>
  <si>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</si>
  <si>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</si>
  <si>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</si>
  <si>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</si>
  <si>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</si>
  <si>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</si>
  <si>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</si>
  <si>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</si>
  <si>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</si>
  <si>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</si>
  <si>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</si>
  <si>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</si>
  <si>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</si>
  <si>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</si>
  <si>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</si>
  <si>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</si>
  <si>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</si>
  <si>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</si>
  <si>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</si>
  <si>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</si>
  <si>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</si>
  <si>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</si>
  <si>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</si>
  <si>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</si>
  <si>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</si>
  <si>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</si>
  <si>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</si>
  <si>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</si>
  <si>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</si>
  <si>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</si>
  <si>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</si>
  <si>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</si>
  <si>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</si>
  <si>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</si>
  <si>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</si>
  <si>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</si>
  <si>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</si>
  <si>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</si>
  <si>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</si>
  <si>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</si>
  <si>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</si>
  <si>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</si>
  <si>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</si>
  <si>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</si>
  <si>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</si>
  <si>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</si>
  <si>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</si>
  <si>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</si>
  <si>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</si>
  <si>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</si>
  <si>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</si>
  <si>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</si>
  <si>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</si>
  <si>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</si>
  <si>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</si>
  <si>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</si>
  <si>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</si>
  <si>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</si>
  <si>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</si>
  <si>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</si>
  <si>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</si>
  <si>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</si>
  <si>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</si>
  <si>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</si>
  <si>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</si>
  <si>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</si>
  <si>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</si>
  <si>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</si>
  <si>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</si>
  <si>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</si>
  <si>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</si>
  <si>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</si>
  <si>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</si>
  <si>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</si>
  <si>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</si>
  <si>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</si>
  <si>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</si>
  <si>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</si>
  <si>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</si>
  <si>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</si>
  <si>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</si>
  <si>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</si>
  <si>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</si>
  <si>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</si>
  <si>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</si>
  <si>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</si>
  <si>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</si>
  <si>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</si>
  <si>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</si>
  <si>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</si>
  <si>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</si>
  <si>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</si>
  <si>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</si>
  <si>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</si>
  <si>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</si>
  <si>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</si>
  <si>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</si>
  <si>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</si>
  <si>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</si>
  <si>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</si>
  <si>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</si>
  <si>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</si>
  <si>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</si>
  <si>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</si>
  <si>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</si>
  <si>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</si>
  <si>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</si>
  <si>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</si>
  <si>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</si>
  <si>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</si>
  <si>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</si>
  <si>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</si>
  <si>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</si>
  <si>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</si>
  <si>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</si>
  <si>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</si>
  <si>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</si>
  <si>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</si>
  <si>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</si>
  <si>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</si>
  <si>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</si>
  <si>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</si>
  <si>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</si>
  <si>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</si>
  <si>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</si>
  <si>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</si>
  <si>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</si>
  <si>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</si>
  <si>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</si>
  <si>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</si>
  <si>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</si>
  <si>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</si>
  <si>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</si>
  <si>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</si>
  <si>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</si>
  <si>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</si>
  <si>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</si>
  <si>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</si>
  <si>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</si>
  <si>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</si>
  <si>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</si>
  <si>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</si>
  <si>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</si>
  <si>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</si>
  <si>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</si>
  <si>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</si>
  <si>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</si>
  <si>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</si>
  <si>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</si>
  <si>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</si>
  <si>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</si>
  <si>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</si>
  <si>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</si>
  <si>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</si>
  <si>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</si>
  <si>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</si>
  <si>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</si>
  <si>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</si>
  <si>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</si>
  <si>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</si>
  <si>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</si>
  <si>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</si>
  <si>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</si>
  <si>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</si>
  <si>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</si>
  <si>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</si>
  <si>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</si>
  <si>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</si>
  <si>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</si>
  <si>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</si>
  <si>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</si>
  <si>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</si>
  <si>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</si>
  <si>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</si>
  <si>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</si>
  <si>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</si>
  <si>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</si>
  <si>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</si>
  <si>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</si>
  <si>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</si>
  <si>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</si>
  <si>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</si>
  <si>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</si>
  <si>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</si>
  <si>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</si>
  <si>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</si>
  <si>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</si>
  <si>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</si>
  <si>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</si>
  <si>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</si>
  <si>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</si>
  <si>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</si>
  <si>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</si>
  <si>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</si>
  <si>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</si>
  <si>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</si>
  <si>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</si>
  <si>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</si>
  <si>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</si>
  <si>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</si>
  <si>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</si>
  <si>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</si>
  <si>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</si>
  <si>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</si>
  <si>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</si>
  <si>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</si>
  <si>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</si>
  <si>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</si>
  <si>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</si>
  <si>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</si>
  <si>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</si>
  <si>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</si>
  <si>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</si>
  <si>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</si>
  <si>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</si>
  <si>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</si>
  <si>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</si>
  <si>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</si>
  <si>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</si>
  <si>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</si>
  <si>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</si>
  <si>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</si>
  <si>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</si>
  <si>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</si>
  <si>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</si>
  <si>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</si>
  <si>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</si>
  <si>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</si>
  <si>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</si>
  <si>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</si>
  <si>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</si>
  <si>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</si>
  <si>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</si>
  <si>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</si>
  <si>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</si>
  <si>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</si>
  <si>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</si>
  <si>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</si>
  <si>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</si>
  <si>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</si>
  <si>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</si>
  <si>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</si>
  <si>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</si>
  <si>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</si>
  <si>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</si>
  <si>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</si>
  <si>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</si>
  <si>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</si>
  <si>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</si>
  <si>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</si>
  <si>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</si>
  <si>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</si>
  <si>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</si>
  <si>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</si>
  <si>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</si>
  <si>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</si>
  <si>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</si>
  <si>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</si>
  <si>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</si>
  <si>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</si>
  <si>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</si>
  <si>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</si>
  <si>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</si>
  <si>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</si>
  <si>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</si>
  <si>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</si>
  <si>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</si>
  <si>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</si>
  <si>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</si>
  <si>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</si>
  <si>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</si>
  <si>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</si>
  <si>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</si>
  <si>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</si>
  <si>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</si>
  <si>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</si>
  <si>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</si>
  <si>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</si>
  <si>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</si>
  <si>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</si>
  <si>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</si>
  <si>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</si>
  <si>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</si>
  <si>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</si>
  <si>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</si>
  <si>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</si>
  <si>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</si>
  <si>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</si>
  <si>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</si>
  <si>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</si>
  <si>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</si>
  <si>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</si>
  <si>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</si>
  <si>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</si>
  <si>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</si>
  <si>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</si>
  <si>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</si>
  <si>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</si>
  <si>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</si>
  <si>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</si>
  <si>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</si>
  <si>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</si>
  <si>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</si>
  <si>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</si>
  <si>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</si>
  <si>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</si>
  <si>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</si>
  <si>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</si>
  <si>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</si>
  <si>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</si>
  <si>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</si>
  <si>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</si>
  <si>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</si>
  <si>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</si>
  <si>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</si>
  <si>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</si>
  <si>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</si>
  <si>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</si>
  <si>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</si>
  <si>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</si>
  <si>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</si>
  <si>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</si>
  <si>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</si>
  <si>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</si>
  <si>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</si>
  <si>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</si>
  <si>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</si>
  <si>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</si>
  <si>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</si>
  <si>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</si>
  <si>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</si>
  <si>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</si>
  <si>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</si>
  <si>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</si>
  <si>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</si>
  <si>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</si>
  <si>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</si>
  <si>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</si>
  <si>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</si>
  <si>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</si>
  <si>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</si>
  <si>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</si>
  <si>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</si>
  <si>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</si>
  <si>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</si>
  <si>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</si>
  <si>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</si>
  <si>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</si>
  <si>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</si>
  <si>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</si>
  <si>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</si>
  <si>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</si>
  <si>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</si>
  <si>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</si>
  <si>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</si>
  <si>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</si>
  <si>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</si>
  <si>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</si>
  <si>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</si>
  <si>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</si>
  <si>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</si>
  <si>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</si>
  <si>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</si>
  <si>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</si>
  <si>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</si>
  <si>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</si>
  <si>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</si>
  <si>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</si>
  <si>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</si>
  <si>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</si>
  <si>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</si>
  <si>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</si>
  <si>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</si>
  <si>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</si>
  <si>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</si>
  <si>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</si>
  <si>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</si>
  <si>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</si>
  <si>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</si>
  <si>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</si>
  <si>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</si>
  <si>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</si>
  <si>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</si>
  <si>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</si>
  <si>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</si>
  <si>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</si>
  <si>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</si>
  <si>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</si>
  <si>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</si>
  <si>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</si>
  <si>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</si>
  <si>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</si>
  <si>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</si>
  <si>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</si>
  <si>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</si>
  <si>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</si>
  <si>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</si>
  <si>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</si>
  <si>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</si>
  <si>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</si>
  <si>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</si>
  <si>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</si>
  <si>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</si>
  <si>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</si>
  <si>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</si>
  <si>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</si>
  <si>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</si>
  <si>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</si>
  <si>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</si>
  <si>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</si>
  <si>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</si>
  <si>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</si>
  <si>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</si>
  <si>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</si>
  <si>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</si>
  <si>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</si>
  <si>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</si>
  <si>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</si>
  <si>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</si>
  <si>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</si>
  <si>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</si>
  <si>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</si>
  <si>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</si>
  <si>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</si>
  <si>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</si>
  <si>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</si>
  <si>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</si>
  <si>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</si>
  <si>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</si>
  <si>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</si>
  <si>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</si>
  <si>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</si>
  <si>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</si>
  <si>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</si>
  <si>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</si>
  <si>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</si>
  <si>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</si>
  <si>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</si>
  <si>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</si>
  <si>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</si>
  <si>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</si>
  <si>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</si>
  <si>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</si>
  <si>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</si>
  <si>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</si>
  <si>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</si>
  <si>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</si>
  <si>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</si>
  <si>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</si>
  <si>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</si>
  <si>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</si>
  <si>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</si>
  <si>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</si>
  <si>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</si>
  <si>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</si>
  <si>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</si>
  <si>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</si>
  <si>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</si>
  <si>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</si>
  <si>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</si>
  <si>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</si>
  <si>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</si>
  <si>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</si>
  <si>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</si>
  <si>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</si>
  <si>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</si>
  <si>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</si>
  <si>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</si>
  <si>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</si>
  <si>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</si>
  <si>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</si>
  <si>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</si>
  <si>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</si>
  <si>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</si>
  <si>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</si>
  <si>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</si>
  <si>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</si>
  <si>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</si>
  <si>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</si>
  <si>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</si>
  <si>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</si>
  <si>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</si>
  <si>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</si>
  <si>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</si>
  <si>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</si>
  <si>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</si>
  <si>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</si>
  <si>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</si>
  <si>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</si>
  <si>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</si>
  <si>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</si>
  <si>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</si>
  <si>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</si>
  <si>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</si>
  <si>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http://www.primtep.ru/</t>
  </si>
  <si>
    <t>https://portal.eias.ru/Portal/DownloadPage.aspx?type=12&amp;guid=ba4e3238-a171-44d0-b6f9-505ef1a17057</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</si>
  <si>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</si>
  <si>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https://portal.eias.ru/Portal/DownloadPage.aspx?type=12&amp;guid=e4017692-c2df-404f-adda-b15dc5832cd8</t>
  </si>
  <si>
    <t>Приказ по основной деятельности № 800 от 15.10.2018 Об утверждении типовых договоров о подключении (технологическом присоединении, подключение .хвс и водоотведение)</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</si>
  <si>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</si>
  <si>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Приказ по основной деятельности № 800 от 15.10.2018 Об утверждении типовых договоров о подключении (технологическом присоединении, подключение, хвс и водоотведение)</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</si>
  <si>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</si>
  <si>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</si>
  <si>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8 (4232) 230 31 21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</si>
  <si>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</si>
  <si>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</si>
  <si>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г. Владивосток, ул. Героев Варяга, 12</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</si>
  <si>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</si>
  <si>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с 09:00 до 18:00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</si>
  <si>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</si>
  <si>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</si>
  <si>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</si>
  <si>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</si>
  <si>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</si>
  <si>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</si>
  <si>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</si>
  <si>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</si>
  <si>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</si>
  <si>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</si>
  <si>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</si>
  <si>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</si>
  <si>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</si>
  <si>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</si>
  <si>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</si>
  <si>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</si>
  <si>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</si>
  <si>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</si>
  <si>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</si>
  <si>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</si>
  <si>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</si>
  <si>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</si>
  <si>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</si>
  <si>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</si>
  <si>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</si>
  <si>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</si>
  <si>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</si>
  <si>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</si>
  <si>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</si>
  <si>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</si>
  <si>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</si>
  <si>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</si>
  <si>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</si>
  <si>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</si>
  <si>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</si>
  <si>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</si>
  <si>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</si>
  <si>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</si>
  <si>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</si>
  <si>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</si>
  <si>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</si>
  <si>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</si>
  <si>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</si>
  <si>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</si>
  <si>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</si>
  <si>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</si>
  <si>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</si>
  <si>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</si>
  <si>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</si>
  <si>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</si>
  <si>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</si>
  <si>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</si>
  <si>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</si>
  <si>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</si>
  <si>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</si>
  <si>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</si>
  <si>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</si>
  <si>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</si>
  <si>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</si>
  <si>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</si>
  <si>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</si>
  <si>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</si>
  <si>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</si>
  <si>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</si>
  <si>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</si>
  <si>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</si>
  <si>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</si>
  <si>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</si>
  <si>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</si>
  <si>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</si>
  <si>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</si>
  <si>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первичное раскрытие информации</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</si>
  <si>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</si>
  <si>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</si>
  <si>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</si>
  <si>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</si>
  <si>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</si>
  <si>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</si>
  <si>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</si>
  <si>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</si>
  <si>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</si>
  <si>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</si>
  <si>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</si>
  <si>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</si>
  <si>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</si>
  <si>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</si>
  <si>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</si>
  <si>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</si>
  <si>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</si>
  <si>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</si>
  <si>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</si>
  <si>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</si>
  <si>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</si>
  <si>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</si>
  <si>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</si>
  <si>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</si>
  <si>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</si>
  <si>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</si>
  <si>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</si>
  <si>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</si>
  <si>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</si>
  <si>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</si>
  <si>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</si>
  <si>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</si>
  <si>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</si>
  <si>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</si>
  <si>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</si>
  <si>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</si>
  <si>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</si>
  <si>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</si>
  <si>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</si>
  <si>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</si>
  <si>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</si>
  <si>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</si>
  <si>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</si>
  <si>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</si>
  <si>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</si>
  <si>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</si>
  <si>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</si>
  <si>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</si>
  <si>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</si>
  <si>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</si>
  <si>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</si>
  <si>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</si>
  <si>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</si>
  <si>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</si>
  <si>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</si>
  <si>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</si>
  <si>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</si>
  <si>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</si>
  <si>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</si>
  <si>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</si>
  <si>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</si>
  <si>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</si>
  <si>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</si>
  <si>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</si>
  <si>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</si>
  <si>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</si>
  <si>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</si>
  <si>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</si>
  <si>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</si>
  <si>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</si>
  <si>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</si>
  <si>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</si>
  <si>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</si>
  <si>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</si>
  <si>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</si>
  <si>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</si>
  <si>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</si>
  <si>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</si>
  <si>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</si>
  <si>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</si>
  <si>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</si>
  <si>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</si>
  <si>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</si>
  <si>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</si>
  <si>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</si>
  <si>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</si>
  <si>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</si>
  <si>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</si>
  <si>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</si>
  <si>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</si>
  <si>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</si>
  <si>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</si>
  <si>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</si>
  <si>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</si>
  <si>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</si>
  <si>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</si>
  <si>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</si>
  <si>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</si>
  <si>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</si>
  <si>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</si>
  <si>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</si>
  <si>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</si>
  <si>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</si>
  <si>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</si>
  <si>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</si>
  <si>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</si>
  <si>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</si>
  <si>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</si>
  <si>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</si>
  <si>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</si>
  <si>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</si>
  <si>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</si>
  <si>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</si>
  <si>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</si>
  <si>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</si>
  <si>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</si>
  <si>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</si>
  <si>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</si>
  <si>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</si>
  <si>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</si>
  <si>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</si>
  <si>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</si>
  <si>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</si>
  <si>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</si>
  <si>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</si>
  <si>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</si>
  <si>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</si>
  <si>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</si>
  <si>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</si>
  <si>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</si>
  <si>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</si>
  <si>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</si>
  <si>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</si>
  <si>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</si>
  <si>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</si>
  <si>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</si>
  <si>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</si>
  <si>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</si>
  <si>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</si>
  <si>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</si>
  <si>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</si>
  <si>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</si>
  <si>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</si>
  <si>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</si>
  <si>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</si>
  <si>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</si>
  <si>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</si>
  <si>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</si>
  <si>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</si>
  <si>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</si>
  <si>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</si>
  <si>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</si>
  <si>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</si>
  <si>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</si>
  <si>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</si>
  <si>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</si>
  <si>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</si>
  <si>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</si>
  <si>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</si>
  <si>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</si>
  <si>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</si>
  <si>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</si>
  <si>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</si>
  <si>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</si>
  <si>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</si>
  <si>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</si>
  <si>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</si>
  <si>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</si>
  <si>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</si>
  <si>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</si>
  <si>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</si>
  <si>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</si>
  <si>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</si>
  <si>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</si>
  <si>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</si>
  <si>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</si>
  <si>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</si>
  <si>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</si>
  <si>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</si>
  <si>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</si>
  <si>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</si>
  <si>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</si>
  <si>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</si>
  <si>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</si>
  <si>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</si>
  <si>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</si>
  <si>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</si>
  <si>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</si>
  <si>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</si>
  <si>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</si>
  <si>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</si>
  <si>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</si>
  <si>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</si>
  <si>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</si>
  <si>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</si>
  <si>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</si>
  <si>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</si>
  <si>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</si>
  <si>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</si>
  <si>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</si>
  <si>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</si>
  <si>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</si>
  <si>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</si>
  <si>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</si>
  <si>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</si>
  <si>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</si>
  <si>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</si>
  <si>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</si>
  <si>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</si>
  <si>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</si>
  <si>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</si>
  <si>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</si>
  <si>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</si>
  <si>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</si>
  <si>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</si>
  <si>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</si>
  <si>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</si>
  <si>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</si>
  <si>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</si>
  <si>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</si>
  <si>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</si>
  <si>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</si>
  <si>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</si>
  <si>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</si>
  <si>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</si>
  <si>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</si>
  <si>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</si>
  <si>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</si>
  <si>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</si>
  <si>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</si>
  <si>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</si>
  <si>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</si>
  <si>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</si>
  <si>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</si>
  <si>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</si>
  <si>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</si>
  <si>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</si>
  <si>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</si>
  <si>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</si>
  <si>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</si>
  <si>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</si>
  <si>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</si>
  <si>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</si>
  <si>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</si>
  <si>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</si>
  <si>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</si>
  <si>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</si>
  <si>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</si>
  <si>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</si>
  <si>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</si>
  <si>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</si>
  <si>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</si>
  <si>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</si>
  <si>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</si>
  <si>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</si>
  <si>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</si>
  <si>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</si>
  <si>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</si>
  <si>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</si>
  <si>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</si>
  <si>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</si>
  <si>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</si>
  <si>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</si>
  <si>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</si>
  <si>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</si>
  <si>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</si>
  <si>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</si>
  <si>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</si>
  <si>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</si>
  <si>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</si>
  <si>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</si>
  <si>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</si>
  <si>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</si>
  <si>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</si>
  <si>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</si>
  <si>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</si>
  <si>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</si>
  <si>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</si>
  <si>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</si>
  <si>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</si>
  <si>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</si>
  <si>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</si>
  <si>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</si>
  <si>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</si>
  <si>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</si>
  <si>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</si>
  <si>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</si>
  <si>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</si>
  <si>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</si>
  <si>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</si>
  <si>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</si>
  <si>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</si>
  <si>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</si>
  <si>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</si>
  <si>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</si>
  <si>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</si>
  <si>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</si>
  <si>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</si>
  <si>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</si>
  <si>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</si>
  <si>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</si>
  <si>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</si>
  <si>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</si>
  <si>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</si>
  <si>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</si>
  <si>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</si>
  <si>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</si>
  <si>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</si>
  <si>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</si>
  <si>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</si>
  <si>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</si>
  <si>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</si>
  <si>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</si>
  <si>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</si>
  <si>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</si>
  <si>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</si>
  <si>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</si>
  <si>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</si>
  <si>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</si>
  <si>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</si>
  <si>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</si>
  <si>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</si>
  <si>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</si>
  <si>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</si>
  <si>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</si>
  <si>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</si>
  <si>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</si>
  <si>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</si>
  <si>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</si>
  <si>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</si>
  <si>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</si>
  <si>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</si>
  <si>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</si>
  <si>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</si>
  <si>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</si>
  <si>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</si>
  <si>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</si>
  <si>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</si>
  <si>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</si>
  <si>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</si>
  <si>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</si>
  <si>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</si>
  <si>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</si>
  <si>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</si>
  <si>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</si>
  <si>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</si>
  <si>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</si>
  <si>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</si>
  <si>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</si>
  <si>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</si>
  <si>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</si>
  <si>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</si>
  <si>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</si>
  <si>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</si>
  <si>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</si>
  <si>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</si>
  <si>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</si>
  <si>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</si>
  <si>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</si>
  <si>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</si>
  <si>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</si>
  <si>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</si>
  <si>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</si>
  <si>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</si>
  <si>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</si>
  <si>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</si>
  <si>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</si>
  <si>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</si>
  <si>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</si>
  <si>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</si>
  <si>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</si>
  <si>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</si>
  <si>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</si>
  <si>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</si>
  <si>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</si>
  <si>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</si>
  <si>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</si>
  <si>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</si>
  <si>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</si>
  <si>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</si>
  <si>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</si>
  <si>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</si>
  <si>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</si>
  <si>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</si>
  <si>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</si>
  <si>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</si>
  <si>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</si>
  <si>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</si>
  <si>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</si>
  <si>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</si>
  <si>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</si>
  <si>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</si>
  <si>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</si>
  <si>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</si>
  <si>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</si>
  <si>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</si>
  <si>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</si>
  <si>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</si>
  <si>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</si>
  <si>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</si>
  <si>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</si>
  <si>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</si>
  <si>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</si>
  <si>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</si>
  <si>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</si>
  <si>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</si>
  <si>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</si>
  <si>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</si>
  <si>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</si>
  <si>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</si>
  <si>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</si>
  <si>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</si>
  <si>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</si>
  <si>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</si>
  <si>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</si>
  <si>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</si>
  <si>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</si>
  <si>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</si>
  <si>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</si>
  <si>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</si>
  <si>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</si>
  <si>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</si>
  <si>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</si>
  <si>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</si>
  <si>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</si>
  <si>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</si>
  <si>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</si>
  <si>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</si>
  <si>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</si>
  <si>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</si>
  <si>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</si>
  <si>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</si>
  <si>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</si>
  <si>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</si>
  <si>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</si>
  <si>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</si>
  <si>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</si>
  <si>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</si>
  <si>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</si>
  <si>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</si>
  <si>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</si>
  <si>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</si>
  <si>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</si>
  <si>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</si>
  <si>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</si>
  <si>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</si>
  <si>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</si>
  <si>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</si>
  <si>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</si>
  <si>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</si>
  <si>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</si>
  <si>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</si>
  <si>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</si>
  <si>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</si>
  <si>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</si>
  <si>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</si>
  <si>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</si>
  <si>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</si>
  <si>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</si>
  <si>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</si>
  <si>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</si>
  <si>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</si>
  <si>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</si>
  <si>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</si>
  <si>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</si>
  <si>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</si>
  <si>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</si>
  <si>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5111111111111</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</si>
  <si>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</si>
  <si>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</si>
  <si>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</si>
  <si>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</si>
  <si>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</si>
  <si>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</si>
  <si>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</si>
  <si>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</si>
  <si>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</si>
  <si>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</si>
  <si>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</si>
  <si>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</si>
  <si>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</si>
  <si>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</si>
  <si>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</si>
  <si>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</si>
  <si>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</si>
  <si>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</si>
  <si>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</si>
  <si>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</si>
  <si>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</si>
  <si>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</si>
  <si>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</si>
  <si>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</si>
  <si>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</si>
  <si>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</si>
  <si>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</si>
  <si>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</si>
  <si>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</si>
  <si>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</si>
  <si>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</si>
  <si>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</si>
  <si>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</si>
  <si>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</si>
  <si>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</si>
  <si>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</si>
  <si>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</si>
  <si>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</si>
  <si>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</si>
  <si>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</si>
  <si>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</si>
  <si>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</si>
  <si>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</si>
  <si>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</si>
  <si>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</si>
  <si>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</si>
  <si>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</si>
  <si>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</si>
  <si>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</si>
  <si>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</si>
  <si>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</si>
  <si>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</si>
  <si>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</si>
  <si>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</si>
  <si>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</si>
  <si>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</si>
  <si>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</si>
  <si>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</si>
  <si>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</si>
  <si>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</si>
  <si>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</si>
  <si>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</si>
  <si>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</si>
  <si>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</si>
  <si>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</si>
  <si>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</si>
  <si>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</si>
  <si>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</si>
  <si>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</si>
  <si>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</si>
  <si>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</si>
  <si>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</si>
  <si>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</si>
  <si>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</si>
  <si>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</si>
  <si>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</si>
  <si>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</si>
  <si>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</si>
  <si>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</si>
  <si>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</si>
  <si>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</si>
  <si>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</si>
  <si>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</si>
  <si>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</si>
  <si>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</si>
  <si>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</si>
  <si>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</si>
  <si>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</si>
  <si>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</si>
  <si>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</si>
  <si>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</si>
  <si>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</si>
  <si>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</si>
  <si>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</si>
  <si>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</si>
  <si>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</si>
  <si>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</si>
  <si>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</si>
  <si>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</si>
  <si>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</si>
  <si>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</si>
  <si>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</si>
  <si>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</si>
  <si>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</si>
  <si>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</si>
  <si>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</si>
  <si>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</si>
  <si>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</si>
  <si>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</si>
  <si>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</si>
  <si>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</si>
  <si>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</si>
  <si>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</si>
  <si>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</si>
  <si>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</si>
  <si>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</si>
  <si>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</si>
  <si>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</si>
  <si>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</si>
  <si>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</si>
  <si>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</si>
  <si>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</si>
  <si>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</si>
  <si>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</si>
  <si>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</si>
  <si>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</si>
  <si>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</si>
  <si>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</si>
  <si>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</si>
  <si>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</si>
  <si>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</si>
  <si>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</si>
  <si>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</si>
  <si>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</si>
  <si>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</si>
  <si>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</si>
  <si>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</si>
  <si>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</si>
  <si>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</si>
  <si>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</si>
  <si>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</si>
  <si>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</si>
  <si>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</si>
  <si>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</si>
  <si>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</si>
  <si>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</si>
  <si>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</si>
  <si>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</si>
  <si>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</si>
  <si>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</si>
  <si>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</si>
  <si>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</si>
  <si>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</si>
  <si>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</si>
  <si>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</si>
  <si>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</si>
  <si>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</si>
  <si>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</si>
  <si>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</si>
  <si>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</si>
  <si>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</si>
  <si>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</si>
  <si>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</si>
  <si>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</si>
  <si>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</si>
  <si>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</si>
  <si>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</si>
  <si>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</si>
  <si>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</si>
  <si>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</si>
  <si>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</si>
  <si>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</si>
  <si>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</si>
  <si>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</si>
  <si>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</si>
  <si>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</si>
  <si>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</si>
  <si>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</si>
  <si>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</si>
  <si>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</si>
  <si>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</si>
  <si>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</si>
  <si>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</si>
  <si>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</si>
  <si>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</si>
  <si>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</si>
  <si>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</si>
  <si>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</si>
  <si>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</si>
  <si>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</si>
  <si>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</si>
  <si>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</si>
  <si>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</si>
  <si>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</si>
  <si>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</si>
  <si>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</si>
  <si>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</si>
  <si>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</si>
  <si>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</si>
  <si>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</si>
  <si>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</si>
  <si>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</si>
  <si>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</si>
  <si>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</si>
  <si>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</si>
  <si>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</si>
  <si>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</si>
  <si>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</si>
  <si>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</si>
  <si>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</si>
  <si>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</si>
  <si>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Изменение в постановление агентства по тарифам Приморского края от 20.12.2023 №71/10</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</si>
  <si>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</si>
  <si>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</si>
  <si>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</si>
  <si>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</si>
  <si>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</si>
  <si>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</si>
  <si>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</si>
  <si>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</si>
  <si>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</si>
  <si>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</si>
  <si>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</si>
  <si>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</si>
  <si>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</si>
  <si>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</si>
  <si>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</si>
  <si>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</si>
  <si>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</si>
  <si>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</si>
  <si>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</si>
  <si>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</si>
  <si>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</si>
  <si>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</si>
  <si>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</si>
  <si>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</si>
  <si>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</si>
  <si>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</si>
  <si>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</si>
  <si>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</si>
  <si>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</si>
  <si>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</si>
  <si>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</si>
  <si>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</si>
  <si>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</si>
  <si>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</si>
  <si>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</si>
  <si>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</si>
  <si>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</si>
  <si>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</si>
  <si>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</si>
  <si>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</si>
  <si>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</si>
  <si>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</si>
  <si>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</si>
  <si>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</si>
  <si>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</si>
  <si>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</si>
  <si>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</si>
  <si>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</si>
  <si>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</si>
  <si>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</si>
  <si>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</si>
  <si>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</si>
  <si>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</si>
  <si>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</si>
  <si>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</si>
  <si>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</si>
  <si>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</si>
  <si>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</si>
  <si>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</si>
  <si>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</si>
  <si>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</si>
  <si>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</si>
  <si>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</si>
  <si>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</si>
  <si>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</si>
  <si>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</si>
  <si>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</si>
  <si>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</si>
  <si>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</si>
  <si>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</si>
  <si>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</si>
  <si>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</si>
  <si>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</si>
  <si>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</si>
  <si>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</si>
  <si>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</si>
  <si>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</si>
  <si>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</si>
  <si>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</si>
  <si>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</si>
  <si>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</si>
  <si>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</si>
  <si>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</si>
  <si>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</si>
  <si>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</si>
  <si>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</si>
  <si>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</si>
  <si>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</si>
  <si>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</si>
  <si>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</si>
  <si>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</si>
  <si>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</si>
  <si>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</si>
  <si>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</si>
  <si>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</si>
  <si>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</si>
  <si>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</si>
  <si>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</si>
  <si>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</si>
  <si>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</si>
  <si>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</si>
  <si>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</si>
  <si>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</si>
  <si>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</si>
  <si>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</si>
  <si>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</si>
  <si>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</si>
  <si>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</si>
  <si>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</si>
  <si>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</si>
  <si>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</si>
  <si>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</si>
  <si>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</si>
  <si>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</si>
  <si>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</si>
  <si>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</si>
  <si>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</si>
  <si>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</si>
  <si>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</si>
  <si>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</si>
  <si>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</si>
  <si>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</si>
  <si>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</si>
  <si>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</si>
  <si>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</si>
  <si>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</si>
  <si>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</si>
  <si>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</si>
  <si>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</si>
  <si>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</si>
  <si>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</si>
  <si>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</si>
  <si>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</si>
  <si>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</si>
  <si>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</si>
  <si>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</si>
  <si>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</si>
  <si>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</si>
  <si>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</si>
  <si>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</si>
  <si>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</si>
  <si>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</si>
  <si>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</si>
  <si>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</si>
  <si>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</si>
  <si>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</si>
  <si>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</si>
  <si>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</si>
  <si>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</si>
  <si>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</si>
  <si>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</si>
  <si>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</si>
  <si>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</si>
  <si>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</si>
  <si>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</si>
  <si>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</si>
  <si>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</si>
  <si>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</si>
  <si>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</si>
  <si>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</si>
  <si>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</si>
  <si>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</si>
  <si>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</si>
  <si>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</si>
  <si>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</si>
  <si>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</si>
  <si>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</si>
  <si>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</si>
  <si>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</si>
  <si>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</si>
  <si>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</si>
  <si>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</si>
  <si>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</si>
  <si>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</si>
  <si>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</si>
  <si>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</si>
  <si>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</si>
  <si>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</si>
  <si>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</si>
  <si>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</si>
  <si>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</si>
  <si>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</si>
  <si>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</si>
  <si>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</si>
  <si>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</si>
  <si>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</si>
  <si>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</si>
  <si>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</si>
  <si>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</si>
  <si>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</si>
  <si>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</si>
  <si>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</si>
  <si>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</si>
  <si>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</si>
  <si>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</si>
  <si>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</si>
  <si>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</si>
  <si>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</si>
  <si>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</si>
  <si>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</si>
  <si>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</si>
  <si>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</si>
  <si>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</si>
  <si>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</si>
  <si>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</si>
  <si>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</si>
  <si>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</si>
  <si>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</si>
  <si>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</si>
  <si>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</si>
  <si>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</si>
  <si>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</si>
  <si>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</si>
  <si>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</si>
  <si>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</si>
  <si>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</si>
  <si>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</si>
  <si>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</si>
  <si>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</si>
  <si>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</si>
  <si>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</si>
  <si>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</si>
  <si>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</si>
  <si>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</si>
  <si>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</si>
  <si>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</si>
  <si>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</si>
  <si>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</si>
  <si>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</si>
  <si>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</si>
  <si>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</si>
  <si>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</si>
  <si>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</si>
  <si>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</si>
  <si>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</si>
  <si>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</si>
  <si>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</si>
  <si>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</si>
  <si>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</si>
  <si>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</si>
  <si>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</si>
  <si>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</si>
  <si>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</si>
  <si>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</si>
  <si>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</si>
  <si>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</si>
  <si>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</si>
  <si>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</si>
  <si>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</si>
  <si>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</si>
  <si>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</si>
  <si>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</si>
  <si>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</si>
  <si>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</si>
  <si>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</si>
  <si>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</si>
  <si>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</si>
  <si>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</si>
  <si>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</si>
  <si>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</si>
  <si>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</si>
  <si>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</si>
  <si>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</si>
  <si>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</si>
  <si>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</si>
  <si>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</si>
  <si>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</si>
  <si>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</si>
  <si>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</si>
  <si>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</si>
  <si>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</si>
  <si>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</si>
  <si>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</si>
  <si>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</si>
  <si>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</si>
  <si>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</si>
  <si>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</si>
  <si>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</si>
  <si>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</si>
  <si>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</si>
  <si>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</si>
  <si>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</si>
  <si>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</si>
  <si>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</si>
  <si>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</si>
  <si>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</si>
  <si>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</si>
  <si>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</si>
  <si>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</si>
  <si>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</si>
  <si>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</si>
  <si>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</si>
  <si>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</si>
  <si>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</si>
  <si>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</si>
  <si>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</si>
  <si>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</si>
  <si>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</si>
  <si>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</si>
  <si>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</si>
  <si>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</si>
  <si>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</si>
  <si>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</si>
  <si>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</si>
  <si>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</si>
  <si>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</si>
  <si>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</si>
  <si>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</si>
  <si>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</si>
  <si>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</si>
  <si>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</si>
  <si>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</si>
  <si>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</si>
  <si>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</si>
  <si>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</si>
  <si>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</si>
  <si>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</si>
  <si>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</si>
  <si>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</si>
  <si>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</si>
  <si>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</si>
  <si>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</si>
  <si>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</si>
  <si>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</si>
  <si>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</si>
  <si>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</si>
  <si>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</si>
  <si>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</si>
  <si>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</si>
  <si>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</si>
  <si>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</si>
  <si>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</si>
  <si>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</si>
  <si>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</si>
  <si>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</si>
  <si>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</si>
  <si>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</si>
  <si>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</si>
  <si>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</si>
  <si>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</si>
  <si>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</si>
  <si>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</si>
  <si>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</si>
  <si>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</si>
  <si>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</si>
  <si>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</si>
  <si>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</si>
  <si>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</si>
  <si>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</si>
  <si>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</si>
  <si>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2664</t>
  </si>
  <si>
    <t>АГЕНТСТВО ПО ТАРИФАМ ПРИМОРСКОГО КРАЯ</t>
  </si>
  <si>
    <t>2540069025</t>
  </si>
  <si>
    <t>254001001</t>
  </si>
  <si>
    <t>26470028</t>
  </si>
  <si>
    <t>АО " Находкинский морской торговый порт"</t>
  </si>
  <si>
    <t>2508001449</t>
  </si>
  <si>
    <t>250801001</t>
  </si>
  <si>
    <t>26565199</t>
  </si>
  <si>
    <t>АО "Артемовская экспедиция"</t>
  </si>
  <si>
    <t>2502016255</t>
  </si>
  <si>
    <t>250201001</t>
  </si>
  <si>
    <t>26470102</t>
  </si>
  <si>
    <t>АО "Горнорудная компания "АИР"</t>
  </si>
  <si>
    <t>2517005270</t>
  </si>
  <si>
    <t>254250001</t>
  </si>
  <si>
    <t>31664312</t>
  </si>
  <si>
    <t>АО "ДГК"</t>
  </si>
  <si>
    <t>1434031363</t>
  </si>
  <si>
    <t>253645001</t>
  </si>
  <si>
    <t>27051081</t>
  </si>
  <si>
    <t>997450001</t>
  </si>
  <si>
    <t>19-12-2005 00:00:00</t>
  </si>
  <si>
    <t>26759235</t>
  </si>
  <si>
    <t>АО "ДГК" филиал ЛуТЭК</t>
  </si>
  <si>
    <t>252602001</t>
  </si>
  <si>
    <t>26759238</t>
  </si>
  <si>
    <t>АО "ДГК" филиал Приморская генерация</t>
  </si>
  <si>
    <t>253602001</t>
  </si>
  <si>
    <t>26470018</t>
  </si>
  <si>
    <t>АО "Дальневосточный завод "Звезда"</t>
  </si>
  <si>
    <t>2503026908</t>
  </si>
  <si>
    <t>250301001</t>
  </si>
  <si>
    <t>26781662</t>
  </si>
  <si>
    <t>АО "Желдорреммаш" филиал "Уссурийский локомотиворемонтный завод"</t>
  </si>
  <si>
    <t>7715729877</t>
  </si>
  <si>
    <t>251143001</t>
  </si>
  <si>
    <t>26470114</t>
  </si>
  <si>
    <t>АО "Импульс"</t>
  </si>
  <si>
    <t>2528000926</t>
  </si>
  <si>
    <t>252801001</t>
  </si>
  <si>
    <t>26469962</t>
  </si>
  <si>
    <t>АО "Кислород"</t>
  </si>
  <si>
    <t>2511000090</t>
  </si>
  <si>
    <t>251101001</t>
  </si>
  <si>
    <t>28048296</t>
  </si>
  <si>
    <t>АО "Кузбассэнерго"</t>
  </si>
  <si>
    <t>4200000333</t>
  </si>
  <si>
    <t>420501001</t>
  </si>
  <si>
    <t>30-12-1993 00:00:00</t>
  </si>
  <si>
    <t>26538809</t>
  </si>
  <si>
    <t>АО "МАВ"</t>
  </si>
  <si>
    <t>2502035642</t>
  </si>
  <si>
    <t>28236659</t>
  </si>
  <si>
    <t>АО "Первая инвестиционная управляющая компания"</t>
  </si>
  <si>
    <t>2536236650</t>
  </si>
  <si>
    <t>253601001</t>
  </si>
  <si>
    <t>28445259</t>
  </si>
  <si>
    <t>АО "РАО ЭС Востока"</t>
  </si>
  <si>
    <t>2801133630</t>
  </si>
  <si>
    <t>272401001</t>
  </si>
  <si>
    <t>01-07-2008 00:00:00</t>
  </si>
  <si>
    <t>26470237</t>
  </si>
  <si>
    <t>АО "Спасcкцемент"</t>
  </si>
  <si>
    <t>2510001238</t>
  </si>
  <si>
    <t>251001001</t>
  </si>
  <si>
    <t>16-06-2010 00:00:00</t>
  </si>
  <si>
    <t>26470020</t>
  </si>
  <si>
    <t>АО "Теплоэнергетическая компания"</t>
  </si>
  <si>
    <t>2503025767</t>
  </si>
  <si>
    <t>26579122</t>
  </si>
  <si>
    <t>АО "Торговый порт п. Посьет"</t>
  </si>
  <si>
    <t>2531002070</t>
  </si>
  <si>
    <t>253101001</t>
  </si>
  <si>
    <t>31355473</t>
  </si>
  <si>
    <t>АО "Уссурийское предприятие тепловых сетей"</t>
  </si>
  <si>
    <t>2511111265</t>
  </si>
  <si>
    <t>12-11-2019 00:00:00</t>
  </si>
  <si>
    <t>31256016</t>
  </si>
  <si>
    <t>АО "ХСКР"</t>
  </si>
  <si>
    <t>7708550371</t>
  </si>
  <si>
    <t>770801001</t>
  </si>
  <si>
    <t>31338821</t>
  </si>
  <si>
    <t>АО «ДВЭУК-ГенерацияСети»</t>
  </si>
  <si>
    <t>2540252341</t>
  </si>
  <si>
    <t>26-08-2019 00:00:00</t>
  </si>
  <si>
    <t>27570862</t>
  </si>
  <si>
    <t>Вагонное ремонтное депо Ружино - обособленное структурное подразделение АО "Вагонная ремонтная компания-1"</t>
  </si>
  <si>
    <t>7708737490</t>
  </si>
  <si>
    <t>250745001</t>
  </si>
  <si>
    <t>28453818</t>
  </si>
  <si>
    <t>Войсковая часть 16662</t>
  </si>
  <si>
    <t>2511015385</t>
  </si>
  <si>
    <t>30917721</t>
  </si>
  <si>
    <t>ГБУ "ХОЗУ"</t>
  </si>
  <si>
    <t>2540016993</t>
  </si>
  <si>
    <t>30365088</t>
  </si>
  <si>
    <t>ГБУЗ "Приморский краевой противотуберкулезный диспансер"</t>
  </si>
  <si>
    <t>2539009991</t>
  </si>
  <si>
    <t>253900101</t>
  </si>
  <si>
    <t>26783544</t>
  </si>
  <si>
    <t>Дальневосточная региональная дирекция железнодорожных вокзалов</t>
  </si>
  <si>
    <t>7708503727</t>
  </si>
  <si>
    <t>257650001</t>
  </si>
  <si>
    <t>26512635</t>
  </si>
  <si>
    <t>Дирекция по тепловодоснабжению - структурное подразделение ДВЖД - филиала  ОАО "РЖД"</t>
  </si>
  <si>
    <t>272445002</t>
  </si>
  <si>
    <t>27665559</t>
  </si>
  <si>
    <t>ЗАО "АПП "Полтавка"</t>
  </si>
  <si>
    <t>2522050053</t>
  </si>
  <si>
    <t>252201001</t>
  </si>
  <si>
    <t>31257634</t>
  </si>
  <si>
    <t>ЗАО "Востокбункер"</t>
  </si>
  <si>
    <t>2531004127</t>
  </si>
  <si>
    <t>04-11-2002 00:00:00</t>
  </si>
  <si>
    <t>28028907</t>
  </si>
  <si>
    <t>ЗАО "Рыболовецкий колхоз "Восток-1"</t>
  </si>
  <si>
    <t>2536010639</t>
  </si>
  <si>
    <t>26469936</t>
  </si>
  <si>
    <t>ЗАО "Тихоокеанская мостостроительная компания"</t>
  </si>
  <si>
    <t>2511024037</t>
  </si>
  <si>
    <t>31598773</t>
  </si>
  <si>
    <t>ИП Колегов Е.В.</t>
  </si>
  <si>
    <t>251100718700</t>
  </si>
  <si>
    <t>20-03-2008 00:00:00</t>
  </si>
  <si>
    <t>26469944</t>
  </si>
  <si>
    <t>КГАУСО "УРЦ"</t>
  </si>
  <si>
    <t>2511014430</t>
  </si>
  <si>
    <t>26469984</t>
  </si>
  <si>
    <t>КГБУ СО "Партизанский психоневрологический интернат"</t>
  </si>
  <si>
    <t>2509003784</t>
  </si>
  <si>
    <t>250901001</t>
  </si>
  <si>
    <t>14-03-1975 00:00:00</t>
  </si>
  <si>
    <t>26470070</t>
  </si>
  <si>
    <t>КГБУ СО «Покровский психоневрологический интернат»</t>
  </si>
  <si>
    <t>2522010501</t>
  </si>
  <si>
    <t>30840452</t>
  </si>
  <si>
    <t>КГБУЗ МЦ "Резерв"</t>
  </si>
  <si>
    <t>2521002258</t>
  </si>
  <si>
    <t>252101001</t>
  </si>
  <si>
    <t>31037796</t>
  </si>
  <si>
    <t>КГБУСО "Липовецкий ПНИ"</t>
  </si>
  <si>
    <t>2522010741</t>
  </si>
  <si>
    <t>26896946</t>
  </si>
  <si>
    <t>КГОБУ "Приморская спецшкола"</t>
  </si>
  <si>
    <t>2511016149</t>
  </si>
  <si>
    <t>26469914</t>
  </si>
  <si>
    <t>КГУП "Приморский экологический оператор"</t>
  </si>
  <si>
    <t>2504000885</t>
  </si>
  <si>
    <t>31503620</t>
  </si>
  <si>
    <t>МБУ "СКС"</t>
  </si>
  <si>
    <t>2502064403</t>
  </si>
  <si>
    <t>26-03-2021 00:00:00</t>
  </si>
  <si>
    <t>26470004</t>
  </si>
  <si>
    <t>МУП  " Теплоэнерго Черниговское"</t>
  </si>
  <si>
    <t>2533009804</t>
  </si>
  <si>
    <t>253301001</t>
  </si>
  <si>
    <t>28957242</t>
  </si>
  <si>
    <t>МУП "Городское хозяйство"</t>
  </si>
  <si>
    <t>2503031369</t>
  </si>
  <si>
    <t>30367458</t>
  </si>
  <si>
    <t>МУП "ЖКХ Ханкайского района"</t>
  </si>
  <si>
    <t>2530008552</t>
  </si>
  <si>
    <t>253001001</t>
  </si>
  <si>
    <t>26470110</t>
  </si>
  <si>
    <t>МУП "Коммунальный комплекс Пластун"</t>
  </si>
  <si>
    <t>2528885436</t>
  </si>
  <si>
    <t>26470106</t>
  </si>
  <si>
    <t>МУП "Коммунальный комплекс п. Терней"</t>
  </si>
  <si>
    <t>2528886091</t>
  </si>
  <si>
    <t>28236671</t>
  </si>
  <si>
    <t>МУП "Кристалл"</t>
  </si>
  <si>
    <t>2516000270</t>
  </si>
  <si>
    <t>251601001</t>
  </si>
  <si>
    <t>26469970</t>
  </si>
  <si>
    <t>МУП "Уссурийск-Водоканал"</t>
  </si>
  <si>
    <t>2511040110</t>
  </si>
  <si>
    <t>28870695</t>
  </si>
  <si>
    <t>МУП ВКХ "Сибирцевское"</t>
  </si>
  <si>
    <t>2533010670</t>
  </si>
  <si>
    <t>30367433</t>
  </si>
  <si>
    <t>МУП Пожарского МР "Лидер"</t>
  </si>
  <si>
    <t>2526011560</t>
  </si>
  <si>
    <t>252601001</t>
  </si>
  <si>
    <t>26320288</t>
  </si>
  <si>
    <t>МУПВ "ВПЭС"</t>
  </si>
  <si>
    <t>2504000684</t>
  </si>
  <si>
    <t>28870593</t>
  </si>
  <si>
    <t>Михайловское РАЙПО</t>
  </si>
  <si>
    <t>2520007310</t>
  </si>
  <si>
    <t>252001001</t>
  </si>
  <si>
    <t>27572835</t>
  </si>
  <si>
    <t>ОАО "178 СРЗ"</t>
  </si>
  <si>
    <t>2536210349</t>
  </si>
  <si>
    <t>26469916</t>
  </si>
  <si>
    <t>ОАО "Владивостокский морской рыбный порт"</t>
  </si>
  <si>
    <t>2537009770</t>
  </si>
  <si>
    <t>253701001</t>
  </si>
  <si>
    <t>27630255</t>
  </si>
  <si>
    <t>ОАО "ДГК" СП Владивостокская ТЭЦ-2</t>
  </si>
  <si>
    <t>253632001</t>
  </si>
  <si>
    <t>27572850</t>
  </si>
  <si>
    <t>ОАО "Дальприбор"</t>
  </si>
  <si>
    <t>2539008807</t>
  </si>
  <si>
    <t>253901001</t>
  </si>
  <si>
    <t>27572819</t>
  </si>
  <si>
    <t>ОАО "Изумруд"</t>
  </si>
  <si>
    <t>2539028264</t>
  </si>
  <si>
    <t>26469960</t>
  </si>
  <si>
    <t>ОАО "Молочный завод "Уссурийский"</t>
  </si>
  <si>
    <t>2511001569</t>
  </si>
  <si>
    <t>25-07-2024 00:00:00</t>
  </si>
  <si>
    <t>26930742</t>
  </si>
  <si>
    <t>ОАО "Российские железные дороги"</t>
  </si>
  <si>
    <t>272131009</t>
  </si>
  <si>
    <t>26470108</t>
  </si>
  <si>
    <t>ОАО "Тернейлес"</t>
  </si>
  <si>
    <t>2528000813</t>
  </si>
  <si>
    <t>28870656</t>
  </si>
  <si>
    <t>ООО "АИТ"</t>
  </si>
  <si>
    <t>7743816842</t>
  </si>
  <si>
    <t>31037792</t>
  </si>
  <si>
    <t>ООО "Автомобильный переход Краскино"</t>
  </si>
  <si>
    <t>2531008210</t>
  </si>
  <si>
    <t>28870716</t>
  </si>
  <si>
    <t>ООО "БМК"</t>
  </si>
  <si>
    <t>2508115950</t>
  </si>
  <si>
    <t>27572866</t>
  </si>
  <si>
    <t>ООО "ВОЭРМЗ"</t>
  </si>
  <si>
    <t>2538125339</t>
  </si>
  <si>
    <t>30893385</t>
  </si>
  <si>
    <t>ООО "Водэкон"</t>
  </si>
  <si>
    <t>2524001189</t>
  </si>
  <si>
    <t>252401001</t>
  </si>
  <si>
    <t>07-12-2016 00:00:00</t>
  </si>
  <si>
    <t>31594636</t>
  </si>
  <si>
    <t>ООО "Восток Сервис Бункер"</t>
  </si>
  <si>
    <t>2508133131</t>
  </si>
  <si>
    <t>03-05-2018 00:00:00</t>
  </si>
  <si>
    <t>31519396</t>
  </si>
  <si>
    <t>ООО "Гранд"</t>
  </si>
  <si>
    <t>2508092767</t>
  </si>
  <si>
    <t>17-09-2021 00:00:00</t>
  </si>
  <si>
    <t>30840423</t>
  </si>
  <si>
    <t>ООО "Дальнегорский ГОК"</t>
  </si>
  <si>
    <t>7718957575</t>
  </si>
  <si>
    <t>250501001</t>
  </si>
  <si>
    <t>26470078</t>
  </si>
  <si>
    <t>ООО "ЖЭУ Волчанец"</t>
  </si>
  <si>
    <t>2524112107</t>
  </si>
  <si>
    <t>30840445</t>
  </si>
  <si>
    <t>ООО "Живая Планета"</t>
  </si>
  <si>
    <t>2543000215</t>
  </si>
  <si>
    <t>26470076</t>
  </si>
  <si>
    <t>ООО "Жилищно-коммунальное хозяйство"</t>
  </si>
  <si>
    <t>2524111706</t>
  </si>
  <si>
    <t>31451915</t>
  </si>
  <si>
    <t>ООО "ИКС поселок Новый"</t>
  </si>
  <si>
    <t>2521016606</t>
  </si>
  <si>
    <t>19-11-2020 00:00:00</t>
  </si>
  <si>
    <t>31351347</t>
  </si>
  <si>
    <t>ООО "ИКС-Фокино"</t>
  </si>
  <si>
    <t>2537139561</t>
  </si>
  <si>
    <t>251201001</t>
  </si>
  <si>
    <t>19-02-2019 00:00:00</t>
  </si>
  <si>
    <t>26762798</t>
  </si>
  <si>
    <t>ООО "Луч"</t>
  </si>
  <si>
    <t>2524003651</t>
  </si>
  <si>
    <t>26771757</t>
  </si>
  <si>
    <t>ООО "Мик Восток"</t>
  </si>
  <si>
    <t>2524002263</t>
  </si>
  <si>
    <t>31718156</t>
  </si>
  <si>
    <t>ООО "Новая Энергетика"</t>
  </si>
  <si>
    <t>2543168948</t>
  </si>
  <si>
    <t>254301001</t>
  </si>
  <si>
    <t>28870645</t>
  </si>
  <si>
    <t>ООО "Приграничье"</t>
  </si>
  <si>
    <t>2536152619</t>
  </si>
  <si>
    <t>29649591</t>
  </si>
  <si>
    <t>ООО "Приморская соя"</t>
  </si>
  <si>
    <t>7730168471</t>
  </si>
  <si>
    <t>26544267</t>
  </si>
  <si>
    <t>ООО "РН-Морской терминал Находка"</t>
  </si>
  <si>
    <t>2508070844</t>
  </si>
  <si>
    <t>26416221</t>
  </si>
  <si>
    <t>ООО "РН-Энерго"</t>
  </si>
  <si>
    <t>7706525041</t>
  </si>
  <si>
    <t>997650001</t>
  </si>
  <si>
    <t>02-05-2012 00:00:00</t>
  </si>
  <si>
    <t>31542883</t>
  </si>
  <si>
    <t>ООО "ССК "Звезда"</t>
  </si>
  <si>
    <t>2503032517</t>
  </si>
  <si>
    <t>17-12-2015 00:00:00</t>
  </si>
  <si>
    <t>31409366</t>
  </si>
  <si>
    <t>ООО "СУМ БАСКО"</t>
  </si>
  <si>
    <t>2539114604</t>
  </si>
  <si>
    <t>26469994</t>
  </si>
  <si>
    <t>ООО "Санаторий "Амурский залив"</t>
  </si>
  <si>
    <t>2539042519</t>
  </si>
  <si>
    <t>08-09-1999 00:00:00</t>
  </si>
  <si>
    <t>28870724</t>
  </si>
  <si>
    <t>ООО "Спасскэнергия"</t>
  </si>
  <si>
    <t>2510013402</t>
  </si>
  <si>
    <t>26469942</t>
  </si>
  <si>
    <t>ООО "Сталкер"</t>
  </si>
  <si>
    <t>2511034892</t>
  </si>
  <si>
    <t>26470092</t>
  </si>
  <si>
    <t>ООО "ТТП НЛХ Бикин"</t>
  </si>
  <si>
    <t>2526008126</t>
  </si>
  <si>
    <t>28028705</t>
  </si>
  <si>
    <t>ООО "Техстройдом"</t>
  </si>
  <si>
    <t>2508079526</t>
  </si>
  <si>
    <t>26759412</t>
  </si>
  <si>
    <t>ООО "Транснефть - порт Козьмино"</t>
  </si>
  <si>
    <t>2508081814</t>
  </si>
  <si>
    <t>26525181</t>
  </si>
  <si>
    <t>ООО "УК ПВЭСиК"</t>
  </si>
  <si>
    <t>2526007193</t>
  </si>
  <si>
    <t>26573160</t>
  </si>
  <si>
    <t>ООО "Управляющая Компания "ТЭК Арсеньев"</t>
  </si>
  <si>
    <t>2501014449</t>
  </si>
  <si>
    <t>250101001</t>
  </si>
  <si>
    <t>30985360</t>
  </si>
  <si>
    <t>ООО "Хасантепло"</t>
  </si>
  <si>
    <t>2531012946</t>
  </si>
  <si>
    <t>28856110</t>
  </si>
  <si>
    <t>ООО "Цефей"</t>
  </si>
  <si>
    <t>2517010802</t>
  </si>
  <si>
    <t>251701001</t>
  </si>
  <si>
    <t>28870666</t>
  </si>
  <si>
    <t>ООО "Энергия"</t>
  </si>
  <si>
    <t>2536273740</t>
  </si>
  <si>
    <t>30858864</t>
  </si>
  <si>
    <t>ООО "Энергокомплекс"</t>
  </si>
  <si>
    <t>2536297036</t>
  </si>
  <si>
    <t>26649772</t>
  </si>
  <si>
    <t>ООО «А-ЛИСА»</t>
  </si>
  <si>
    <t>2531002320</t>
  </si>
  <si>
    <t>14-06-2006 00:00:00</t>
  </si>
  <si>
    <t>26649796</t>
  </si>
  <si>
    <t>ООО «Абсолют-Сервис»</t>
  </si>
  <si>
    <t>2506010617</t>
  </si>
  <si>
    <t>250601001</t>
  </si>
  <si>
    <t>30856884</t>
  </si>
  <si>
    <t>ООО НПП "ВЛАДПОРТБУНКЕР"</t>
  </si>
  <si>
    <t>2540016136</t>
  </si>
  <si>
    <t>27572997</t>
  </si>
  <si>
    <t>ПАО "Владивостокский морской торговый порт"</t>
  </si>
  <si>
    <t>2504000204</t>
  </si>
  <si>
    <t>26649737</t>
  </si>
  <si>
    <t>ПАО "Находкинский судоремонтный завод"</t>
  </si>
  <si>
    <t>2508001431</t>
  </si>
  <si>
    <t>31207123</t>
  </si>
  <si>
    <t>ПАО "РусГидро"</t>
  </si>
  <si>
    <t>2460066195</t>
  </si>
  <si>
    <t>246601001</t>
  </si>
  <si>
    <t>16-10-2018 00:00:00</t>
  </si>
  <si>
    <t>26771730</t>
  </si>
  <si>
    <t>ПСМК "Энергия"</t>
  </si>
  <si>
    <t>2517001244</t>
  </si>
  <si>
    <t>27-08-2009 00:00:00</t>
  </si>
  <si>
    <t>30795400</t>
  </si>
  <si>
    <t>Пограничное управление ФСБ РФ по Приморскому краю</t>
  </si>
  <si>
    <t>2536164734</t>
  </si>
  <si>
    <t>27-12-2005 00:00:00</t>
  </si>
  <si>
    <t>30365083</t>
  </si>
  <si>
    <t>Седьмой отдельный авиационный отряд ФСБ РФ</t>
  </si>
  <si>
    <t>7702232171</t>
  </si>
  <si>
    <t>253902001</t>
  </si>
  <si>
    <t>26469990</t>
  </si>
  <si>
    <t>Управление Федеральной службы безопасности по Приморскому краю</t>
  </si>
  <si>
    <t>2540012484</t>
  </si>
  <si>
    <t>26783549</t>
  </si>
  <si>
    <t>Уссурийская дистанция гражданских сооружений</t>
  </si>
  <si>
    <t>252102001</t>
  </si>
  <si>
    <t>26469924</t>
  </si>
  <si>
    <t>ФГБОУ "Всероссийский детский центр "Океан"</t>
  </si>
  <si>
    <t>2539009984</t>
  </si>
  <si>
    <t>30926365</t>
  </si>
  <si>
    <t>ФГБУ «ЦЖКУ» МО РФ (Филиал ФГБУ «ЦЖКУ» МО РФ по ВВО)</t>
  </si>
  <si>
    <t>7729314745</t>
  </si>
  <si>
    <t>272443001</t>
  </si>
  <si>
    <t>20-03-2017 00:00:00</t>
  </si>
  <si>
    <t>31281395</t>
  </si>
  <si>
    <t>ФГБУН "Федеральный научный центр биоразнообразия наземной биоты Восточной Азии" ДВО РАН-филиал "Горнотаежная станция им.В.Л. Комарова"</t>
  </si>
  <si>
    <t>2539007634</t>
  </si>
  <si>
    <t>30858640</t>
  </si>
  <si>
    <t>ФГКУ "Войсковая часть 2430"</t>
  </si>
  <si>
    <t>2538143578</t>
  </si>
  <si>
    <t>28945519</t>
  </si>
  <si>
    <t>ФГКУ "Доблесть"</t>
  </si>
  <si>
    <t>2521002240</t>
  </si>
  <si>
    <t>26470124</t>
  </si>
  <si>
    <t>ФКУ ИК-20 ГУФСИН России по Приморскому краю</t>
  </si>
  <si>
    <t>2502025612</t>
  </si>
  <si>
    <t>26650028</t>
  </si>
  <si>
    <t>ФКУ ИК-31 ГУФСИН России по Приморскому краю</t>
  </si>
  <si>
    <t>2534005496</t>
  </si>
  <si>
    <t>253401001</t>
  </si>
  <si>
    <t>26469988</t>
  </si>
  <si>
    <t>ФКУ ИК-33 ГУФСИН России по Приморскому краю</t>
  </si>
  <si>
    <t>2510001220</t>
  </si>
  <si>
    <t>26469968</t>
  </si>
  <si>
    <t>ФКУ ИК-41 ГУФСИН России по Приморскому краю</t>
  </si>
  <si>
    <t>2511002241</t>
  </si>
  <si>
    <t>26649748</t>
  </si>
  <si>
    <t>ФКУ КП-49 ГУФСИН России по Приморскому краю</t>
  </si>
  <si>
    <t>2538023601</t>
  </si>
  <si>
    <t>26469954</t>
  </si>
  <si>
    <t>ФКУ СИЗО-2 ГУФСИН по Приморскому краю</t>
  </si>
  <si>
    <t>2511034638</t>
  </si>
  <si>
    <t>26771741</t>
  </si>
  <si>
    <t>ФКУЗ "Приморская противочумная станция" Роспотребнадзора</t>
  </si>
  <si>
    <t>2511010429</t>
  </si>
  <si>
    <t>28508071</t>
  </si>
  <si>
    <t>ФКУЗ Санаторий "Приморье"</t>
  </si>
  <si>
    <t>2539011630</t>
  </si>
  <si>
    <t>27294665</t>
  </si>
  <si>
    <t>Филиал "Приморский" АО "Оборонэнерго"</t>
  </si>
  <si>
    <t>7704726225</t>
  </si>
  <si>
    <t>253643001</t>
  </si>
  <si>
    <t>27570707</t>
  </si>
  <si>
    <t>ооо Жилком-2</t>
  </si>
  <si>
    <t>2507229507</t>
  </si>
  <si>
    <t>250701001</t>
  </si>
  <si>
    <t>28427651</t>
  </si>
  <si>
    <t>фгку "Войсковая часть 83417"</t>
  </si>
  <si>
    <t>2503006098</t>
  </si>
  <si>
    <t>27568569</t>
  </si>
  <si>
    <t>филиал АО "РЭУ" " Хабаровский" территориальное управление "Приморское"</t>
  </si>
  <si>
    <t>7714783092</t>
  </si>
  <si>
    <t>30372693</t>
  </si>
  <si>
    <t>250332001</t>
  </si>
  <si>
    <t>30372679</t>
  </si>
  <si>
    <t>250502001</t>
  </si>
  <si>
    <t>30373011</t>
  </si>
  <si>
    <t>250645031</t>
  </si>
  <si>
    <t>30372997</t>
  </si>
  <si>
    <t>251245037</t>
  </si>
  <si>
    <t>30372939</t>
  </si>
  <si>
    <t>251332001</t>
  </si>
  <si>
    <t>30372776</t>
  </si>
  <si>
    <t>252002001</t>
  </si>
  <si>
    <t>26470046</t>
  </si>
  <si>
    <t>253132002</t>
  </si>
  <si>
    <t>30372859</t>
  </si>
  <si>
    <t>253245045</t>
  </si>
  <si>
    <t>27733531</t>
  </si>
  <si>
    <t>КГУП Примтеплоэнерго</t>
  </si>
  <si>
    <t>253345002</t>
  </si>
  <si>
    <t>26320278</t>
  </si>
  <si>
    <t>АО "Коммунэлектросервис"</t>
  </si>
  <si>
    <t>2505010540</t>
  </si>
  <si>
    <t>26-06-2006 00:00:00</t>
  </si>
  <si>
    <t>31504049</t>
  </si>
  <si>
    <t>АО "РК "Новый Мир"</t>
  </si>
  <si>
    <t>2503023449</t>
  </si>
  <si>
    <t>19-03-2018 00:00:00</t>
  </si>
  <si>
    <t>28061906</t>
  </si>
  <si>
    <t>АО "Терминал Владивосток"</t>
  </si>
  <si>
    <t>2502039781</t>
  </si>
  <si>
    <t>26319157</t>
  </si>
  <si>
    <t>АО "Электросервис"</t>
  </si>
  <si>
    <t>2507003122</t>
  </si>
  <si>
    <t>22-04-1996 00:00:00</t>
  </si>
  <si>
    <t>27833495</t>
  </si>
  <si>
    <t>Войсковая часть 01153</t>
  </si>
  <si>
    <t>2720040610</t>
  </si>
  <si>
    <t>250343001</t>
  </si>
  <si>
    <t>26579991</t>
  </si>
  <si>
    <t>ЖКХ-Раздольное</t>
  </si>
  <si>
    <t>2521011157</t>
  </si>
  <si>
    <t>31709472</t>
  </si>
  <si>
    <t>ИП Волков Виктор Николаевич</t>
  </si>
  <si>
    <t>252200300595</t>
  </si>
  <si>
    <t>31257979</t>
  </si>
  <si>
    <t>ИП Коротков Н.А.</t>
  </si>
  <si>
    <t>250302760157</t>
  </si>
  <si>
    <t>31362500</t>
  </si>
  <si>
    <t>Индивидуальный предприниматель Клемба Дмитрий Иванович</t>
  </si>
  <si>
    <t>251702060578</t>
  </si>
  <si>
    <t>30427809</t>
  </si>
  <si>
    <t>250202002</t>
  </si>
  <si>
    <t>30427796</t>
  </si>
  <si>
    <t>251043001</t>
  </si>
  <si>
    <t>26470203</t>
  </si>
  <si>
    <t>КГУП Приморский водоканал</t>
  </si>
  <si>
    <t>2503022413</t>
  </si>
  <si>
    <t>26470371</t>
  </si>
  <si>
    <t>250301002</t>
  </si>
  <si>
    <t>26470519</t>
  </si>
  <si>
    <t>251043002</t>
  </si>
  <si>
    <t>31614878</t>
  </si>
  <si>
    <t>МБУ ЛГО "Жилищно-коммунальное хозяйство и благоустройство"</t>
  </si>
  <si>
    <t>2511118503</t>
  </si>
  <si>
    <t>31026482</t>
  </si>
  <si>
    <t>МКП «Районное хозяйственное управление» Партизанского МО</t>
  </si>
  <si>
    <t>2524001365</t>
  </si>
  <si>
    <t>31255287</t>
  </si>
  <si>
    <t>МКУ "АХОЗУ ДМР"</t>
  </si>
  <si>
    <t>2506010840</t>
  </si>
  <si>
    <t>31387103</t>
  </si>
  <si>
    <t>МКУ "ЖКХ"Спасский"</t>
  </si>
  <si>
    <t>2510014269</t>
  </si>
  <si>
    <t>31026491</t>
  </si>
  <si>
    <t>МКУ "Служба благоустройства Черниговского муниципального округа"</t>
  </si>
  <si>
    <t>2533010052</t>
  </si>
  <si>
    <t>31027638</t>
  </si>
  <si>
    <t>МКУ "Хозяйственное управление администрации Пограничного МР"</t>
  </si>
  <si>
    <t>2525001086</t>
  </si>
  <si>
    <t>252501001</t>
  </si>
  <si>
    <t>27321197</t>
  </si>
  <si>
    <t>МП "Родник"</t>
  </si>
  <si>
    <t>2510010049</t>
  </si>
  <si>
    <t>30866932</t>
  </si>
  <si>
    <t>МУП "АкваСервис"</t>
  </si>
  <si>
    <t>2507012180</t>
  </si>
  <si>
    <t>13-05-2016 00:00:00</t>
  </si>
  <si>
    <t>30367424</t>
  </si>
  <si>
    <t>МУП "Анучинское ЖКХ"</t>
  </si>
  <si>
    <t>2513004893</t>
  </si>
  <si>
    <t>251301001</t>
  </si>
  <si>
    <t>27920399</t>
  </si>
  <si>
    <t>МУП "Водоканал"</t>
  </si>
  <si>
    <t>2516001386</t>
  </si>
  <si>
    <t>04-12-2024 00:00:00</t>
  </si>
  <si>
    <t>31503896</t>
  </si>
  <si>
    <t>МУП "Водоканал" Горноключевского ГП</t>
  </si>
  <si>
    <t>2511115975</t>
  </si>
  <si>
    <t>23-06-2021 00:00:00</t>
  </si>
  <si>
    <t>31615982</t>
  </si>
  <si>
    <t>МУП "Водопроводные сети"</t>
  </si>
  <si>
    <t>2511118750</t>
  </si>
  <si>
    <t>09-09-2022 00:00:00</t>
  </si>
  <si>
    <t>26470327</t>
  </si>
  <si>
    <t>МУП "Покровское"</t>
  </si>
  <si>
    <t>2522000158</t>
  </si>
  <si>
    <t>30866926</t>
  </si>
  <si>
    <t>МУП "СЛАВЯНКА-ВОДОКАНАЛ"</t>
  </si>
  <si>
    <t>2531012777</t>
  </si>
  <si>
    <t>21-09-2016 00:00:00</t>
  </si>
  <si>
    <t>31541606</t>
  </si>
  <si>
    <t>МУП "СУЧАНСКИЙ ВОДОКАНАЛ"</t>
  </si>
  <si>
    <t>2509049700</t>
  </si>
  <si>
    <t>03-07-2007 00:00:00</t>
  </si>
  <si>
    <t>26470269</t>
  </si>
  <si>
    <t>МУП «Погранводовод»</t>
  </si>
  <si>
    <t>2525000685</t>
  </si>
  <si>
    <t>31027543</t>
  </si>
  <si>
    <t>МУП Зарубинского ГП "Зарубино-ДВ"</t>
  </si>
  <si>
    <t>2531012880</t>
  </si>
  <si>
    <t>31350465</t>
  </si>
  <si>
    <t>МУП ЛГО "Коммунальное хозяйство"</t>
  </si>
  <si>
    <t>2507012960</t>
  </si>
  <si>
    <t>26470265</t>
  </si>
  <si>
    <t>МУП Находка-Водоканал</t>
  </si>
  <si>
    <t>2508058565</t>
  </si>
  <si>
    <t>26470207</t>
  </si>
  <si>
    <t>МУП Ружинское предприятие водоснабжения и водоотведения</t>
  </si>
  <si>
    <t>2507011758</t>
  </si>
  <si>
    <t>26813404</t>
  </si>
  <si>
    <t>ОАО "ДГК" СП Партизанская ГРЭС</t>
  </si>
  <si>
    <t>250932001</t>
  </si>
  <si>
    <t>30391734</t>
  </si>
  <si>
    <t>ОАО "Морепродукт"</t>
  </si>
  <si>
    <t>2508037928</t>
  </si>
  <si>
    <t>31739705</t>
  </si>
  <si>
    <t>ОБЩЕСТВО С ОГРАНИЧЕННОЙ ОТВЕТСТВЕННОСТЬЮ "ПРИМВОДОКАНАЛ"</t>
  </si>
  <si>
    <t>2511126800</t>
  </si>
  <si>
    <t>16-01-2024 00:00:00</t>
  </si>
  <si>
    <t>31739692</t>
  </si>
  <si>
    <t>ОБЩЕСТВО С ОГРАНИЧЕННОЙ ОТВЕТСТВЕННОСТЬЮ "СПЕЦРЕСУРС"</t>
  </si>
  <si>
    <t>2536341503</t>
  </si>
  <si>
    <t>06-10-2023 00:00:00</t>
  </si>
  <si>
    <t>31369165</t>
  </si>
  <si>
    <t>ООО "Акватико"</t>
  </si>
  <si>
    <t>2501018115</t>
  </si>
  <si>
    <t>18-01-2016 00:00:00</t>
  </si>
  <si>
    <t>28955244</t>
  </si>
  <si>
    <t>ООО "ВОСТОК"</t>
  </si>
  <si>
    <t>2523004660</t>
  </si>
  <si>
    <t>252301001</t>
  </si>
  <si>
    <t>31600940</t>
  </si>
  <si>
    <t>ООО "Водоканал Арсеньев"</t>
  </si>
  <si>
    <t>2502067683</t>
  </si>
  <si>
    <t>04-04-2022 00:00:00</t>
  </si>
  <si>
    <t>26777497</t>
  </si>
  <si>
    <t>ООО "Водоканал"</t>
  </si>
  <si>
    <t>2503017646</t>
  </si>
  <si>
    <t>26470347</t>
  </si>
  <si>
    <t>ООО "Водоканал-Сервис"</t>
  </si>
  <si>
    <t>2535004287</t>
  </si>
  <si>
    <t>253501001</t>
  </si>
  <si>
    <t>26470549</t>
  </si>
  <si>
    <t>ООО "Водолей"</t>
  </si>
  <si>
    <t>2534006059</t>
  </si>
  <si>
    <t>31161519</t>
  </si>
  <si>
    <t>ООО "Водоресурс"</t>
  </si>
  <si>
    <t>2507012832</t>
  </si>
  <si>
    <t>20-04-2018 00:00:00</t>
  </si>
  <si>
    <t>31541213</t>
  </si>
  <si>
    <t>ООО "Восток Инжиниринг"</t>
  </si>
  <si>
    <t>2510013723</t>
  </si>
  <si>
    <t>30367074</t>
  </si>
  <si>
    <t>ООО "Вотэк"</t>
  </si>
  <si>
    <t>2524118807</t>
  </si>
  <si>
    <t>28856082</t>
  </si>
  <si>
    <t>ООО "Дальводоканал"</t>
  </si>
  <si>
    <t>2540190399</t>
  </si>
  <si>
    <t>31380860</t>
  </si>
  <si>
    <t>ООО "Дельта"</t>
  </si>
  <si>
    <t>2508094250</t>
  </si>
  <si>
    <t>26470084</t>
  </si>
  <si>
    <t>ООО "Жилсервис"</t>
  </si>
  <si>
    <t>2524111907</t>
  </si>
  <si>
    <t>31657408</t>
  </si>
  <si>
    <t>ООО "Инженерные системы и коммуникации - Дальнего Востока"</t>
  </si>
  <si>
    <t>2526006841</t>
  </si>
  <si>
    <t>16-02-2023 00:00:00</t>
  </si>
  <si>
    <t>28069921</t>
  </si>
  <si>
    <t>ООО "Инфраструктура"</t>
  </si>
  <si>
    <t>2508082399</t>
  </si>
  <si>
    <t>05-02-2008 00:00:00</t>
  </si>
  <si>
    <t>30866942</t>
  </si>
  <si>
    <t>ООО "Коммунальная компания"</t>
  </si>
  <si>
    <t>2521013940</t>
  </si>
  <si>
    <t>26320287</t>
  </si>
  <si>
    <t>ООО "Коммунальные сети"</t>
  </si>
  <si>
    <t>2507228334</t>
  </si>
  <si>
    <t>30-06-2006 00:00:00</t>
  </si>
  <si>
    <t>28468874</t>
  </si>
  <si>
    <t>ООО "Коммунальщик-Профи"</t>
  </si>
  <si>
    <t>2510007776</t>
  </si>
  <si>
    <t>01-11-2013 00:00:00</t>
  </si>
  <si>
    <t>30866907</t>
  </si>
  <si>
    <t>ООО "Кристалл"</t>
  </si>
  <si>
    <t>2501018080</t>
  </si>
  <si>
    <t>18-12-2015 00:00:00</t>
  </si>
  <si>
    <t>31222438</t>
  </si>
  <si>
    <t>ООО "Лучегорский водоканал"</t>
  </si>
  <si>
    <t>2526006520</t>
  </si>
  <si>
    <t>26470541</t>
  </si>
  <si>
    <t>ООО "Союз-К"</t>
  </si>
  <si>
    <t>2520004439</t>
  </si>
  <si>
    <t>31276972</t>
  </si>
  <si>
    <t>ООО "Стройка плюс"</t>
  </si>
  <si>
    <t>2521015063</t>
  </si>
  <si>
    <t>28978230</t>
  </si>
  <si>
    <t>ООО "Транснефть-Дальний Восток"</t>
  </si>
  <si>
    <t>2724132118</t>
  </si>
  <si>
    <t>250643001</t>
  </si>
  <si>
    <t>26791421</t>
  </si>
  <si>
    <t>ООО "Тритэра"</t>
  </si>
  <si>
    <t>2536075996</t>
  </si>
  <si>
    <t>27582817</t>
  </si>
  <si>
    <t>ООО "УК - Комфорт"</t>
  </si>
  <si>
    <t>2503028207</t>
  </si>
  <si>
    <t>26470094</t>
  </si>
  <si>
    <t>ООО "Центр плюс"</t>
  </si>
  <si>
    <t>2526010125</t>
  </si>
  <si>
    <t>31256013</t>
  </si>
  <si>
    <t>ООО "Чкаловское многоотраслевое предприятие"</t>
  </si>
  <si>
    <t>2510009526</t>
  </si>
  <si>
    <t>28873735</t>
  </si>
  <si>
    <t>ООО «УК Партнеры»</t>
  </si>
  <si>
    <t>2503030943</t>
  </si>
  <si>
    <t>26470359</t>
  </si>
  <si>
    <t>ООО ВодЕко</t>
  </si>
  <si>
    <t>2524100359</t>
  </si>
  <si>
    <t>26470231</t>
  </si>
  <si>
    <t>ООО Горный ключ</t>
  </si>
  <si>
    <t>2508077254</t>
  </si>
  <si>
    <t>26470389</t>
  </si>
  <si>
    <t>ООО Жилкомсервис</t>
  </si>
  <si>
    <t>2517007976</t>
  </si>
  <si>
    <t>26470545</t>
  </si>
  <si>
    <t>ООО ОКП</t>
  </si>
  <si>
    <t>2522001218</t>
  </si>
  <si>
    <t>26470329</t>
  </si>
  <si>
    <t>ООО Поларис-групп</t>
  </si>
  <si>
    <t>2540080780</t>
  </si>
  <si>
    <t>31263071</t>
  </si>
  <si>
    <t>ООО РО "СпасскКоммуналСервис"</t>
  </si>
  <si>
    <t>2510014910</t>
  </si>
  <si>
    <t>31640943</t>
  </si>
  <si>
    <t>ООО УК "Рост"</t>
  </si>
  <si>
    <t>2536324071</t>
  </si>
  <si>
    <t>01-12-2022 00:00:00</t>
  </si>
  <si>
    <t>27838101</t>
  </si>
  <si>
    <t>ООО УК Оникс</t>
  </si>
  <si>
    <t>26470253</t>
  </si>
  <si>
    <t>ООО Форд-Ност</t>
  </si>
  <si>
    <t>2508056215</t>
  </si>
  <si>
    <t>26470197</t>
  </si>
  <si>
    <t>ООО Чистая вода плюс</t>
  </si>
  <si>
    <t>2508077279</t>
  </si>
  <si>
    <t>31362508</t>
  </si>
  <si>
    <t>СХПК "Струговский"</t>
  </si>
  <si>
    <t>2522001056</t>
  </si>
  <si>
    <t>28873723</t>
  </si>
  <si>
    <t>СХПК «Новолитовский»</t>
  </si>
  <si>
    <t>2524001140</t>
  </si>
  <si>
    <t>26470339</t>
  </si>
  <si>
    <t>СХПК Хорольское</t>
  </si>
  <si>
    <t>2532000020</t>
  </si>
  <si>
    <t>253201001</t>
  </si>
  <si>
    <t>26771752</t>
  </si>
  <si>
    <t>ТСЖ "Радист"</t>
  </si>
  <si>
    <t>2521000691</t>
  </si>
  <si>
    <t>26470026</t>
  </si>
  <si>
    <t>ФГКУ "Оптовая база № 42"</t>
  </si>
  <si>
    <t>2513001797</t>
  </si>
  <si>
    <t>26469900</t>
  </si>
  <si>
    <t>ФГКУ «Витязь»</t>
  </si>
  <si>
    <t>2513001780</t>
  </si>
  <si>
    <t>28459820</t>
  </si>
  <si>
    <t>ФГКУ комбинат «Взморье» Управления Федерального агентства по государственным резервам по ДФО</t>
  </si>
  <si>
    <t>2503005859</t>
  </si>
  <si>
    <t>26470044</t>
  </si>
  <si>
    <t>ФГУ комбинат "Пионер"</t>
  </si>
  <si>
    <t>2534000522</t>
  </si>
  <si>
    <t>30804634</t>
  </si>
  <si>
    <t>ФКУ ИК-10 ГУФСИН России по Приморскому краю</t>
  </si>
  <si>
    <t>2520000280</t>
  </si>
  <si>
    <t>26470315</t>
  </si>
  <si>
    <t>Филиал РТРС «Приморский КРТПЦ»</t>
  </si>
  <si>
    <t>7717127211</t>
  </si>
  <si>
    <t>28444428</t>
  </si>
  <si>
    <t>муп "Жилищно-коммунальное хозяйство "Ольга"</t>
  </si>
  <si>
    <t>2523004525</t>
  </si>
  <si>
    <t>10-01-2013 00:00:00</t>
  </si>
  <si>
    <t>28146501</t>
  </si>
  <si>
    <t>муп "Липовецкое"</t>
  </si>
  <si>
    <t>2522042447</t>
  </si>
  <si>
    <t>28142080</t>
  </si>
  <si>
    <t>ооо "Теплосетевая компания"</t>
  </si>
  <si>
    <t>2509063705</t>
  </si>
  <si>
    <t>27872682</t>
  </si>
  <si>
    <t>ооо Водозабор Хмыловский</t>
  </si>
  <si>
    <t>2508074983</t>
  </si>
  <si>
    <t>27886628</t>
  </si>
  <si>
    <t>ооо Водоканал</t>
  </si>
  <si>
    <t>2530008023</t>
  </si>
  <si>
    <t>27833305</t>
  </si>
  <si>
    <t>ооо Спектр Плюс</t>
  </si>
  <si>
    <t>2513004290</t>
  </si>
  <si>
    <t>01-06-2008 00:00:00</t>
  </si>
  <si>
    <t>28444454</t>
  </si>
  <si>
    <t>ооо Управляющая компания "СпасскЖилСервис"</t>
  </si>
  <si>
    <t>2510013466</t>
  </si>
  <si>
    <t>31027627</t>
  </si>
  <si>
    <t>АО "Корпорация развития ПК"</t>
  </si>
  <si>
    <t>2540193103</t>
  </si>
  <si>
    <t>31590722</t>
  </si>
  <si>
    <t>МАУ "РКЦ" ЗАТО Фокино</t>
  </si>
  <si>
    <t>2512306718</t>
  </si>
  <si>
    <t>08-07-2016 00:00:00</t>
  </si>
  <si>
    <t>28447871</t>
  </si>
  <si>
    <t>МУП "Кирос"</t>
  </si>
  <si>
    <t>2516001636</t>
  </si>
  <si>
    <t>26320260</t>
  </si>
  <si>
    <t>ОАО "Спасский комбинат асбестоцементных изделий"</t>
  </si>
  <si>
    <t>2510000386</t>
  </si>
  <si>
    <t>31600947</t>
  </si>
  <si>
    <t>ООО "Водосток"</t>
  </si>
  <si>
    <t>2502067690</t>
  </si>
  <si>
    <t>31161528</t>
  </si>
  <si>
    <t>2507012825</t>
  </si>
  <si>
    <t>26544384</t>
  </si>
  <si>
    <t>ООО "Врангель Водосток"</t>
  </si>
  <si>
    <t>2508077261</t>
  </si>
  <si>
    <t>28453845</t>
  </si>
  <si>
    <t>ООО "Корпорация "Зинго"</t>
  </si>
  <si>
    <t>2540070285</t>
  </si>
  <si>
    <t>30866915</t>
  </si>
  <si>
    <t>ООО "Феникс"</t>
  </si>
  <si>
    <t>2501018098</t>
  </si>
  <si>
    <t>22-12-2015 00:00:00</t>
  </si>
  <si>
    <t>31699066</t>
  </si>
  <si>
    <t>ИП Жидкова Елена Николаевна</t>
  </si>
  <si>
    <t>253100385036</t>
  </si>
  <si>
    <t>29-08-2000 00:00:00</t>
  </si>
  <si>
    <t>30871843</t>
  </si>
  <si>
    <t>МКУ "Обслуживающее учреждение"</t>
  </si>
  <si>
    <t>2505007403</t>
  </si>
  <si>
    <t>24-08-2016 00:00:00</t>
  </si>
  <si>
    <t>28270355</t>
  </si>
  <si>
    <t>МУП "Городское хозяйство" Партизанский ГО</t>
  </si>
  <si>
    <t>2509032305</t>
  </si>
  <si>
    <t>31698781</t>
  </si>
  <si>
    <t>ООО "АЛЬФА КР"</t>
  </si>
  <si>
    <t>2516002975</t>
  </si>
  <si>
    <t>29-03-2019 00:00:00</t>
  </si>
  <si>
    <t>26470712</t>
  </si>
  <si>
    <t>ООО "Базис"</t>
  </si>
  <si>
    <t>2531003532</t>
  </si>
  <si>
    <t>26771388</t>
  </si>
  <si>
    <t>ООО "Бумеранг"</t>
  </si>
  <si>
    <t>2511055268</t>
  </si>
  <si>
    <t>31698583</t>
  </si>
  <si>
    <t>ООО "ГМК"</t>
  </si>
  <si>
    <t>2540064108</t>
  </si>
  <si>
    <t>25-03-1999 00:00:00</t>
  </si>
  <si>
    <t>31699113</t>
  </si>
  <si>
    <t>ООО "ГРИН-СИТИ"</t>
  </si>
  <si>
    <t>2537087105</t>
  </si>
  <si>
    <t>04-04-2011 00:00:00</t>
  </si>
  <si>
    <t>31698769</t>
  </si>
  <si>
    <t>ООО "ДОБРЫЙ ДВОР"</t>
  </si>
  <si>
    <t>2505011657</t>
  </si>
  <si>
    <t>21-08-2008 00:00:00</t>
  </si>
  <si>
    <t>31699074</t>
  </si>
  <si>
    <t>ООО "ДОРОЖНЫЙ СЕРВИС"</t>
  </si>
  <si>
    <t>2543143573</t>
  </si>
  <si>
    <t>07-10-2019 00:00:00</t>
  </si>
  <si>
    <t>31698766</t>
  </si>
  <si>
    <t>ООО "Доверие"</t>
  </si>
  <si>
    <t>2506007854</t>
  </si>
  <si>
    <t>07-12-2002 00:00:00</t>
  </si>
  <si>
    <t>31698975</t>
  </si>
  <si>
    <t>ООО "ЖУО "УПРАВДОМ"</t>
  </si>
  <si>
    <t>2525003340</t>
  </si>
  <si>
    <t>24-07-2012 00:00:00</t>
  </si>
  <si>
    <t>31698801</t>
  </si>
  <si>
    <t>ООО "ЗЕЛЁНЫЙ ГОРОД"</t>
  </si>
  <si>
    <t>2507013064</t>
  </si>
  <si>
    <t>16-07-2019 00:00:00</t>
  </si>
  <si>
    <t>27803021</t>
  </si>
  <si>
    <t>ООО "Капитал"</t>
  </si>
  <si>
    <t>2510012078</t>
  </si>
  <si>
    <t>31698762</t>
  </si>
  <si>
    <t>ООО "Комфорт-Сервис"</t>
  </si>
  <si>
    <t>2508120157</t>
  </si>
  <si>
    <t>25-07-2014 00:00:00</t>
  </si>
  <si>
    <t>28878819</t>
  </si>
  <si>
    <t>ООО "Лидер"</t>
  </si>
  <si>
    <t>2501011374</t>
  </si>
  <si>
    <t>31699094</t>
  </si>
  <si>
    <t>ООО "МИР СНАБЖЕНИЯ"</t>
  </si>
  <si>
    <t>2533008247</t>
  </si>
  <si>
    <t>27-06-2002 00:00:00</t>
  </si>
  <si>
    <t>26470686</t>
  </si>
  <si>
    <t>ООО "Новое время"</t>
  </si>
  <si>
    <t>2512301815</t>
  </si>
  <si>
    <t>31698966</t>
  </si>
  <si>
    <t>ООО "ОАЗИС"</t>
  </si>
  <si>
    <t>2508065435</t>
  </si>
  <si>
    <t>01-10-2004 00:00:00</t>
  </si>
  <si>
    <t>31699109</t>
  </si>
  <si>
    <t>ООО "РОДНИК-ДВ"</t>
  </si>
  <si>
    <t>2540132799</t>
  </si>
  <si>
    <t>13-06-2007 00:00:00</t>
  </si>
  <si>
    <t>28878834</t>
  </si>
  <si>
    <t>ООО "Рассвет-ЭКО"</t>
  </si>
  <si>
    <t>2522002780</t>
  </si>
  <si>
    <t>31760804</t>
  </si>
  <si>
    <t>ООО "Ресурс"</t>
  </si>
  <si>
    <t>2510013890</t>
  </si>
  <si>
    <t>31699103</t>
  </si>
  <si>
    <t>ООО "УК ФОРПОСТ"</t>
  </si>
  <si>
    <t>2503031217</t>
  </si>
  <si>
    <t>18-11-2013 00:00:00</t>
  </si>
  <si>
    <t>31699070</t>
  </si>
  <si>
    <t>ООО "ЧИСТЫЙ ГОРОД"</t>
  </si>
  <si>
    <t>2540108757</t>
  </si>
  <si>
    <t>10-01-2005 00:00:00</t>
  </si>
  <si>
    <t>31698999</t>
  </si>
  <si>
    <t>ООО "ЧИСТЫЙ ДВОР"</t>
  </si>
  <si>
    <t>2539109450</t>
  </si>
  <si>
    <t>29-09-2010 00:00:00</t>
  </si>
  <si>
    <t>31698776</t>
  </si>
  <si>
    <t>ООО "ЭКО ДВ"</t>
  </si>
  <si>
    <t>2505014136</t>
  </si>
  <si>
    <t>09-04-2015 00:00:00</t>
  </si>
  <si>
    <t>31698981</t>
  </si>
  <si>
    <t>ООО "ЭКО СИСТЕМА"</t>
  </si>
  <si>
    <t>2543158001</t>
  </si>
  <si>
    <t>08-06-2021 00:00:00</t>
  </si>
  <si>
    <t>31698942</t>
  </si>
  <si>
    <t>ООО "ЭКО-СЕРВИС"</t>
  </si>
  <si>
    <t>2521012619</t>
  </si>
  <si>
    <t>22-11-2011 00:00:00</t>
  </si>
  <si>
    <t>31699084</t>
  </si>
  <si>
    <t>ООО "ЭКОЛОГИЧЕСКАЯ КОМПАНИЯ "НОВЫЙ ГОРОД"</t>
  </si>
  <si>
    <t>2540085274</t>
  </si>
  <si>
    <t>24-03-2002 00:00:00</t>
  </si>
  <si>
    <t>31699062</t>
  </si>
  <si>
    <t>ООО "ЭП "ГОРОД Н"</t>
  </si>
  <si>
    <t>2540109782</t>
  </si>
  <si>
    <t>14-02-2005 00:00:00</t>
  </si>
  <si>
    <t>31541250</t>
  </si>
  <si>
    <t>ООО "Эко Тех"</t>
  </si>
  <si>
    <t>2543152257</t>
  </si>
  <si>
    <t>31699080</t>
  </si>
  <si>
    <t>ООО "Эконг-Плюс"</t>
  </si>
  <si>
    <t>2540096928</t>
  </si>
  <si>
    <t>09-09-2003 00:00:00</t>
  </si>
  <si>
    <t>31699050</t>
  </si>
  <si>
    <t>ООО «АвтоТранс-ДВ»</t>
  </si>
  <si>
    <t>2511102623</t>
  </si>
  <si>
    <t>20-06-2017 00:00:00</t>
  </si>
  <si>
    <t>31698938</t>
  </si>
  <si>
    <t>ООО «Автодор-Ливадия»</t>
  </si>
  <si>
    <t>2508077790</t>
  </si>
  <si>
    <t>27-02-2007 00:00:00</t>
  </si>
  <si>
    <t>31698958</t>
  </si>
  <si>
    <t>ООО «Спецавтохозяйство»</t>
  </si>
  <si>
    <t>2508063149</t>
  </si>
  <si>
    <t>09-02-2004 00:00:00</t>
  </si>
  <si>
    <t>31698970</t>
  </si>
  <si>
    <t>ООО «ТЭК"</t>
  </si>
  <si>
    <t>2509007605</t>
  </si>
  <si>
    <t>08-10-2015 00:00:00</t>
  </si>
  <si>
    <t>31699088</t>
  </si>
  <si>
    <t>ООО «Ярославская УО»</t>
  </si>
  <si>
    <t>2532010701</t>
  </si>
  <si>
    <t>09-12-2015 00:00:00</t>
  </si>
  <si>
    <t>31698985</t>
  </si>
  <si>
    <t>ООО РГК «ЖилКомРесурс»</t>
  </si>
  <si>
    <t>2510003531</t>
  </si>
  <si>
    <t>26470688</t>
  </si>
  <si>
    <t>ООО Хозяин</t>
  </si>
  <si>
    <t>2516606487</t>
  </si>
  <si>
    <t>26470708</t>
  </si>
  <si>
    <t>ООО Чистый город</t>
  </si>
  <si>
    <t>2508068316</t>
  </si>
  <si>
    <t>27871045</t>
  </si>
  <si>
    <t>ооо Коммунальщик</t>
  </si>
  <si>
    <t>2534006041</t>
  </si>
  <si>
    <t>NSRF</t>
  </si>
  <si>
    <t>MR_NAME</t>
  </si>
  <si>
    <t>OKTMO_MR_NAME</t>
  </si>
  <si>
    <t>MO_NAME</t>
  </si>
  <si>
    <t>OKTMO_NAME</t>
  </si>
  <si>
    <t>TYPE</t>
  </si>
  <si>
    <t>MR_ID</t>
  </si>
  <si>
    <t>муниципальный округ</t>
  </si>
  <si>
    <t>Арсеньевский городской округ</t>
  </si>
  <si>
    <t>05703000</t>
  </si>
  <si>
    <t>городской округ</t>
  </si>
  <si>
    <t>Артемовский городской округ</t>
  </si>
  <si>
    <t>05705000</t>
  </si>
  <si>
    <t>Владивостокский городской округ</t>
  </si>
  <si>
    <t>05701000</t>
  </si>
  <si>
    <t>Дальнереченский городской округ</t>
  </si>
  <si>
    <t>05708000</t>
  </si>
  <si>
    <t>Дальнереченский муниципальный район</t>
  </si>
  <si>
    <t>05607000</t>
  </si>
  <si>
    <t>Веденкинское сельское поселение</t>
  </si>
  <si>
    <t>05607408</t>
  </si>
  <si>
    <t>сельское поселение</t>
  </si>
  <si>
    <t>муниципальный район</t>
  </si>
  <si>
    <t>Малиновское сельское поселение</t>
  </si>
  <si>
    <t>05607413</t>
  </si>
  <si>
    <t>Межселенные территории Дальнереченского муниципального района, находящиеся вне границ сельских поселений</t>
  </si>
  <si>
    <t>05607701</t>
  </si>
  <si>
    <t>межселенная территория</t>
  </si>
  <si>
    <t>Ореховское сельское поселение</t>
  </si>
  <si>
    <t>05607422</t>
  </si>
  <si>
    <t>Ракитненское сельское поселение</t>
  </si>
  <si>
    <t>05607425</t>
  </si>
  <si>
    <t>Рождественское сельское поселение</t>
  </si>
  <si>
    <t>05607428</t>
  </si>
  <si>
    <t>Сальское сельское поселение</t>
  </si>
  <si>
    <t>05607431</t>
  </si>
  <si>
    <t>Кировский муниципальный район</t>
  </si>
  <si>
    <t>05612000</t>
  </si>
  <si>
    <t>Горненское</t>
  </si>
  <si>
    <t>05612407</t>
  </si>
  <si>
    <t>Горноключевское городское поселение</t>
  </si>
  <si>
    <t>05612154</t>
  </si>
  <si>
    <t>городское поселение, в состав которого входит поселок</t>
  </si>
  <si>
    <t>Кировское городское поселение</t>
  </si>
  <si>
    <t>05612151</t>
  </si>
  <si>
    <t>Крыловское сельское поселение</t>
  </si>
  <si>
    <t>05612413</t>
  </si>
  <si>
    <t>Межселенные территории Кировского муниципального района, находящиеся вне границ городских и сельских поселений</t>
  </si>
  <si>
    <t>05612701</t>
  </si>
  <si>
    <t>Руновское сельское поселение</t>
  </si>
  <si>
    <t>05612428</t>
  </si>
  <si>
    <t>Хвищанское сельское поселение</t>
  </si>
  <si>
    <t>05612434</t>
  </si>
  <si>
    <t>Красноармейский муниципальный округ</t>
  </si>
  <si>
    <t>05514000</t>
  </si>
  <si>
    <t>Красноармейский муниципальный район</t>
  </si>
  <si>
    <t>05614000</t>
  </si>
  <si>
    <t>Востокское городское поселение</t>
  </si>
  <si>
    <t>05614154</t>
  </si>
  <si>
    <t>Вострецовское</t>
  </si>
  <si>
    <t>05614406</t>
  </si>
  <si>
    <t>Глубинненское</t>
  </si>
  <si>
    <t>05614408</t>
  </si>
  <si>
    <t>Дальнекутское</t>
  </si>
  <si>
    <t>05614413</t>
  </si>
  <si>
    <t>Измайлихинское</t>
  </si>
  <si>
    <t>05614416</t>
  </si>
  <si>
    <t>Лукъяновское сельское поселение</t>
  </si>
  <si>
    <t>05614420</t>
  </si>
  <si>
    <t>Мельничное сельское поселение</t>
  </si>
  <si>
    <t>05614422</t>
  </si>
  <si>
    <t>Новопокровское сельское поселение</t>
  </si>
  <si>
    <t>05614428</t>
  </si>
  <si>
    <t>Рощинское сельское поселение</t>
  </si>
  <si>
    <t>05614431</t>
  </si>
  <si>
    <t>Таежненское</t>
  </si>
  <si>
    <t>05614437</t>
  </si>
  <si>
    <t>Лазовский муниципальный округ</t>
  </si>
  <si>
    <t>05517000</t>
  </si>
  <si>
    <t>Лесозаводский городской округ</t>
  </si>
  <si>
    <t>05711000</t>
  </si>
  <si>
    <t>05620000</t>
  </si>
  <si>
    <t>Григорьевское сельское поселение</t>
  </si>
  <si>
    <t>05620406</t>
  </si>
  <si>
    <t>Ивановкое сельское поселение</t>
  </si>
  <si>
    <t>05620408</t>
  </si>
  <si>
    <t>Кремовское сельское поселение</t>
  </si>
  <si>
    <t>05620410</t>
  </si>
  <si>
    <t>Михайловское сельское поселение</t>
  </si>
  <si>
    <t>05620419</t>
  </si>
  <si>
    <t>Осиновское сельское поселение</t>
  </si>
  <si>
    <t>05620425</t>
  </si>
  <si>
    <t>Сунятсенское сельское поселение</t>
  </si>
  <si>
    <t>05620428</t>
  </si>
  <si>
    <t>Надеждинский муниципальный район</t>
  </si>
  <si>
    <t>05623000</t>
  </si>
  <si>
    <t>Надеждинское сельское поселение</t>
  </si>
  <si>
    <t>05623402</t>
  </si>
  <si>
    <t>Раздольненское сельское поселение</t>
  </si>
  <si>
    <t>05623404</t>
  </si>
  <si>
    <t>Тавричанское сельское поселение</t>
  </si>
  <si>
    <t>05623407</t>
  </si>
  <si>
    <t>Находкинский городской округ</t>
  </si>
  <si>
    <t>05714000</t>
  </si>
  <si>
    <t>Октябрьский муниципальный округ</t>
  </si>
  <si>
    <t>05526000</t>
  </si>
  <si>
    <t>Ольгинский муниципальный округ</t>
  </si>
  <si>
    <t>05528000</t>
  </si>
  <si>
    <t>Партизанский городской округ</t>
  </si>
  <si>
    <t>05717000</t>
  </si>
  <si>
    <t>Партизанский муниципальный округ</t>
  </si>
  <si>
    <t>05530000</t>
  </si>
  <si>
    <t>Партизанский муниципальный район</t>
  </si>
  <si>
    <t>05630000</t>
  </si>
  <si>
    <t>Владимиро-Александровское сельское поселение</t>
  </si>
  <si>
    <t>05630402</t>
  </si>
  <si>
    <t>Екатериновское сельское поселение</t>
  </si>
  <si>
    <t>05630404</t>
  </si>
  <si>
    <t>Золотодолинское сельское поселение</t>
  </si>
  <si>
    <t>05630406</t>
  </si>
  <si>
    <t>Межселенная территория Партизанского муниципального района, находящаяся вне границ сельских поселений, с расположенным на этой территории поселком Партизан</t>
  </si>
  <si>
    <t>05630701</t>
  </si>
  <si>
    <t>Новицкое сельское поселение</t>
  </si>
  <si>
    <t>05630410</t>
  </si>
  <si>
    <t>60</t>
  </si>
  <si>
    <t>Новолитовское сельское поселение</t>
  </si>
  <si>
    <t>05630413</t>
  </si>
  <si>
    <t>61</t>
  </si>
  <si>
    <t>62</t>
  </si>
  <si>
    <t>Сергеевское сельское поселение</t>
  </si>
  <si>
    <t>05630419</t>
  </si>
  <si>
    <t>63</t>
  </si>
  <si>
    <t>Пограничный муниципальный округ</t>
  </si>
  <si>
    <t>05532000</t>
  </si>
  <si>
    <t>64</t>
  </si>
  <si>
    <t>Пожарский муниципальный округ</t>
  </si>
  <si>
    <t>05534000</t>
  </si>
  <si>
    <t>65</t>
  </si>
  <si>
    <t>Спасский муниципальный район</t>
  </si>
  <si>
    <t>05637000</t>
  </si>
  <si>
    <t>Александровское сельское поселение</t>
  </si>
  <si>
    <t>05637402</t>
  </si>
  <si>
    <t>Дубовское сельское поселение</t>
  </si>
  <si>
    <t>05637419</t>
  </si>
  <si>
    <t>67</t>
  </si>
  <si>
    <t>Духовское сельское поселение</t>
  </si>
  <si>
    <t>05637422</t>
  </si>
  <si>
    <t>Краснокутское сельское поселение</t>
  </si>
  <si>
    <t>05637424</t>
  </si>
  <si>
    <t>69</t>
  </si>
  <si>
    <t>Прохорское сельское поселение</t>
  </si>
  <si>
    <t>05637434</t>
  </si>
  <si>
    <t>70</t>
  </si>
  <si>
    <t>71</t>
  </si>
  <si>
    <t>Спасское сельское поселение</t>
  </si>
  <si>
    <t>05637440</t>
  </si>
  <si>
    <t>72</t>
  </si>
  <si>
    <t>Хвалынское сельское поселение</t>
  </si>
  <si>
    <t>05637443</t>
  </si>
  <si>
    <t>73</t>
  </si>
  <si>
    <t>Чкаловское сельское поселение</t>
  </si>
  <si>
    <t>05637446</t>
  </si>
  <si>
    <t>74</t>
  </si>
  <si>
    <t>Тернейский муниципальный округ</t>
  </si>
  <si>
    <t>05540000</t>
  </si>
  <si>
    <t>75</t>
  </si>
  <si>
    <t>Уссурийский городской округ</t>
  </si>
  <si>
    <t>05723000</t>
  </si>
  <si>
    <t>76</t>
  </si>
  <si>
    <t>Ханкайский муниципальный округ</t>
  </si>
  <si>
    <t>05546000</t>
  </si>
  <si>
    <t>77</t>
  </si>
  <si>
    <t>Хорольский муниципальный округ</t>
  </si>
  <si>
    <t>05550000</t>
  </si>
  <si>
    <t>79</t>
  </si>
  <si>
    <t>05653000</t>
  </si>
  <si>
    <t>Межселенные территории Черниговского муниципального района, находящиеся вне границ городского и сельских поселений</t>
  </si>
  <si>
    <t>05653701</t>
  </si>
  <si>
    <t>82</t>
  </si>
  <si>
    <t>Сибирцевское городское поселение</t>
  </si>
  <si>
    <t>05653158</t>
  </si>
  <si>
    <t>84</t>
  </si>
  <si>
    <t>86</t>
  </si>
  <si>
    <t>Черниговское сельское поселение</t>
  </si>
  <si>
    <t>05653425</t>
  </si>
  <si>
    <t>87</t>
  </si>
  <si>
    <t>Чугуевский муниципальный округ</t>
  </si>
  <si>
    <t>05555000</t>
  </si>
  <si>
    <t>88</t>
  </si>
  <si>
    <t>05657000</t>
  </si>
  <si>
    <t>Новонежинское сельское поселение</t>
  </si>
  <si>
    <t>05657413</t>
  </si>
  <si>
    <t>90</t>
  </si>
  <si>
    <t>Подъяпольское сельское поселение</t>
  </si>
  <si>
    <t>05657422</t>
  </si>
  <si>
    <t>91</t>
  </si>
  <si>
    <t>Смоляниновское городское поселение</t>
  </si>
  <si>
    <t>05657158</t>
  </si>
  <si>
    <t>93</t>
  </si>
  <si>
    <t>Центральненское сельское поселение</t>
  </si>
  <si>
    <t>05657428</t>
  </si>
  <si>
    <t>94</t>
  </si>
  <si>
    <t>95</t>
  </si>
  <si>
    <t>Шкотовское городское поселение</t>
  </si>
  <si>
    <t>05657165</t>
  </si>
  <si>
    <t>96</t>
  </si>
  <si>
    <t>Штыковское сельское поселение</t>
  </si>
  <si>
    <t>05657432</t>
  </si>
  <si>
    <t>97</t>
  </si>
  <si>
    <t>Яковлевский муниципальный округ</t>
  </si>
  <si>
    <t>05559000</t>
  </si>
  <si>
    <t>98</t>
  </si>
  <si>
    <t>Яковлевский муниципальный район</t>
  </si>
  <si>
    <t>05659000</t>
  </si>
  <si>
    <t>Варфоломеевское сельское поселение</t>
  </si>
  <si>
    <t>05659407</t>
  </si>
  <si>
    <t>99</t>
  </si>
  <si>
    <t>Новосысоевское сельское поселение</t>
  </si>
  <si>
    <t>05659413</t>
  </si>
  <si>
    <t>100</t>
  </si>
  <si>
    <t>Покровское сельское поселение</t>
  </si>
  <si>
    <t>05659416</t>
  </si>
  <si>
    <t>101</t>
  </si>
  <si>
    <t>Яблоновское</t>
  </si>
  <si>
    <t>05659419</t>
  </si>
  <si>
    <t>102</t>
  </si>
  <si>
    <t>103</t>
  </si>
  <si>
    <t>Яковлевское сельское поселение</t>
  </si>
  <si>
    <t>05659422</t>
  </si>
  <si>
    <t>104</t>
  </si>
  <si>
    <t>городской округ Большой Камень</t>
  </si>
  <si>
    <t>05706000</t>
  </si>
  <si>
    <t>105</t>
  </si>
  <si>
    <t>NUMBER_POINT</t>
  </si>
  <si>
    <t>INVP_NAME</t>
  </si>
  <si>
    <t>INVP_ID</t>
  </si>
  <si>
    <t>L_START_DATE</t>
  </si>
  <si>
    <t>L_END_DATE</t>
  </si>
  <si>
    <t>L_DECISION_NAME</t>
  </si>
  <si>
    <t>L_DECISION_TYPE</t>
  </si>
  <si>
    <t>L_DECISION_NMBR</t>
  </si>
  <si>
    <t>L_DECISION_DATE</t>
  </si>
  <si>
    <t>Инвестиционная программа № 19-156/2 от 26.07.2021 ООО "Водосток" в сфере водоотведения по комплексному развитию систем водоотведения и очистки сточных вод, на территории городского округа Лесозаводский на 2022-2026 годы</t>
  </si>
  <si>
    <t>01.01.2022</t>
  </si>
  <si>
    <t>31.12.2026</t>
  </si>
  <si>
    <t>Инвестиционная программа от 07.10.2020 КГУП "Примтеплоэнерго" в сфере водоотведения по модернизации и реконструкции систем инженерной инфраструктуры, на территории городского округа Дальнегорский на 2021-2030 годы</t>
  </si>
  <si>
    <t>01.01.2021</t>
  </si>
  <si>
    <t>31.12.2030</t>
  </si>
  <si>
    <t>Инвестиционная программа от 07.10.2020 КГУП "Примтеплоэнерго" в сфере водоотведения по модернизации и реконструкции систем инженерной инфраструктуры, на территории городского поселения Новошахтинское, Михайловский муниципальный район на 2021-2033 годы</t>
  </si>
  <si>
    <t>31.12.2033</t>
  </si>
  <si>
    <t>Инвестиционная программа от 07.10.2020 КГУП "Примтеплоэнерго" в сфере водоотведения по модернизации и реконструкции систем инженерной инфраструктуры, на территории сельского поселения Черниговское, Черниговский муниципальный район на 2021-2031 годы</t>
  </si>
  <si>
    <t>31.12.2031</t>
  </si>
  <si>
    <t>Инвестиционная программа от 07.10.2020 КГУП "Примтеплоэнерго" в сфере водоснабжения и водоотведения по модернизации и реконструкции систем инженерной инфраструктуры, на территории сельского поселения Дмитриевское, Черниговский муниципальный район на 2021-2028 годы</t>
  </si>
  <si>
    <t>31.12.2028</t>
  </si>
  <si>
    <t>Инвестиционная программа от 07.10.2020 КГУП "Примтеплоэнерго" в сфере водоснабжения и водоотведения по модернизации и реконструкции систем инженерной инфраструктуры, на территории сельского поселения Снегуровское, Черниговский муниципальный район на 2021-2031 годы</t>
  </si>
  <si>
    <t>Инвестиционная программа от 08.10.2020 КГУП "Примтеплоэнерго" в сфере водоснабжения и водоотведения по модернизации и строительству систем инженерной инфраструктуры, на территории сельского поселения Реттиховское городское поселение, Черниговский муниципальный район на 2021-2028 годы</t>
  </si>
  <si>
    <t>Инвестиционная программа от 17.03.2020 ООО "Лучегорский водоканал" в сфере водоотведения по реконструкции единого комплекса объектов, на территории городского поселения Лучегорское, Пожарский муниципальный район на 2021-2022 годы</t>
  </si>
  <si>
    <t>31.12.2022</t>
  </si>
  <si>
    <t>Инвестиционная программа от 21.10.2024 КГУП "Примтеплоэнерго" в сфере водоотведения по развитию, модернизации и реконструкции систем водоотведения, на территории городского округа Дальнегорский на 2024-2030 годы</t>
  </si>
  <si>
    <t>21.10.2024</t>
  </si>
  <si>
    <t>Инвестиционная программа от 23.08.2023 МУП "Уссурийск-Водоканал" в сфере водоснабжения и водоотведения по модернизации и строительству объектов централизованных систем водоснабжения и водоотведения, на территории городского округа Уссурийский на 2024-2028 годы</t>
  </si>
  <si>
    <t>01.01.2024</t>
  </si>
  <si>
    <t>Инвестиционная программа от 23.08.2023 МУП "Уссурийск-Водоканал" в сфере водоснабжения и водоотведения по модернизации систем холодного водоснабжения и водоотведения, на территории городского округа Уссурийский на 2024-2028 годы</t>
  </si>
  <si>
    <t>Инвестиционная программа от 26.05.2020 МУП Находка-Водоканал в сфере водоотведения по модернизации единого комплекса объектов, на территории городского округа Находкинский на 2021-2023 годы</t>
  </si>
  <si>
    <t>31.12.2023</t>
  </si>
  <si>
    <t>TER_NAME</t>
  </si>
  <si>
    <t>Территория 1</t>
  </si>
  <si>
    <t>Территория 2</t>
  </si>
  <si>
    <t>Территория 3</t>
  </si>
  <si>
    <t>Территория 4</t>
  </si>
  <si>
    <t>Территория 5</t>
  </si>
  <si>
    <t>Территория 6</t>
  </si>
  <si>
    <t>Территория 7</t>
  </si>
  <si>
    <t>Территория 8</t>
  </si>
  <si>
    <t>Территория 9</t>
  </si>
  <si>
    <t>Территория 10</t>
  </si>
  <si>
    <t>Территория 11</t>
  </si>
  <si>
    <t>Территория 12</t>
  </si>
  <si>
    <t>Территория 13</t>
  </si>
  <si>
    <t>ID_TARIFF_NAME</t>
  </si>
  <si>
    <t>TARIFF_NAME</t>
  </si>
  <si>
    <t>VED_NAME</t>
  </si>
  <si>
    <t>4189714</t>
  </si>
  <si>
    <t>4189713</t>
  </si>
  <si>
    <t>4189712</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</si>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</sst>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237" formatCode="000000"/>
    <numFmt numFmtId="238" formatCode="#,##0.000"/>
    <numFmt numFmtId="239" formatCode="#,##0.0000"/>
    <numFmt numFmtId="240" formatCode="dd\.mm\.yyyy"/>
    <numFmt numFmtId="241" formatCode="h:mm;@"/>
    <numFmt numFmtId="242" formatCode="_-* #,##0.00\ _₽_-;\-* #,##0.00\ _₽_-;_-* &quot;-&quot;??\ _₽_-;_-@_-"/>
    <numFmt numFmtId="243" formatCode="_-* #,##0\ _₽_-;\-* #,##0\ _₽_-;_-* &quot;-&quot;\ _₽_-;_-@_-"/>
    <numFmt numFmtId="244" formatCode="_-* #,##0.00\ &quot;₽&quot;_-;\-* #,##0.00\ &quot;₽&quot;_-;_-* &quot;-&quot;??\ &quot;₽&quot;_-;_-@_-"/>
    <numFmt numFmtId="245" formatCode="_-* #,##0\ &quot;₽&quot;_-;\-* #,##0\ &quot;₽&quot;_-;_-* &quot;-&quot;\ &quot;₽&quot;_-;_-@_-"/>
    <numFmt numFmtId="246" formatCode="_-* #,##0.00[$€-1]_-;\-* #,##0.00[$€-1]_-;_-* &quot;-&quot;??[$€-1]_-"/>
    <numFmt numFmtId="247" formatCode="#,##0.0"/>
  </numFmts>
  <fonts count="128">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5700"/>
      <name val="Calibri"/>
      <scheme val="minor"/>
    </font>
    <font>
      <sz val="12"/>
      <color auto="1"/>
      <name val="Arial"/>
    </font>
    <font>
      <b/>
      <sz val="11"/>
      <color rgb="FF3F3F3F"/>
      <name val="Calibri"/>
      <scheme val="minor"/>
    </font>
    <font>
      <sz val="18"/>
      <color theme="3"/>
      <name val="Cambria"/>
      <scheme val="major"/>
    </font>
    <font>
      <b/>
      <sz val="11"/>
      <color theme="1"/>
      <name val="Calibri"/>
      <scheme val="minor"/>
    </font>
    <font>
      <sz val="11"/>
      <color rgb="FFFF0000"/>
      <name val="Calibri"/>
      <scheme val="minor"/>
    </font>
    <font>
      <sz val="10"/>
      <color auto="1"/>
      <name val="Helv"/>
    </font>
    <font>
      <sz val="8"/>
      <color auto="1"/>
      <name val="Arial"/>
    </font>
    <font>
      <sz val="9"/>
      <color auto="1"/>
      <name val="Tahoma"/>
    </font>
    <font>
      <sz val="8"/>
      <color auto="1"/>
      <name val="Palatino"/>
    </font>
    <font>
      <u/>
      <sz val="10"/>
      <color rgb="FF800080"/>
      <name val="Arial Cyr"/>
    </font>
    <font>
      <u/>
      <sz val="10"/>
      <color rgb="FF0000FF"/>
      <name val="Arial Cyr"/>
    </font>
    <font>
      <sz val="8"/>
      <color auto="1"/>
      <name val="Helv"/>
    </font>
    <font>
      <u/>
      <sz val="9"/>
      <color theme="10"/>
      <name val="Tahoma"/>
    </font>
    <font>
      <sz val="10"/>
      <color auto="1"/>
      <name val="Arial"/>
    </font>
    <font>
      <sz val="10"/>
      <color auto="1"/>
      <name val="Arial Cyr"/>
    </font>
    <font>
      <u/>
      <sz val="9"/>
      <color theme="11"/>
      <name val="Tahoma"/>
    </font>
    <font>
      <sz val="11"/>
      <color rgb="FF000000"/>
      <name val="Calibri"/>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10"/>
      <color auto="1"/>
      <name val="Tahoma"/>
    </font>
    <font>
      <sz val="9"/>
      <color theme="0"/>
      <name val="Tahoma"/>
    </font>
    <font>
      <sz val="1"/>
      <color theme="0"/>
      <name val="Tahoma"/>
    </font>
    <font>
      <b/>
      <sz val="1"/>
      <color theme="0"/>
      <name val="Calibri"/>
    </font>
    <font>
      <b/>
      <sz val="9"/>
      <color auto="1"/>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color auto="1"/>
      <name val="Tahoma"/>
    </font>
    <font>
      <sz val="1"/>
      <color auto="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color auto="1"/>
      <name val="Tahoma"/>
    </font>
  </fonts>
  <fills count="58">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75">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000000"/>
      </left>
      <right style="thin">
        <color rgb="FF000000"/>
      </right>
      <top style="thin">
        <color rgb="FF000000"/>
      </top>
      <bottom style="thin">
        <color rgb="FF000000"/>
      </bottom>
    </border>
    <border>
      <left style="thin">
        <color rgb="FFBCBCBC"/>
      </left>
      <right style="thin">
        <color rgb="FFBCBCBC"/>
      </right>
      <top style="thin">
        <color rgb="FFBCBCBC"/>
      </top>
      <bottom style="thin">
        <color rgb="FFBCBCBC"/>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rgb="FFC0C0C0"/>
      </left>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rgb="FFBCBCBC"/>
      </right>
      <top/>
      <bottom/>
    </border>
    <border>
      <left/>
      <right style="thin">
        <color rgb="FFBCBCBC"/>
      </right>
      <top style="thin">
        <color rgb="FFBCBCBC"/>
      </top>
      <bottom/>
    </border>
    <border>
      <left style="thin">
        <color rgb="FFC0C0C0"/>
      </left>
      <right style="thin">
        <color rgb="FFC0C0C0"/>
      </right>
      <top style="thin">
        <color rgb="FFBCBCBC"/>
      </top>
      <bottom style="thin">
        <color rgb="FFBCBCBC"/>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BCBCBC"/>
      </left>
      <right/>
      <top style="thin">
        <color rgb="FFBCBCBC"/>
      </top>
      <bottom style="thin">
        <color rgb="FFC0C0C0"/>
      </bottom>
    </border>
    <border>
      <left style="thin">
        <color rgb="FFC0C0C0"/>
      </left>
      <right style="thin">
        <color rgb="FFC0C0C0"/>
      </right>
      <top style="thin">
        <color rgb="FFC0C0C0"/>
      </top>
      <bottom style="medium">
        <color rgb="FFC0C0C0"/>
      </bottom>
    </border>
  </borders>
  <cellStyleXfs count="64">
    <xf numFmtId="49" fontId="0" fillId="0" borderId="0" applyFont="1" applyFill="0" applyBorder="0">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1" fillId="14" borderId="0" applyFont="1" applyFill="1" applyBorder="0">
      <alignment vertical="top"/>
    </xf>
    <xf numFmtId="0" fontId="1" fillId="15" borderId="0" applyFont="1" applyFill="1" applyBorder="0">
      <alignment vertical="top"/>
    </xf>
    <xf numFmtId="0" fontId="1" fillId="16" borderId="0" applyFont="1" applyFill="1" applyBorder="0">
      <alignment vertical="top"/>
    </xf>
    <xf numFmtId="0" fontId="1" fillId="17" borderId="0" applyFont="1" applyFill="1" applyBorder="0">
      <alignment vertical="top"/>
    </xf>
    <xf numFmtId="0" fontId="1" fillId="18" borderId="0" applyFont="1" applyFill="1" applyBorder="0">
      <alignment vertical="top"/>
    </xf>
    <xf numFmtId="0" fontId="1"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242" fontId="6" fillId="0" borderId="0" applyFont="0" applyFill="0" applyBorder="0" applyNumberFormat="1">
      <alignment vertical="top"/>
    </xf>
    <xf numFmtId="243" fontId="6" fillId="0" borderId="0" applyFont="0" applyFill="0" applyBorder="0" applyNumberFormat="1">
      <alignment vertical="top"/>
    </xf>
    <xf numFmtId="244" fontId="6" fillId="0" borderId="0" applyFont="0" applyFill="0" applyBorder="0" applyNumberFormat="1">
      <alignment vertical="top"/>
    </xf>
    <xf numFmtId="245"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15" fillId="0" borderId="0" applyFont="1" applyFill="0" applyBorder="0">
      <alignment vertical="top"/>
    </xf>
    <xf numFmtId="0" fontId="6" fillId="32" borderId="7" applyFont="0" applyFill="1" applyBorder="1">
      <alignment vertical="top"/>
    </xf>
    <xf numFmtId="0" fontId="16" fillId="27" borderId="8" applyFont="1" applyFill="1" applyBorder="1">
      <alignment vertical="top"/>
    </xf>
    <xf numFmtId="9" fontId="6"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20" fillId="0" borderId="0" applyFont="1" applyFill="0" applyBorder="0"/>
    <xf numFmtId="246" fontId="20" fillId="0" borderId="0" applyFont="1" applyFill="0" applyBorder="0" applyNumberFormat="1"/>
    <xf numFmtId="38" fontId="21" fillId="0" borderId="0" applyFont="1" applyFill="0" applyBorder="0" applyNumberFormat="1">
      <alignment vertical="top"/>
    </xf>
    <xf numFmtId="247" fontId="22" fillId="33" borderId="0" applyFont="1" applyFill="1" applyBorder="0" applyNumberFormat="1">
      <protection locked="0"/>
    </xf>
    <xf numFmtId="0" fontId="23" fillId="0" borderId="0" applyFont="1" applyFill="0" applyBorder="0">
      <alignment vertical="center"/>
    </xf>
    <xf numFmtId="238" fontId="22" fillId="33" borderId="0" applyFont="1" applyFill="1" applyBorder="0" applyNumberFormat="1">
      <protection locked="0"/>
    </xf>
    <xf numFmtId="239" fontId="22" fillId="33" borderId="0" applyFont="1" applyFill="1" applyBorder="0" applyNumberFormat="1">
      <protection locked="0"/>
    </xf>
    <xf numFmtId="0" fontId="24" fillId="0" borderId="0" applyFont="1" applyFill="0" applyBorder="0">
      <alignment vertical="top"/>
    </xf>
    <xf numFmtId="0" fontId="25" fillId="0" borderId="0" applyFont="1" applyFill="0" applyBorder="0">
      <alignment vertical="top"/>
    </xf>
    <xf numFmtId="0" fontId="26" fillId="0" borderId="0" applyFont="1" applyFill="0" applyBorder="0"/>
    <xf numFmtId="0" fontId="27" fillId="0" borderId="0" applyFont="1" applyFill="0" applyBorder="0">
      <alignment vertical="top"/>
    </xf>
    <xf numFmtId="49" fontId="22" fillId="0" borderId="0" applyFont="1" applyFill="0" applyBorder="0" applyNumberFormat="1">
      <alignment vertical="top"/>
    </xf>
    <xf numFmtId="0" fontId="28" fillId="0" borderId="0" applyFont="1" applyFill="0" applyBorder="0"/>
    <xf numFmtId="49" fontId="0" fillId="0" borderId="0" applyFont="1" applyFill="0" applyBorder="0" applyNumberFormat="1">
      <alignment vertical="top"/>
    </xf>
    <xf numFmtId="0" fontId="29" fillId="0" borderId="0" applyFont="1" applyFill="0" applyBorder="0"/>
    <xf numFmtId="0" fontId="30" fillId="0" borderId="0" applyFont="1" applyFill="0" applyBorder="0">
      <alignment vertical="top"/>
    </xf>
  </cellStyleXfs>
  <cellXfs count="55925">
    <xf numFmtId="49" fontId="0" fillId="0" borderId="0" xfId="0" applyFont="1" applyNumberForma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242" fontId="6" fillId="0" borderId="0" xfId="28" applyNumberFormat="1">
      <alignment vertical="top"/>
    </xf>
    <xf numFmtId="243" fontId="6" fillId="0" borderId="0" xfId="29" applyNumberFormat="1">
      <alignment vertical="top"/>
    </xf>
    <xf numFmtId="244" fontId="6" fillId="0" borderId="0" xfId="30" applyNumberFormat="1">
      <alignment vertical="top"/>
    </xf>
    <xf numFmtId="245" fontId="6" fillId="0" borderId="0" xfId="3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15" fillId="0" borderId="0" xfId="41" applyFont="1">
      <alignment vertical="top"/>
    </xf>
    <xf numFmtId="0" fontId="6" fillId="32" borderId="7" xfId="42" applyFill="1" applyBorder="1">
      <alignment vertical="top"/>
    </xf>
    <xf numFmtId="0" fontId="16" fillId="27" borderId="8" xfId="43" applyFont="1" applyFill="1" applyBorder="1">
      <alignment vertical="top"/>
    </xf>
    <xf numFmtId="9" fontId="6" fillId="0" borderId="0" xfId="44"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48" applyFont="1"/>
    <xf numFmtId="246" fontId="20" fillId="0" borderId="0" xfId="49" applyFont="1" applyNumberFormat="1"/>
    <xf numFmtId="38" fontId="21" fillId="0" borderId="0" xfId="50" applyFont="1" applyNumberFormat="1">
      <alignment vertical="top"/>
    </xf>
    <xf numFmtId="247" fontId="22" fillId="33" borderId="0" xfId="51" applyFont="1" applyFill="1" applyNumberFormat="1">
      <protection locked="0"/>
    </xf>
    <xf numFmtId="0" fontId="23" fillId="0" borderId="0" xfId="52" applyFont="1">
      <alignment vertical="center"/>
    </xf>
    <xf numFmtId="238" fontId="22" fillId="33" borderId="0" xfId="53" applyFont="1" applyFill="1" applyNumberFormat="1">
      <protection locked="0"/>
    </xf>
    <xf numFmtId="239" fontId="22" fillId="33" borderId="0" xfId="54" applyFont="1" applyFill="1" applyNumberFormat="1">
      <protection locked="0"/>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49" fontId="22" fillId="0" borderId="0" xfId="59" applyFont="1" applyNumberFormat="1">
      <alignment vertical="top"/>
    </xf>
    <xf numFmtId="0" fontId="28" fillId="0" borderId="0" xfId="60" applyFont="1"/>
    <xf numFmtId="49" fontId="0" fillId="0" borderId="0" xfId="61" applyFont="1" applyNumberFormat="1">
      <alignment vertical="top"/>
    </xf>
    <xf numFmtId="0" fontId="29" fillId="0" borderId="0" xfId="62" applyFont="1"/>
    <xf numFmtId="0" fontId="30" fillId="0" borderId="0" xfId="63" applyFon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242" fontId="31" fillId="0" borderId="0" xfId="28" applyFont="1" applyNumberFormat="1">
      <alignment vertical="top"/>
    </xf>
    <xf numFmtId="243" fontId="31" fillId="0" borderId="0" xfId="29" applyFont="1" applyNumberFormat="1">
      <alignment vertical="top"/>
    </xf>
    <xf numFmtId="244" fontId="31" fillId="0" borderId="0" xfId="30" applyFont="1" applyNumberFormat="1">
      <alignment vertical="top"/>
    </xf>
    <xf numFmtId="245"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242" fontId="31" fillId="0" borderId="0" xfId="28" applyFont="1" applyNumberFormat="1">
      <alignment vertical="top"/>
    </xf>
    <xf numFmtId="243" fontId="31" fillId="0" borderId="0" xfId="29" applyFont="1" applyNumberFormat="1">
      <alignment vertical="top"/>
    </xf>
    <xf numFmtId="244" fontId="31" fillId="0" borderId="0" xfId="30" applyFont="1" applyNumberFormat="1">
      <alignment vertical="top"/>
    </xf>
    <xf numFmtId="245"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242" fontId="31" fillId="0" borderId="0" xfId="28" applyFont="1" applyNumberFormat="1">
      <alignment vertical="top"/>
    </xf>
    <xf numFmtId="243" fontId="31" fillId="0" borderId="0" xfId="29" applyFont="1" applyNumberFormat="1">
      <alignment vertical="top"/>
    </xf>
    <xf numFmtId="244" fontId="31" fillId="0" borderId="0" xfId="30" applyFont="1" applyNumberFormat="1">
      <alignment vertical="top"/>
    </xf>
    <xf numFmtId="245"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242" fontId="31" fillId="0" borderId="0" xfId="28" applyFont="1" applyNumberFormat="1">
      <alignment vertical="top"/>
    </xf>
    <xf numFmtId="243" fontId="31" fillId="0" borderId="0" xfId="29" applyFont="1" applyNumberFormat="1">
      <alignment vertical="top"/>
    </xf>
    <xf numFmtId="244" fontId="31" fillId="0" borderId="0" xfId="30" applyFont="1" applyNumberFormat="1">
      <alignment vertical="top"/>
    </xf>
    <xf numFmtId="245"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242" fontId="31" fillId="0" borderId="0" xfId="28" applyFont="1" applyNumberFormat="1">
      <alignment vertical="top"/>
    </xf>
    <xf numFmtId="243" fontId="31" fillId="0" borderId="0" xfId="29" applyFont="1" applyNumberFormat="1">
      <alignment vertical="top"/>
    </xf>
    <xf numFmtId="244" fontId="31" fillId="0" borderId="0" xfId="30" applyFont="1" applyNumberFormat="1">
      <alignment vertical="top"/>
    </xf>
    <xf numFmtId="245"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242" fontId="31" fillId="0" borderId="0" xfId="28" applyFont="1" applyNumberFormat="1">
      <alignment vertical="top"/>
    </xf>
    <xf numFmtId="243" fontId="31" fillId="0" borderId="0" xfId="29" applyFont="1" applyNumberFormat="1">
      <alignment vertical="top"/>
    </xf>
    <xf numFmtId="244" fontId="31" fillId="0" borderId="0" xfId="30" applyFont="1" applyNumberFormat="1">
      <alignment vertical="top"/>
    </xf>
    <xf numFmtId="245"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242" fontId="31" fillId="0" borderId="0" xfId="28" applyFont="1" applyNumberFormat="1">
      <alignment vertical="top"/>
    </xf>
    <xf numFmtId="243" fontId="31" fillId="0" borderId="0" xfId="29" applyFont="1" applyNumberFormat="1">
      <alignment vertical="top"/>
    </xf>
    <xf numFmtId="244" fontId="31" fillId="0" borderId="0" xfId="30" applyFont="1" applyNumberFormat="1">
      <alignment vertical="top"/>
    </xf>
    <xf numFmtId="245"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242" fontId="31" fillId="0" borderId="0" xfId="28" applyFont="1" applyNumberFormat="1">
      <alignment vertical="top"/>
    </xf>
    <xf numFmtId="243" fontId="31" fillId="0" borderId="0" xfId="29" applyFont="1" applyNumberFormat="1">
      <alignment vertical="top"/>
    </xf>
    <xf numFmtId="244" fontId="31" fillId="0" borderId="0" xfId="30" applyFont="1" applyNumberFormat="1">
      <alignment vertical="top"/>
    </xf>
    <xf numFmtId="245"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242" fontId="31" fillId="0" borderId="0" xfId="28" applyFont="1" applyNumberFormat="1">
      <alignment vertical="top"/>
    </xf>
    <xf numFmtId="243" fontId="31" fillId="0" borderId="0" xfId="29" applyFont="1" applyNumberFormat="1">
      <alignment vertical="top"/>
    </xf>
    <xf numFmtId="244" fontId="31" fillId="0" borderId="0" xfId="30" applyFont="1" applyNumberFormat="1">
      <alignment vertical="top"/>
    </xf>
    <xf numFmtId="245"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0" fontId="22" fillId="0" borderId="0" xfId="0" applyFont="1" applyNumberFormat="1">
      <alignment vertical="top" wrapText="1"/>
    </xf>
    <xf numFmtId="49" fontId="0" fillId="0" borderId="0" xfId="0" applyFont="1" applyNumberFormat="1">
      <alignment vertical="top"/>
    </xf>
    <xf numFmtId="49" fontId="22" fillId="34" borderId="10" xfId="0" applyFont="1" applyFill="1" applyBorder="1" applyNumberFormat="1">
      <alignment horizontal="center" vertical="top"/>
    </xf>
    <xf numFmtId="49" fontId="0" fillId="0" borderId="0" xfId="0" applyFont="1" applyNumberFormat="1">
      <alignment vertical="top"/>
    </xf>
    <xf numFmtId="0" fontId="22" fillId="0" borderId="0" xfId="0" applyFont="1" applyNumberFormat="1"/>
    <xf numFmtId="0" fontId="22" fillId="35" borderId="0" xfId="0" applyFont="1" applyFill="1" applyNumberFormat="1"/>
    <xf numFmtId="0" fontId="32" fillId="0" borderId="0" xfId="0" applyFont="1" applyNumberFormat="1">
      <alignment vertical="center" wrapText="1"/>
    </xf>
    <xf numFmtId="0" fontId="33" fillId="0" borderId="0" xfId="0" applyFont="1" applyNumberFormat="1">
      <alignment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34" fillId="35" borderId="0" xfId="0" applyFont="1" applyFill="1" applyNumberFormat="1">
      <alignment vertical="center" wrapText="1"/>
    </xf>
    <xf numFmtId="0" fontId="22" fillId="35" borderId="0" xfId="0" applyFont="1" applyFill="1" applyNumberFormat="1">
      <alignment horizontal="right" vertical="center" wrapText="1" indent="1"/>
    </xf>
    <xf numFmtId="0" fontId="22" fillId="35" borderId="0" xfId="0" applyFont="1" applyFill="1" applyNumberFormat="1">
      <alignment horizontal="center" vertical="center" wrapTex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0" fontId="22" fillId="0" borderId="0" xfId="0" applyFont="1" applyNumberFormat="1">
      <alignment vertical="center"/>
    </xf>
    <xf numFmtId="49" fontId="22" fillId="35" borderId="0" xfId="0" applyFont="1" applyFill="1" applyNumberFormat="1">
      <alignment horizontal="right" vertical="center" wrapText="1" indent="1"/>
    </xf>
    <xf numFmtId="49" fontId="34" fillId="35" borderId="0" xfId="0" applyFont="1" applyFill="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0" xfId="0" applyFont="1" applyFill="1" applyNumberFormat="1">
      <alignment horizontal="right" vertical="center" wrapText="1"/>
    </xf>
    <xf numFmtId="49" fontId="0" fillId="35" borderId="0" xfId="0" applyFont="1" applyFill="1" applyNumberFormat="1">
      <alignment horizontal="right" vertical="center" wrapText="1" indent="1"/>
    </xf>
    <xf numFmtId="49" fontId="36" fillId="35"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37" fillId="35" borderId="0" xfId="0" applyFont="1" applyFill="1" applyNumberFormat="1">
      <alignment horizontal="center" vertical="center" wrapText="1"/>
    </xf>
    <xf numFmtId="0" fontId="37" fillId="0" borderId="0" xfId="0" applyFont="1" applyNumberFormat="1">
      <alignment horizontal="center" vertical="center"/>
    </xf>
    <xf numFmtId="0" fontId="37" fillId="35" borderId="0" xfId="0" applyFont="1" applyFill="1" applyNumberFormat="1">
      <alignment horizontal="center" vertical="center"/>
    </xf>
    <xf numFmtId="49" fontId="38" fillId="0" borderId="11" xfId="0" applyFont="1" applyBorder="1" applyNumberFormat="1">
      <alignment vertical="top" wrapText="1"/>
    </xf>
    <xf numFmtId="0" fontId="0" fillId="0" borderId="11" xfId="0" applyFont="1" applyBorder="1" applyNumberFormat="1">
      <alignment vertical="top" wrapText="1"/>
    </xf>
    <xf numFmtId="0" fontId="22" fillId="35" borderId="0" xfId="0" applyFont="1" applyFill="1" applyNumberFormat="1">
      <alignment horizontal="center" vertical="center" wrapText="1"/>
    </xf>
    <xf numFmtId="0" fontId="39" fillId="35" borderId="0" xfId="0" applyFont="1" applyFill="1" applyNumberFormat="1">
      <alignment vertical="center" wrapText="1"/>
    </xf>
    <xf numFmtId="0" fontId="39" fillId="0" borderId="0" xfId="0" applyFont="1" applyNumberFormat="1">
      <alignment vertical="center" wrapText="1"/>
    </xf>
    <xf numFmtId="0" fontId="32" fillId="0" borderId="0" xfId="0" applyFont="1" applyNumberFormat="1">
      <alignment horizontal="left" vertical="center" wrapText="1"/>
    </xf>
    <xf numFmtId="49" fontId="32" fillId="0" borderId="0" xfId="0" applyFont="1" applyNumberFormat="1">
      <alignment horizontal="left" vertical="center" wrapText="1"/>
    </xf>
    <xf numFmtId="0" fontId="0" fillId="0" borderId="0" xfId="0" applyFont="1" applyNumberFormat="1">
      <alignment vertical="top"/>
    </xf>
    <xf numFmtId="49" fontId="22" fillId="0" borderId="0" xfId="0" applyFont="1" applyNumberFormat="1">
      <alignment vertical="center" wrapText="1"/>
    </xf>
    <xf numFmtId="49" fontId="22" fillId="0" borderId="0" xfId="0" applyFont="1" applyNumberFormat="1">
      <alignment vertical="top"/>
    </xf>
    <xf numFmtId="0" fontId="22" fillId="0" borderId="0" xfId="0" applyFont="1" applyNumberFormat="1">
      <alignment vertical="center" wrapText="1"/>
    </xf>
    <xf numFmtId="0" fontId="0" fillId="0" borderId="0" xfId="0" applyFont="1" applyNumberFormat="1">
      <alignment vertical="center"/>
    </xf>
    <xf numFmtId="0" fontId="22" fillId="35" borderId="12" xfId="0" applyFont="1" applyFill="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40" fillId="37" borderId="13" xfId="0" applyFont="1" applyFill="1" applyBorder="1" applyNumberFormat="1">
      <alignment horizontal="left" vertical="center"/>
    </xf>
    <xf numFmtId="0" fontId="0" fillId="0" borderId="12" xfId="0" applyFont="1" applyBorder="1" applyNumberFormat="1">
      <alignment horizontal="center" vertical="center" wrapText="1"/>
    </xf>
    <xf numFmtId="0" fontId="22" fillId="37" borderId="14" xfId="0" applyFont="1" applyFill="1" applyBorder="1" applyNumberFormat="1">
      <alignment vertical="center" wrapText="1"/>
    </xf>
    <xf numFmtId="0" fontId="22" fillId="0" borderId="12" xfId="0" applyFont="1" applyBorder="1" applyNumberFormat="1">
      <alignment horizontal="center" vertical="center" wrapText="1"/>
    </xf>
    <xf numFmtId="0" fontId="41" fillId="0" borderId="0" xfId="0" applyFont="1" applyNumberFormat="1">
      <alignment vertical="center"/>
    </xf>
    <xf numFmtId="49" fontId="22" fillId="0" borderId="12" xfId="0" applyFont="1" applyBorder="1" applyNumberFormat="1">
      <alignment horizontal="center" vertical="center" wrapText="1"/>
    </xf>
    <xf numFmtId="0" fontId="22" fillId="35" borderId="12" xfId="0" applyFont="1" applyFill="1" applyBorder="1" applyNumberFormat="1">
      <alignment horizontal="center" vertical="center"/>
    </xf>
    <xf numFmtId="49" fontId="22" fillId="36" borderId="12" xfId="0" applyFont="1" applyFill="1" applyBorder="1" applyNumberFormat="1">
      <alignment horizontal="left" vertical="center" wrapText="1"/>
      <protection locked="0"/>
    </xf>
    <xf numFmtId="0" fontId="32" fillId="0" borderId="0" xfId="0" applyFont="1" applyNumberFormat="1">
      <alignment vertical="center" wrapText="1"/>
    </xf>
    <xf numFmtId="0" fontId="42" fillId="0" borderId="0" xfId="0" applyFont="1" applyNumberFormat="1">
      <alignment vertical="center" wrapText="1"/>
    </xf>
    <xf numFmtId="49" fontId="22" fillId="0" borderId="0" xfId="0" applyFont="1" applyNumberFormat="1">
      <alignment vertical="top"/>
    </xf>
    <xf numFmtId="49" fontId="32"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xf>
    <xf numFmtId="49" fontId="22" fillId="0" borderId="0" xfId="0" applyFont="1" applyNumberFormat="1">
      <alignment vertical="top"/>
    </xf>
    <xf numFmtId="0" fontId="22" fillId="35" borderId="0" xfId="0" applyFont="1" applyFill="1" applyNumberFormat="1"/>
    <xf numFmtId="0" fontId="43" fillId="35" borderId="0" xfId="0" applyFont="1" applyFill="1" applyNumberFormat="1">
      <alignment horizontal="center" vertical="center" wrapText="1"/>
    </xf>
    <xf numFmtId="0" fontId="3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wrapText="1"/>
    </xf>
    <xf numFmtId="0" fontId="22"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44" fillId="37" borderId="15" xfId="0" applyFont="1" applyFill="1" applyBorder="1" applyNumberFormat="1">
      <alignment horizontal="center" vertical="top"/>
    </xf>
    <xf numFmtId="49" fontId="40" fillId="37" borderId="15" xfId="0" applyFont="1" applyFill="1" applyBorder="1" applyNumberFormat="1">
      <alignment horizontal="left" vertical="center"/>
    </xf>
    <xf numFmtId="49" fontId="22" fillId="0" borderId="0" xfId="0" applyFont="1" applyNumberFormat="1">
      <alignment horizontal="center" vertical="top"/>
    </xf>
    <xf numFmtId="0" fontId="41" fillId="0" borderId="0" xfId="0" applyFont="1" applyNumberFormat="1">
      <alignment vertical="center"/>
    </xf>
    <xf numFmtId="0" fontId="0"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0" xfId="0" applyFont="1" applyNumberFormat="1">
      <alignment vertical="center" wrapText="1"/>
    </xf>
    <xf numFmtId="0" fontId="37" fillId="35" borderId="0" xfId="0" applyFont="1" applyFill="1" applyNumberFormat="1">
      <alignment horizontal="center" vertical="center" wrapText="1"/>
    </xf>
    <xf numFmtId="49" fontId="45" fillId="0" borderId="0" xfId="0" applyFont="1" applyNumberFormat="1">
      <alignment horizontal="right" vertical="top"/>
    </xf>
    <xf numFmtId="49" fontId="45" fillId="0" borderId="0" xfId="0" applyFont="1" applyNumberFormat="1">
      <alignment vertical="top"/>
    </xf>
    <xf numFmtId="0" fontId="22" fillId="0" borderId="0" xfId="0" applyFont="1" applyNumberFormat="1">
      <alignment horizontal="center" vertical="center" wrapText="1"/>
    </xf>
    <xf numFmtId="49" fontId="22" fillId="0" borderId="0" xfId="0" applyFont="1" applyNumberFormat="1">
      <alignment vertical="top"/>
    </xf>
    <xf numFmtId="0" fontId="0" fillId="0" borderId="0" xfId="0" applyFont="1" applyNumberFormat="1">
      <alignment vertical="center"/>
    </xf>
    <xf numFmtId="0" fontId="46" fillId="0" borderId="0" xfId="0" applyFont="1" applyNumberFormat="1">
      <alignment vertical="center" wrapText="1"/>
    </xf>
    <xf numFmtId="49" fontId="22" fillId="0" borderId="16" xfId="0" applyFont="1" applyBorder="1" applyNumberFormat="1">
      <alignment vertical="top"/>
    </xf>
    <xf numFmtId="0" fontId="29" fillId="0" borderId="0" xfId="0" applyFont="1" applyNumberFormat="1"/>
    <xf numFmtId="49" fontId="47" fillId="0" borderId="0" xfId="0" applyFont="1" applyNumberFormat="1">
      <alignment vertical="top"/>
    </xf>
    <xf numFmtId="0" fontId="47" fillId="0" borderId="0" xfId="0" applyFont="1" applyNumberFormat="1">
      <alignment vertical="center" wrapText="1"/>
    </xf>
    <xf numFmtId="49" fontId="0" fillId="35" borderId="12" xfId="0" applyFont="1" applyFill="1" applyBorder="1" applyNumberFormat="1">
      <alignment horizontal="center" vertical="center" wrapText="1"/>
    </xf>
    <xf numFmtId="0" fontId="32" fillId="0" borderId="0" xfId="0" applyFont="1" applyNumberFormat="1">
      <alignment horizontal="left" vertical="center" wrapText="1"/>
    </xf>
    <xf numFmtId="49" fontId="22" fillId="0" borderId="12" xfId="0" applyFont="1" applyBorder="1" applyNumberFormat="1">
      <alignment horizontal="left" vertical="center" wrapText="1"/>
    </xf>
    <xf numFmtId="0" fontId="22" fillId="35" borderId="17" xfId="0" applyFont="1" applyFill="1" applyBorder="1" applyNumberFormat="1">
      <alignment horizontal="center" vertical="center"/>
    </xf>
    <xf numFmtId="0" fontId="22" fillId="0" borderId="12" xfId="0" applyFont="1" applyBorder="1" applyNumberFormat="1">
      <alignment vertical="center" wrapText="1"/>
    </xf>
    <xf numFmtId="0" fontId="48" fillId="0" borderId="0" xfId="0" applyFont="1" applyNumberFormat="1">
      <alignment vertical="center" wrapText="1"/>
    </xf>
    <xf numFmtId="0" fontId="48" fillId="0" borderId="0" xfId="0" applyFont="1" applyNumberFormat="1">
      <alignment vertical="center"/>
    </xf>
    <xf numFmtId="0" fontId="49" fillId="0" borderId="0" xfId="0" applyFont="1" applyNumberFormat="1">
      <alignment vertical="center"/>
    </xf>
    <xf numFmtId="0" fontId="4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top" wrapText="1"/>
    </xf>
    <xf numFmtId="49" fontId="22" fillId="0" borderId="12" xfId="0" applyFont="1" applyBorder="1" applyNumberFormat="1">
      <alignment horizontal="center" vertical="center" wrapText="1"/>
    </xf>
    <xf numFmtId="0" fontId="46" fillId="0" borderId="18" xfId="0" applyFont="1" applyBorder="1" applyNumberFormat="1">
      <alignment vertical="top" wrapText="1"/>
    </xf>
    <xf numFmtId="49" fontId="0" fillId="0" borderId="12" xfId="0" applyFont="1" applyBorder="1" applyNumberFormat="1">
      <alignment vertical="top" wrapText="1"/>
    </xf>
    <xf numFmtId="0" fontId="0" fillId="0" borderId="12" xfId="0" applyFont="1" applyBorder="1" applyNumberFormat="1">
      <alignment vertical="top" wrapText="1"/>
    </xf>
    <xf numFmtId="0" fontId="1" fillId="0" borderId="0" xfId="0" applyFont="1" applyNumberFormat="1"/>
    <xf numFmtId="0" fontId="0" fillId="0" borderId="0" xfId="0" applyFont="1" applyNumberFormat="1"/>
    <xf numFmtId="0" fontId="37" fillId="0" borderId="0" xfId="0" applyFont="1" applyNumberFormat="1">
      <alignment horizontal="center" vertical="center" wrapText="1"/>
    </xf>
    <xf numFmtId="0" fontId="37" fillId="0" borderId="0" xfId="0" applyFont="1" applyNumberFormat="1">
      <alignment horizontal="center" vertical="center" wrapText="1"/>
    </xf>
    <xf numFmtId="0" fontId="22" fillId="0" borderId="0" xfId="0" applyFont="1" applyNumberFormat="1">
      <alignment horizontal="right" vertical="center" wrapTex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 fontId="22" fillId="0" borderId="0" xfId="0" applyFont="1" applyNumberFormat="1">
      <alignment horizontal="center" vertical="center" wrapText="1"/>
    </xf>
    <xf numFmtId="0" fontId="47" fillId="0" borderId="0" xfId="0" applyFont="1" applyNumberFormat="1">
      <alignment vertical="center"/>
    </xf>
    <xf numFmtId="237" fontId="22" fillId="0" borderId="12" xfId="0" applyFont="1" applyBorder="1" applyNumberFormat="1">
      <alignment horizontal="center" vertical="center" wrapText="1"/>
    </xf>
    <xf numFmtId="49" fontId="47" fillId="37" borderId="19" xfId="0" applyFont="1" applyFill="1" applyBorder="1" applyNumberFormat="1">
      <alignment horizontal="left" vertical="center" wrapText="1"/>
    </xf>
    <xf numFmtId="49" fontId="0" fillId="37" borderId="15" xfId="0" applyFont="1" applyFill="1" applyBorder="1" applyNumberFormat="1">
      <alignment horizontal="left" vertical="center"/>
    </xf>
    <xf numFmtId="49" fontId="47" fillId="37" borderId="20" xfId="0" applyFont="1" applyFill="1" applyBorder="1" applyNumberFormat="1">
      <alignment horizontal="left" vertical="center" wrapText="1"/>
    </xf>
    <xf numFmtId="0" fontId="36" fillId="0" borderId="0" xfId="0" applyFont="1" applyNumberFormat="1">
      <alignment horizontal="center" vertical="center" wrapText="1"/>
    </xf>
    <xf numFmtId="49" fontId="50" fillId="37" borderId="15"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22" fillId="37" borderId="13" xfId="0" applyFont="1" applyFill="1" applyBorder="1" applyNumberFormat="1">
      <alignment horizontal="right"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51" fillId="0" borderId="0" xfId="0" applyFont="1" applyNumberFormat="1">
      <alignment horizontal="center" vertical="center" wrapText="1"/>
    </xf>
    <xf numFmtId="49" fontId="0" fillId="35" borderId="0" xfId="0" applyFont="1" applyFill="1" applyNumberFormat="1">
      <alignment vertical="top"/>
    </xf>
    <xf numFmtId="49" fontId="52" fillId="38" borderId="0" xfId="0" applyFont="1" applyFill="1" applyNumberFormat="1">
      <alignment vertical="top"/>
    </xf>
    <xf numFmtId="49" fontId="52" fillId="0" borderId="0" xfId="0" applyFont="1" applyNumberFormat="1">
      <alignment vertical="top"/>
    </xf>
    <xf numFmtId="0" fontId="47" fillId="0" borderId="0" xfId="0" applyFont="1" applyNumberFormat="1">
      <alignment vertical="center"/>
    </xf>
    <xf numFmtId="49" fontId="0" fillId="37" borderId="15" xfId="0" applyFont="1" applyFill="1" applyBorder="1" applyNumberFormat="1">
      <alignment horizontal="right" vertical="center" wrapText="1"/>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49" fontId="22" fillId="0" borderId="0" xfId="0" applyFont="1" applyNumberFormat="1">
      <alignment vertical="top"/>
    </xf>
    <xf numFmtId="0" fontId="22" fillId="35" borderId="0" xfId="0" applyFont="1" applyFill="1" applyNumberFormat="1">
      <alignment horizontal="right" vertical="center"/>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48" fillId="0" borderId="0" xfId="0" applyFont="1" applyNumberFormat="1">
      <alignment vertical="top"/>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0" fillId="39" borderId="12" xfId="0" applyFont="1" applyFill="1" applyBorder="1" applyNumberFormat="1">
      <alignment horizontal="left" vertical="center" wrapText="1" indent="1"/>
      <protection locked="0"/>
    </xf>
    <xf numFmtId="49" fontId="40" fillId="37" borderId="15" xfId="0" applyFont="1" applyFill="1" applyBorder="1" applyNumberFormat="1">
      <alignment horizontal="left" vertical="center" indent="3"/>
    </xf>
    <xf numFmtId="49" fontId="44" fillId="37" borderId="13" xfId="0" applyFont="1" applyFill="1" applyBorder="1" applyNumberFormat="1">
      <alignment horizontal="center" vertical="top"/>
    </xf>
    <xf numFmtId="0" fontId="46" fillId="0" borderId="0" xfId="0" applyFont="1" applyNumberFormat="1">
      <alignment horizontal="right" vertical="top" wrapText="1"/>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indent="2"/>
    </xf>
    <xf numFmtId="0" fontId="0" fillId="0" borderId="12" xfId="0" applyFont="1" applyBorder="1" applyNumberFormat="1">
      <alignment horizontal="left" vertical="center" wrapText="1" indent="1"/>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22" fillId="0" borderId="12" xfId="0" applyFont="1" applyBorder="1" applyNumberFormat="1">
      <alignment vertical="top" wrapText="1"/>
    </xf>
    <xf numFmtId="0" fontId="37" fillId="0" borderId="0" xfId="0" applyFont="1" applyNumberFormat="1">
      <alignment horizontal="center" vertical="center" wrapText="1"/>
    </xf>
    <xf numFmtId="49" fontId="0" fillId="0" borderId="17" xfId="0" applyFont="1" applyBorder="1" applyNumberFormat="1">
      <alignment vertical="top"/>
    </xf>
    <xf numFmtId="0" fontId="48" fillId="0" borderId="0" xfId="0" applyFont="1" applyNumberFormat="1">
      <alignment vertical="center"/>
    </xf>
    <xf numFmtId="0" fontId="31" fillId="0" borderId="0" xfId="0" applyFont="1" applyNumberFormat="1">
      <alignment vertical="center"/>
    </xf>
    <xf numFmtId="49" fontId="53" fillId="39" borderId="12" xfId="0" applyFont="1" applyFill="1" applyBorder="1" applyNumberFormat="1">
      <alignment horizontal="left" vertical="center" wrapText="1"/>
      <protection locked="0"/>
    </xf>
    <xf numFmtId="49" fontId="44" fillId="37" borderId="13" xfId="0" applyFont="1" applyFill="1" applyBorder="1" applyNumberFormat="1">
      <alignment horizontal="center" vertical="top"/>
    </xf>
    <xf numFmtId="0" fontId="0" fillId="34" borderId="12" xfId="0" applyFont="1" applyFill="1" applyBorder="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2" fillId="34" borderId="12" xfId="0" applyFont="1" applyFill="1" applyBorder="1" applyNumberFormat="1">
      <alignment horizontal="left" vertical="center" wrapText="1" indent="1"/>
    </xf>
    <xf numFmtId="49" fontId="22" fillId="0" borderId="12" xfId="0" applyFont="1" applyBorder="1" applyNumberFormat="1">
      <alignment horizontal="left" vertical="center" wrapText="1" indent="1"/>
    </xf>
    <xf numFmtId="0" fontId="22" fillId="0" borderId="12" xfId="0" applyFont="1" applyBorder="1" applyNumberFormat="1">
      <alignment horizontal="center" vertical="center" wrapText="1"/>
    </xf>
    <xf numFmtId="0" fontId="46" fillId="0" borderId="0" xfId="0" applyFont="1" applyNumberFormat="1">
      <alignment vertical="center" wrapText="1"/>
    </xf>
    <xf numFmtId="0" fontId="48" fillId="0" borderId="0" xfId="0" applyFont="1" applyNumberFormat="1">
      <alignment horizontal="center" vertical="center" wrapText="1"/>
    </xf>
    <xf numFmtId="0" fontId="0" fillId="0" borderId="12" xfId="0" applyFont="1" applyBorder="1" applyNumberFormat="1">
      <alignment horizontal="left" vertical="center" wrapText="1"/>
    </xf>
    <xf numFmtId="49" fontId="36" fillId="0" borderId="15" xfId="0" applyFont="1" applyBorder="1" applyNumberFormat="1">
      <alignment horizontal="center" vertical="center" wrapText="1"/>
    </xf>
    <xf numFmtId="0" fontId="54" fillId="0" borderId="0" xfId="0" applyFont="1" applyNumberFormat="1">
      <alignment vertical="center"/>
    </xf>
    <xf numFmtId="0" fontId="55" fillId="0" borderId="0" xfId="0" applyFont="1" applyNumberFormat="1">
      <alignment vertical="center"/>
    </xf>
    <xf numFmtId="0" fontId="48" fillId="0" borderId="0" xfId="0" applyFont="1" applyNumberFormat="1">
      <alignment vertical="center"/>
    </xf>
    <xf numFmtId="0" fontId="48"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60"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63" fillId="0" borderId="0" xfId="0" applyFont="1" applyNumberFormat="1">
      <alignment horizontal="left" vertical="center" wrapText="1"/>
    </xf>
    <xf numFmtId="0" fontId="63" fillId="0" borderId="0" xfId="0" applyFont="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49" fontId="22" fillId="0" borderId="0" xfId="0" applyFont="1" applyNumberFormat="1">
      <alignment vertical="center" wrapText="1"/>
    </xf>
    <xf numFmtId="0" fontId="0" fillId="0" borderId="0" xfId="0" applyFont="1" applyNumberFormat="1">
      <alignment horizontal="left" vertical="center" indent="1"/>
    </xf>
    <xf numFmtId="0" fontId="48" fillId="0" borderId="0" xfId="0" applyFont="1" applyNumberFormat="1">
      <alignment horizontal="left" vertical="center" indent="1"/>
    </xf>
    <xf numFmtId="0" fontId="48" fillId="0" borderId="0" xfId="0" applyFont="1" applyNumberFormat="1">
      <alignment horizontal="left" vertical="center" indent="1"/>
    </xf>
    <xf numFmtId="0" fontId="48" fillId="0" borderId="22" xfId="0" applyFont="1" applyBorder="1" applyNumberFormat="1">
      <alignment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0" xfId="0" applyFont="1" applyNumberFormat="1">
      <alignment vertical="top"/>
    </xf>
    <xf numFmtId="0" fontId="22" fillId="0" borderId="0" xfId="0" applyFont="1" applyNumberFormat="1">
      <alignment horizontal="left" vertical="center" wrapText="1" indent="2"/>
    </xf>
    <xf numFmtId="0" fontId="22" fillId="0" borderId="12" xfId="0" applyFont="1" applyBorder="1" applyNumberFormat="1">
      <alignment vertical="top" wrapText="1"/>
    </xf>
    <xf numFmtId="0"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9" fontId="22" fillId="0" borderId="17" xfId="0" applyFont="1" applyBorder="1" applyNumberFormat="1">
      <alignment horizontal="left" vertical="center" wrapText="1"/>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0" fontId="22" fillId="0" borderId="0" xfId="0" applyFont="1" applyNumberFormat="1"/>
    <xf numFmtId="0" fontId="64" fillId="0" borderId="0" xfId="0" applyFont="1" applyNumberFormat="1">
      <alignment vertical="center" wrapText="1"/>
    </xf>
    <xf numFmtId="0" fontId="64" fillId="0" borderId="0" xfId="0" applyFont="1" applyNumberFormat="1">
      <alignment vertical="center" wrapText="1"/>
    </xf>
    <xf numFmtId="0" fontId="64" fillId="0" borderId="0" xfId="0" applyFont="1" applyNumberFormat="1"/>
    <xf numFmtId="49" fontId="65" fillId="0" borderId="0" xfId="0" applyFont="1" applyNumberFormat="1">
      <alignment vertical="top"/>
    </xf>
    <xf numFmtId="49" fontId="66" fillId="0" borderId="0" xfId="0" applyFont="1" applyNumberFormat="1">
      <alignment vertical="top"/>
    </xf>
    <xf numFmtId="0" fontId="22" fillId="0" borderId="0" xfId="0" applyFont="1" applyNumberFormat="1">
      <alignment horizontal="center" vertical="center" wrapText="1"/>
    </xf>
    <xf numFmtId="49" fontId="22" fillId="39" borderId="12" xfId="0" applyFont="1" applyFill="1" applyBorder="1" applyNumberFormat="1">
      <alignment horizontal="left" vertical="center" wrapText="1" indent="1"/>
      <protection locked="0"/>
    </xf>
    <xf numFmtId="0" fontId="48" fillId="0" borderId="0" xfId="0" applyFont="1" applyNumberFormat="1">
      <alignment vertical="top"/>
    </xf>
    <xf numFmtId="49" fontId="48" fillId="0" borderId="0" xfId="0" applyFont="1" applyNumberFormat="1">
      <alignment vertical="top"/>
    </xf>
    <xf numFmtId="0" fontId="0" fillId="0" borderId="0" xfId="0" applyFont="1" applyNumberFormat="1">
      <alignment vertical="top"/>
    </xf>
    <xf numFmtId="49" fontId="22" fillId="0" borderId="12" xfId="0" applyFont="1" applyBorder="1" applyNumberFormat="1">
      <alignment horizontal="right" vertical="center"/>
    </xf>
    <xf numFmtId="0" fontId="67" fillId="0" borderId="0" xfId="0" applyFont="1" applyNumberFormat="1">
      <alignment vertical="center"/>
    </xf>
    <xf numFmtId="0" fontId="48" fillId="0" borderId="0" xfId="0" applyFont="1" applyNumberFormat="1">
      <alignment vertical="center"/>
    </xf>
    <xf numFmtId="0" fontId="48" fillId="0" borderId="0" xfId="0" applyFont="1" applyNumberFormat="1">
      <alignment vertical="center" wrapText="1"/>
    </xf>
    <xf numFmtId="0" fontId="22" fillId="0" borderId="12" xfId="0" applyFont="1" applyBorder="1" applyNumberFormat="1">
      <alignment horizontal="left" vertical="center" wrapText="1"/>
    </xf>
    <xf numFmtId="0" fontId="68" fillId="0" borderId="0" xfId="0" applyFont="1" applyNumberFormat="1">
      <alignment vertical="center"/>
    </xf>
    <xf numFmtId="49" fontId="36" fillId="35" borderId="0" xfId="0" applyFont="1" applyFill="1" applyNumberFormat="1">
      <alignment horizontal="center" vertical="center" wrapText="1"/>
    </xf>
    <xf numFmtId="0" fontId="0" fillId="0" borderId="0" xfId="0" applyFont="1" applyNumberFormat="1">
      <alignment vertical="center"/>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35" borderId="12" xfId="0" applyFont="1" applyFill="1" applyBorder="1" applyNumberFormat="1">
      <alignment horizontal="left" vertical="center" wrapText="1" indent="5"/>
    </xf>
    <xf numFmtId="49" fontId="40" fillId="37" borderId="15" xfId="0" applyFont="1" applyFill="1" applyBorder="1" applyNumberFormat="1">
      <alignment horizontal="left" vertical="center" indent="5"/>
    </xf>
    <xf numFmtId="49" fontId="40" fillId="37" borderId="15" xfId="0" applyFont="1" applyFill="1" applyBorder="1" applyNumberFormat="1">
      <alignment horizontal="left" vertical="center" indent="6"/>
    </xf>
    <xf numFmtId="0" fontId="22" fillId="0" borderId="12" xfId="0" applyFont="1" applyBorder="1" applyNumberFormat="1">
      <alignment vertical="center" wrapText="1"/>
    </xf>
    <xf numFmtId="0" fontId="46" fillId="0" borderId="0" xfId="0" applyFont="1" applyNumberFormat="1">
      <alignment vertical="center" wrapText="1"/>
    </xf>
    <xf numFmtId="0" fontId="69" fillId="35" borderId="0" xfId="0" applyFont="1" applyFill="1" applyNumberFormat="1">
      <alignment vertical="center" wrapText="1"/>
    </xf>
    <xf numFmtId="49" fontId="22" fillId="0" borderId="12" xfId="0" applyFont="1" applyBorder="1" applyNumberFormat="1">
      <alignment horizontal="center" vertical="center" wrapText="1"/>
    </xf>
    <xf numFmtId="49" fontId="0" fillId="0" borderId="0" xfId="0" applyFont="1" applyNumberFormat="1">
      <alignment vertical="top"/>
    </xf>
    <xf numFmtId="49" fontId="40" fillId="37" borderId="14" xfId="0" applyFont="1" applyFill="1" applyBorder="1" applyNumberFormat="1">
      <alignment horizontal="left" vertical="center" indent="1"/>
    </xf>
    <xf numFmtId="0" fontId="0" fillId="35" borderId="12" xfId="0" applyFont="1" applyFill="1" applyBorder="1" applyNumberFormat="1">
      <alignment horizontal="right" vertical="center" wrapText="1" indent="1"/>
    </xf>
    <xf numFmtId="49" fontId="0" fillId="0" borderId="12" xfId="0" applyFont="1" applyBorder="1" applyNumberFormat="1">
      <alignment horizontal="left" vertical="center"/>
    </xf>
    <xf numFmtId="0" fontId="22" fillId="0" borderId="12" xfId="0" applyFont="1" applyBorder="1" applyNumberFormat="1">
      <alignment vertical="top" wrapText="1"/>
    </xf>
    <xf numFmtId="0" fontId="22" fillId="0" borderId="12" xfId="0" applyFont="1" applyBorder="1" applyNumberFormat="1">
      <alignment vertical="center" wrapText="1"/>
    </xf>
    <xf numFmtId="0" fontId="67" fillId="0" borderId="0" xfId="0" applyFont="1" applyNumberFormat="1">
      <alignment vertical="center"/>
    </xf>
    <xf numFmtId="0" fontId="22" fillId="0" borderId="12" xfId="0" applyFont="1" applyBorder="1" applyNumberFormat="1">
      <alignment horizontal="left" vertical="center" wrapText="1" indent="6"/>
    </xf>
    <xf numFmtId="0" fontId="22" fillId="0" borderId="17" xfId="0" applyFont="1" applyBorder="1" applyNumberFormat="1">
      <alignment vertical="center" wrapText="1"/>
    </xf>
    <xf numFmtId="0" fontId="22" fillId="0" borderId="23" xfId="0" applyFont="1" applyBorder="1" applyNumberFormat="1">
      <alignment vertical="center" wrapText="1"/>
    </xf>
    <xf numFmtId="49" fontId="0" fillId="37" borderId="13" xfId="0" applyFont="1" applyFill="1" applyBorder="1" applyNumberFormat="1">
      <alignment horizontal="center" vertical="center" wrapText="1"/>
    </xf>
    <xf numFmtId="0" fontId="0" fillId="0" borderId="14" xfId="0" applyFont="1" applyBorder="1" applyNumberFormat="1">
      <alignment vertical="center"/>
    </xf>
    <xf numFmtId="0" fontId="0" fillId="35" borderId="14" xfId="0" applyFont="1" applyFill="1" applyBorder="1" applyNumberFormat="1">
      <alignment horizontal="right" vertical="center" wrapText="1" indent="1"/>
    </xf>
    <xf numFmtId="49" fontId="32" fillId="0" borderId="0" xfId="0" applyFont="1" applyNumberFormat="1">
      <alignment vertical="top"/>
    </xf>
    <xf numFmtId="0" fontId="39" fillId="35" borderId="0" xfId="0" applyFont="1" applyFill="1" applyNumberFormat="1">
      <alignment vertical="center" wrapText="1"/>
    </xf>
    <xf numFmtId="0" fontId="22" fillId="35" borderId="12" xfId="0" applyFont="1" applyFill="1" applyBorder="1" applyNumberFormat="1">
      <alignment horizontal="left" vertical="center" wrapText="1" inden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22" fillId="0" borderId="12" xfId="0" applyFont="1" applyBorder="1" applyNumberFormat="1">
      <alignment horizontal="left" vertical="center" wrapText="1" indent="4"/>
    </xf>
    <xf numFmtId="49" fontId="40" fillId="37" borderId="14" xfId="0" applyFont="1" applyFill="1" applyBorder="1" applyNumberFormat="1">
      <alignment vertical="center" wrapText="1"/>
    </xf>
    <xf numFmtId="49" fontId="40" fillId="37" borderId="15" xfId="0" applyFont="1" applyFill="1" applyBorder="1" applyNumberFormat="1">
      <alignment vertical="center"/>
    </xf>
    <xf numFmtId="49" fontId="40" fillId="37" borderId="15" xfId="0" applyFont="1" applyFill="1" applyBorder="1" applyNumberFormat="1">
      <alignment vertical="center" wrapText="1"/>
    </xf>
    <xf numFmtId="0" fontId="22" fillId="0" borderId="0" xfId="0" applyFont="1" applyNumberFormat="1">
      <alignment vertical="top" wrapText="1"/>
    </xf>
    <xf numFmtId="49" fontId="40" fillId="37" borderId="14"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50" fillId="35" borderId="0" xfId="0" applyFont="1" applyFill="1" applyNumberFormat="1">
      <alignment horizontal="center" vertical="center" wrapText="1"/>
    </xf>
    <xf numFmtId="0" fontId="22" fillId="0" borderId="0" xfId="0" applyFont="1" applyNumberFormat="1">
      <alignment vertical="center" wrapText="1"/>
    </xf>
    <xf numFmtId="49" fontId="22" fillId="37" borderId="13" xfId="0" applyFont="1" applyFill="1" applyBorder="1" applyNumberFormat="1">
      <alignment horizontal="center" vertical="center" wrapText="1"/>
    </xf>
    <xf numFmtId="4" fontId="22" fillId="0" borderId="12" xfId="0" applyFont="1" applyBorder="1" applyNumberFormat="1">
      <alignment horizontal="right" vertical="center" wrapText="1"/>
    </xf>
    <xf numFmtId="0" fontId="22" fillId="0" borderId="0" xfId="0" applyFont="1" applyNumberFormat="1">
      <alignment vertical="center" wrapText="1"/>
    </xf>
    <xf numFmtId="0" fontId="22" fillId="0" borderId="0" xfId="0" applyFont="1" applyNumberFormat="1">
      <alignment vertical="center" wrapText="1"/>
    </xf>
    <xf numFmtId="4" fontId="48" fillId="0" borderId="12" xfId="0" applyFont="1" applyBorder="1" applyNumberFormat="1">
      <alignment horizontal="center" vertical="center" wrapText="1"/>
    </xf>
    <xf numFmtId="0" fontId="0" fillId="0" borderId="0" xfId="0" applyFont="1" applyNumberFormat="1">
      <alignment vertical="center"/>
    </xf>
    <xf numFmtId="0" fontId="0" fillId="0" borderId="12" xfId="0" applyFont="1" applyBorder="1" applyNumberFormat="1">
      <alignment horizontal="left" vertical="center" wrapText="1" indent="1"/>
    </xf>
    <xf numFmtId="49" fontId="70" fillId="0" borderId="14" xfId="0" applyFont="1" applyBorder="1" applyNumberFormat="1">
      <alignment horizontal="left" vertical="center" wrapText="1"/>
    </xf>
    <xf numFmtId="0" fontId="67" fillId="0" borderId="12" xfId="0" applyFont="1" applyBorder="1" applyNumberFormat="1">
      <alignment horizontal="left" vertical="center" wrapText="1" indent="2"/>
    </xf>
    <xf numFmtId="49" fontId="67" fillId="0" borderId="12" xfId="0" applyFont="1" applyBorder="1" applyNumberFormat="1">
      <alignment horizontal="center" vertical="center" wrapText="1"/>
    </xf>
    <xf numFmtId="0" fontId="71" fillId="0" borderId="0" xfId="0" applyFont="1" applyNumberFormat="1">
      <alignment vertical="center" wrapText="1"/>
    </xf>
    <xf numFmtId="0" fontId="22" fillId="0" borderId="0" xfId="0" applyFont="1" applyNumberFormat="1">
      <alignment vertical="top"/>
    </xf>
    <xf numFmtId="0" fontId="22" fillId="0" borderId="0" xfId="0" applyFont="1" applyNumberFormat="1">
      <alignment horizontal="right" vertical="top" wrapText="1"/>
    </xf>
    <xf numFmtId="0" fontId="22" fillId="0" borderId="17" xfId="0" applyFont="1" applyBorder="1" applyNumberFormat="1">
      <alignment vertical="center" wrapText="1"/>
    </xf>
    <xf numFmtId="49" fontId="44" fillId="37" borderId="15" xfId="0" applyFont="1" applyFill="1" applyBorder="1" applyNumberFormat="1">
      <alignment horizontal="center" vertical="top"/>
    </xf>
    <xf numFmtId="0" fontId="22" fillId="0" borderId="23" xfId="0" applyFont="1" applyBorder="1" applyNumberFormat="1">
      <alignment vertical="top" wrapText="1"/>
    </xf>
    <xf numFmtId="0" fontId="0" fillId="0" borderId="0" xfId="0" applyFont="1" applyNumberFormat="1">
      <alignment horizontal="left" vertical="top" wrapText="1"/>
    </xf>
    <xf numFmtId="0" fontId="22" fillId="0" borderId="17" xfId="0" applyFont="1" applyBorder="1" applyNumberFormat="1">
      <alignment vertical="top" wrapText="1"/>
    </xf>
    <xf numFmtId="0" fontId="22" fillId="0" borderId="0" xfId="0" applyFont="1" applyNumberFormat="1">
      <alignment vertical="center" wrapText="1"/>
    </xf>
    <xf numFmtId="49" fontId="22" fillId="0" borderId="0" xfId="0" applyFont="1" applyNumberFormat="1">
      <alignment vertical="top"/>
    </xf>
    <xf numFmtId="0" fontId="39" fillId="0" borderId="0" xfId="0" applyFont="1" applyNumberFormat="1">
      <alignment vertical="center" wrapText="1"/>
    </xf>
    <xf numFmtId="0" fontId="22" fillId="0" borderId="12" xfId="0" applyFont="1" applyBorder="1" applyNumberFormat="1">
      <alignment vertical="center" wrapText="1"/>
    </xf>
    <xf numFmtId="49" fontId="22" fillId="0" borderId="0" xfId="0" applyFont="1" applyNumberFormat="1">
      <alignment horizontal="center" vertical="center" wrapText="1"/>
    </xf>
    <xf numFmtId="0" fontId="22" fillId="37" borderId="14" xfId="0" applyFont="1" applyFill="1" applyBorder="1" applyNumberFormat="1">
      <alignment vertical="center" wrapText="1"/>
    </xf>
    <xf numFmtId="0" fontId="22" fillId="39" borderId="12" xfId="0" applyFont="1" applyFill="1" applyBorder="1" applyNumberFormat="1">
      <alignment horizontal="left" vertical="center" wrapText="1" indent="1"/>
      <protection locked="0"/>
    </xf>
    <xf numFmtId="49" fontId="40" fillId="37" borderId="15" xfId="0" applyFont="1" applyFill="1" applyBorder="1" applyNumberFormat="1">
      <alignment horizontal="left" vertical="center" indent="2"/>
    </xf>
    <xf numFmtId="0" fontId="48" fillId="0" borderId="0" xfId="0" applyFont="1" applyNumberFormat="1">
      <alignment vertical="center"/>
    </xf>
    <xf numFmtId="0" fontId="72" fillId="0" borderId="0" xfId="0" applyFont="1" applyNumberFormat="1">
      <alignment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37" fillId="0" borderId="0" xfId="0" applyFont="1" applyNumberFormat="1">
      <alignment vertical="center" wrapText="1"/>
    </xf>
    <xf numFmtId="49" fontId="22" fillId="0" borderId="24" xfId="0" applyFont="1" applyBorder="1" applyNumberFormat="1">
      <alignment vertical="top"/>
    </xf>
    <xf numFmtId="0" fontId="48" fillId="0" borderId="24" xfId="0" applyFont="1" applyBorder="1" applyNumberFormat="1">
      <alignment horizontal="center" vertical="center" wrapText="1"/>
    </xf>
    <xf numFmtId="0" fontId="48" fillId="0" borderId="24" xfId="0" applyFont="1" applyBorder="1" applyNumberFormat="1">
      <alignment vertical="center" wrapText="1"/>
    </xf>
    <xf numFmtId="49" fontId="32" fillId="0" borderId="0" xfId="0" applyFont="1" applyNumberFormat="1">
      <alignment vertical="top"/>
    </xf>
    <xf numFmtId="49" fontId="0" fillId="0" borderId="24" xfId="0" applyFont="1" applyBorder="1" applyNumberFormat="1">
      <alignment vertical="top"/>
    </xf>
    <xf numFmtId="49" fontId="22" fillId="0" borderId="0" xfId="0" applyFont="1" applyNumberFormat="1">
      <alignment vertical="top"/>
    </xf>
    <xf numFmtId="49" fontId="22" fillId="0" borderId="0" xfId="0" applyFont="1" applyNumberFormat="1">
      <alignment vertical="center" wrapText="1"/>
    </xf>
    <xf numFmtId="0" fontId="32" fillId="0" borderId="0" xfId="0" applyFont="1" applyNumberFormat="1">
      <alignment vertical="center" wrapText="1"/>
    </xf>
    <xf numFmtId="0" fontId="22" fillId="35" borderId="0" xfId="0" applyFont="1" applyFill="1" applyNumberFormat="1">
      <alignment vertical="center" wrapText="1"/>
    </xf>
    <xf numFmtId="49" fontId="22" fillId="0" borderId="0" xfId="0" applyFont="1" applyNumberFormat="1">
      <alignment vertical="center" wrapText="1"/>
    </xf>
    <xf numFmtId="49" fontId="40" fillId="37" borderId="15" xfId="0" applyFont="1" applyFill="1" applyBorder="1" applyNumberFormat="1">
      <alignment horizontal="left" vertical="center" indent="4"/>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8" fillId="0" borderId="0" xfId="0" applyFont="1" applyNumberFormat="1">
      <alignment vertical="center"/>
    </xf>
    <xf numFmtId="0" fontId="22" fillId="0" borderId="0" xfId="0" applyFont="1" applyNumberFormat="1">
      <alignment vertical="top" wrapText="1"/>
    </xf>
    <xf numFmtId="49" fontId="22" fillId="0" borderId="12" xfId="0" applyFont="1" applyBorder="1" applyNumberFormat="1">
      <alignment horizontal="right" vertical="top"/>
    </xf>
    <xf numFmtId="49" fontId="22" fillId="0" borderId="17" xfId="0" applyFont="1" applyBorder="1" applyNumberFormat="1">
      <alignment horizontal="right" vertical="top"/>
    </xf>
    <xf numFmtId="49" fontId="40" fillId="37" borderId="15" xfId="0" applyFont="1" applyFill="1" applyBorder="1" applyNumberFormat="1">
      <alignment horizontal="left" vertical="center" indent="3"/>
    </xf>
    <xf numFmtId="49" fontId="0" fillId="0" borderId="0" xfId="0" applyFont="1" applyNumberFormat="1">
      <alignment vertical="top"/>
    </xf>
    <xf numFmtId="0" fontId="22" fillId="0" borderId="0" xfId="0" applyFont="1" applyNumberFormat="1">
      <alignment vertical="center" wrapText="1"/>
    </xf>
    <xf numFmtId="49" fontId="39" fillId="0" borderId="0" xfId="0" applyFont="1" applyNumberFormat="1">
      <alignment vertical="top"/>
    </xf>
    <xf numFmtId="0" fontId="39" fillId="35" borderId="0" xfId="0" applyFont="1" applyFill="1" applyNumberFormat="1">
      <alignment vertical="center" wrapText="1"/>
    </xf>
    <xf numFmtId="49" fontId="22"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48" fillId="0" borderId="0" xfId="0" applyFont="1" applyNumberFormat="1">
      <alignment vertical="top"/>
    </xf>
    <xf numFmtId="49" fontId="48" fillId="0" borderId="0" xfId="0" applyFont="1" applyNumberFormat="1">
      <alignment vertical="top"/>
    </xf>
    <xf numFmtId="49" fontId="22"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0" fillId="0" borderId="25" xfId="0" applyFont="1" applyBorder="1" applyNumberFormat="1">
      <alignment horizontal="center" vertical="center"/>
    </xf>
    <xf numFmtId="238" fontId="22" fillId="0" borderId="12" xfId="0" applyFont="1" applyBorder="1" applyNumberFormat="1">
      <alignment horizontal="right" vertical="center" wrapText="1"/>
    </xf>
    <xf numFmtId="49" fontId="53" fillId="39" borderId="14" xfId="0" applyFont="1" applyFill="1" applyBorder="1" applyNumberFormat="1">
      <alignment horizontal="left" vertical="center" wrapText="1"/>
      <protection locked="0"/>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35" borderId="0" xfId="0" applyFont="1" applyFill="1" applyNumberFormat="1">
      <alignment horizontal="center" vertical="center" wrapText="1"/>
    </xf>
    <xf numFmtId="0" fontId="50" fillId="0" borderId="0" xfId="0" applyFont="1" applyNumberFormat="1">
      <alignment vertical="top" wrapText="1"/>
    </xf>
    <xf numFmtId="0" fontId="22" fillId="35" borderId="26" xfId="0" applyFont="1" applyFill="1" applyBorder="1" applyNumberFormat="1">
      <alignment horizontal="right" vertical="center" wrapText="1" indent="1"/>
    </xf>
    <xf numFmtId="0" fontId="0" fillId="35" borderId="26" xfId="0" applyFont="1" applyFill="1" applyBorder="1" applyNumberFormat="1">
      <alignment horizontal="right" vertical="center" wrapText="1" indent="1"/>
    </xf>
    <xf numFmtId="0" fontId="22" fillId="0" borderId="0" xfId="0" applyFont="1" applyNumberFormat="1">
      <alignment horizontal="left" vertical="center" wrapText="1" indent="4"/>
    </xf>
    <xf numFmtId="0" fontId="22" fillId="35" borderId="0" xfId="0" applyFont="1" applyFill="1" applyNumberFormat="1">
      <alignment horizontal="center" vertical="center" wrapText="1"/>
    </xf>
    <xf numFmtId="49" fontId="40" fillId="37" borderId="15" xfId="0" applyFont="1" applyFill="1" applyBorder="1" applyNumberFormat="1">
      <alignment horizontal="left" vertical="center"/>
    </xf>
    <xf numFmtId="0" fontId="22" fillId="0" borderId="19" xfId="0" applyFont="1" applyBorder="1" applyNumberFormat="1">
      <alignment vertical="center" wrapText="1"/>
    </xf>
    <xf numFmtId="0" fontId="22" fillId="0" borderId="0" xfId="0" applyFont="1" applyNumberFormat="1">
      <alignment horizontal="left" vertical="center" wrapText="1" indent="1"/>
    </xf>
    <xf numFmtId="0" fontId="71" fillId="0" borderId="0" xfId="0" applyFont="1" applyNumberFormat="1">
      <alignment vertical="center" wrapText="1"/>
    </xf>
    <xf numFmtId="49" fontId="0" fillId="35" borderId="14" xfId="0" applyFont="1" applyFill="1" applyBorder="1" applyNumberFormat="1">
      <alignment horizontal="center" vertical="center" wrapText="1"/>
    </xf>
    <xf numFmtId="49" fontId="40" fillId="37" borderId="27" xfId="0" applyFont="1" applyFill="1" applyBorder="1" applyNumberFormat="1">
      <alignment horizontal="left" vertical="center" indent="2"/>
    </xf>
    <xf numFmtId="49" fontId="53" fillId="36" borderId="12" xfId="0" applyFont="1" applyFill="1" applyBorder="1" applyNumberFormat="1">
      <alignment horizontal="left" vertical="center" wrapText="1"/>
      <protection locked="0"/>
    </xf>
    <xf numFmtId="49" fontId="22" fillId="0" borderId="19" xfId="0" applyFont="1" applyBorder="1" applyNumberFormat="1">
      <alignment vertical="top"/>
    </xf>
    <xf numFmtId="49" fontId="73" fillId="37" borderId="13" xfId="0" applyFont="1" applyFill="1" applyBorder="1" applyNumberFormat="1">
      <alignment horizontal="left" vertical="center" indent="1"/>
    </xf>
    <xf numFmtId="49" fontId="73" fillId="37" borderId="15" xfId="0" applyFont="1" applyFill="1" applyBorder="1" applyNumberFormat="1">
      <alignment horizontal="left" vertical="center" indent="1"/>
    </xf>
    <xf numFmtId="49" fontId="50" fillId="37" borderId="14" xfId="0" applyFont="1" applyFill="1" applyBorder="1" applyNumberFormat="1">
      <alignment horizontal="center" vertical="center"/>
    </xf>
    <xf numFmtId="49" fontId="73" fillId="37" borderId="15" xfId="0" applyFont="1" applyFill="1" applyBorder="1" applyNumberFormat="1">
      <alignment vertical="center"/>
    </xf>
    <xf numFmtId="0" fontId="0" fillId="41" borderId="12" xfId="0" applyFont="1" applyFill="1" applyBorder="1" applyNumberFormat="1">
      <alignment horizontal="right" vertical="center"/>
    </xf>
    <xf numFmtId="0" fontId="33" fillId="0" borderId="0" xfId="0" applyFont="1" applyNumberFormat="1">
      <alignment vertical="center" wrapText="1"/>
    </xf>
    <xf numFmtId="0" fontId="22" fillId="0" borderId="0" xfId="0" applyFont="1" applyNumberFormat="1">
      <alignment vertical="center" wrapText="1"/>
    </xf>
    <xf numFmtId="0" fontId="34" fillId="35" borderId="0" xfId="0" applyFont="1" applyFill="1" applyNumberFormat="1">
      <alignment vertical="center" wrapText="1"/>
    </xf>
    <xf numFmtId="0" fontId="32" fillId="0" borderId="0" xfId="0" applyFont="1" applyNumberFormat="1">
      <alignment horizontal="center" vertical="center" wrapText="1"/>
    </xf>
    <xf numFmtId="0" fontId="0" fillId="0" borderId="0" xfId="0" applyFont="1" applyNumberFormat="1">
      <alignment vertical="center" wrapText="1"/>
    </xf>
    <xf numFmtId="0" fontId="32" fillId="0" borderId="0" xfId="0" applyFont="1" applyNumberFormat="1">
      <alignment horizontal="left" vertical="center" wrapText="1"/>
    </xf>
    <xf numFmtId="0" fontId="0" fillId="0" borderId="12" xfId="0" applyFont="1" applyBorder="1" applyNumberFormat="1">
      <alignment horizontal="center" vertical="center" wrapText="1"/>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0" fontId="47" fillId="0" borderId="0" xfId="0" applyFont="1" applyNumberFormat="1">
      <alignment vertical="center" wrapText="1"/>
    </xf>
    <xf numFmtId="0" fontId="0" fillId="0" borderId="0" xfId="0" applyFont="1" applyNumberFormat="1">
      <alignment vertical="center"/>
    </xf>
    <xf numFmtId="49" fontId="48" fillId="0" borderId="0" xfId="0" applyFont="1" applyNumberFormat="1">
      <alignment vertical="top"/>
    </xf>
    <xf numFmtId="0" fontId="74" fillId="0" borderId="0" xfId="0" applyFont="1" applyNumberFormat="1">
      <alignment vertical="center" wrapText="1"/>
    </xf>
    <xf numFmtId="49" fontId="50" fillId="37" borderId="14" xfId="0" applyFont="1" applyFill="1" applyBorder="1" applyNumberFormat="1">
      <alignment horizontal="right" vertical="center" wrapText="1"/>
    </xf>
    <xf numFmtId="49" fontId="47" fillId="0" borderId="0" xfId="0" applyFont="1" applyNumberFormat="1">
      <alignment vertical="top"/>
    </xf>
    <xf numFmtId="49" fontId="0" fillId="0" borderId="0" xfId="0" applyFont="1" applyNumberFormat="1">
      <alignment vertical="top"/>
    </xf>
    <xf numFmtId="49" fontId="0" fillId="37" borderId="13" xfId="0" applyFont="1" applyFill="1" applyBorder="1" applyNumberFormat="1">
      <alignment horizontal="right" vertical="center" wrapText="1"/>
    </xf>
    <xf numFmtId="0" fontId="0" fillId="0" borderId="12" xfId="0" applyFont="1" applyBorder="1" applyNumberFormat="1">
      <alignment horizontal="center"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36"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vertical="top" wrapText="1"/>
    </xf>
    <xf numFmtId="0" fontId="0" fillId="35" borderId="14" xfId="0" applyFont="1" applyFill="1" applyBorder="1" applyNumberFormat="1">
      <alignment horizontal="left" vertical="center" wrapText="1" indent="1"/>
    </xf>
    <xf numFmtId="0" fontId="0" fillId="35" borderId="17" xfId="0" applyFont="1" applyFill="1" applyBorder="1" applyNumberFormat="1">
      <alignment horizontal="left" vertical="center" wrapText="1"/>
    </xf>
    <xf numFmtId="0" fontId="0" fillId="35" borderId="12" xfId="0" applyFont="1" applyFill="1" applyBorder="1" applyNumberFormat="1">
      <alignment horizontal="left" vertical="center" wrapText="1"/>
    </xf>
    <xf numFmtId="0" fontId="0" fillId="35" borderId="12" xfId="0" applyFont="1" applyFill="1" applyBorder="1" applyNumberFormat="1">
      <alignment horizontal="left" vertical="center" wrapText="1" indent="2"/>
    </xf>
    <xf numFmtId="0" fontId="0" fillId="35" borderId="12" xfId="0" applyFont="1" applyFill="1" applyBorder="1" applyNumberFormat="1">
      <alignment horizontal="center" vertical="center"/>
    </xf>
    <xf numFmtId="49" fontId="0" fillId="39" borderId="12" xfId="0" applyFont="1" applyFill="1" applyBorder="1" applyNumberFormat="1">
      <alignment horizontal="left" vertical="center" wrapText="1"/>
      <protection locked="0"/>
    </xf>
    <xf numFmtId="0" fontId="0" fillId="35" borderId="12" xfId="0" applyFont="1" applyFill="1" applyBorder="1" applyNumberFormat="1">
      <alignment horizontal="left" vertical="center" wrapText="1" indent="1"/>
    </xf>
    <xf numFmtId="0" fontId="0" fillId="0" borderId="12" xfId="0" applyFont="1" applyBorder="1" applyNumberFormat="1">
      <alignment horizontal="center" vertical="center" wrapText="1"/>
    </xf>
    <xf numFmtId="0" fontId="0" fillId="35" borderId="12" xfId="0" applyFont="1" applyFill="1" applyBorder="1" applyNumberFormat="1">
      <alignment vertical="center" wrapText="1"/>
    </xf>
    <xf numFmtId="49" fontId="0" fillId="35" borderId="12" xfId="0" applyFont="1" applyFill="1" applyBorder="1" applyNumberFormat="1">
      <alignment horizontal="center" vertical="center"/>
    </xf>
    <xf numFmtId="0" fontId="0" fillId="35" borderId="12" xfId="0" applyFont="1" applyFill="1" applyBorder="1" applyNumberFormat="1">
      <alignment horizontal="center" vertical="center" wrapText="1"/>
    </xf>
    <xf numFmtId="0" fontId="22" fillId="0" borderId="0" xfId="0" applyFont="1" applyNumberFormat="1">
      <alignment vertical="center" wrapText="1"/>
    </xf>
    <xf numFmtId="49" fontId="36" fillId="35" borderId="0" xfId="0" applyFont="1" applyFill="1" applyNumberFormat="1">
      <alignment horizontal="center"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37" fillId="0" borderId="0" xfId="0" applyFont="1" applyNumberFormat="1">
      <alignment horizontal="center" vertical="center" wrapText="1"/>
    </xf>
    <xf numFmtId="0" fontId="42" fillId="0" borderId="0" xfId="0" applyFont="1" applyNumberFormat="1">
      <alignment vertical="center" wrapText="1"/>
    </xf>
    <xf numFmtId="0" fontId="46" fillId="0" borderId="0" xfId="0" applyFont="1" applyNumberFormat="1">
      <alignment horizontal="center" vertical="center" wrapText="1"/>
    </xf>
    <xf numFmtId="0" fontId="45" fillId="0" borderId="0" xfId="0" applyFont="1" applyNumberFormat="1">
      <alignment vertical="center" wrapText="1"/>
    </xf>
    <xf numFmtId="0" fontId="0" fillId="35" borderId="0" xfId="0" applyFont="1" applyFill="1" applyNumberFormat="1"/>
    <xf numFmtId="0" fontId="0" fillId="35" borderId="0" xfId="0" applyFont="1" applyFill="1" applyNumberFormat="1">
      <alignment horizontal="center"/>
    </xf>
    <xf numFmtId="0" fontId="22" fillId="35" borderId="0" xfId="0" applyFont="1" applyFill="1" applyNumberFormat="1">
      <alignment vertical="center" wrapText="1"/>
    </xf>
    <xf numFmtId="0" fontId="75" fillId="35" borderId="0" xfId="0" applyFont="1" applyFill="1" applyNumberFormat="1">
      <alignment horizontal="center"/>
    </xf>
    <xf numFmtId="0" fontId="75" fillId="35" borderId="0" xfId="0" applyFont="1" applyFill="1" applyNumberFormat="1"/>
    <xf numFmtId="0" fontId="76" fillId="35" borderId="0" xfId="0" applyFont="1" applyFill="1" applyNumberFormat="1"/>
    <xf numFmtId="0" fontId="77" fillId="35" borderId="0" xfId="0" applyFont="1" applyFill="1" applyNumberFormat="1">
      <alignment horizontal="right" vertical="center"/>
    </xf>
    <xf numFmtId="0" fontId="77" fillId="35" borderId="0" xfId="0" applyFont="1" applyFill="1" applyNumberFormat="1">
      <alignment horizontal="right" vertical="top"/>
    </xf>
    <xf numFmtId="0" fontId="22" fillId="35" borderId="0" xfId="0" applyFont="1" applyFill="1" applyNumberFormat="1">
      <alignment horizontal="center" vertical="center" wrapText="1"/>
    </xf>
    <xf numFmtId="0" fontId="36" fillId="35" borderId="0" xfId="0" applyFont="1" applyFill="1" applyNumberFormat="1">
      <alignment horizontal="center" vertical="center"/>
    </xf>
    <xf numFmtId="0" fontId="22" fillId="0" borderId="12" xfId="0" applyFont="1" applyBorder="1" applyNumberFormat="1">
      <alignment horizontal="center" vertical="center" wrapText="1"/>
    </xf>
    <xf numFmtId="0" fontId="45" fillId="0" borderId="0" xfId="0" applyFont="1" applyNumberFormat="1">
      <alignment vertical="top" wrapText="1"/>
    </xf>
    <xf numFmtId="0" fontId="22" fillId="37" borderId="14" xfId="0" applyFont="1" applyFill="1" applyBorder="1" applyNumberFormat="1">
      <alignment horizontal="center"/>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78" fillId="35" borderId="0" xfId="0" applyFont="1" applyFill="1" applyNumberFormat="1">
      <alignment vertical="center"/>
    </xf>
    <xf numFmtId="0" fontId="78" fillId="35" borderId="0" xfId="0" applyFont="1" applyFill="1" applyNumberFormat="1">
      <alignment vertical="center" wrapText="1"/>
    </xf>
    <xf numFmtId="49"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vertical="center" wrapText="1"/>
    </xf>
    <xf numFmtId="0" fontId="65" fillId="35" borderId="0" xfId="0" applyFont="1" applyFill="1" applyNumberFormat="1"/>
    <xf numFmtId="0" fontId="52" fillId="35" borderId="0" xfId="0" applyFont="1" applyFill="1" applyNumberFormat="1"/>
    <xf numFmtId="0" fontId="61" fillId="35" borderId="0" xfId="0" applyFont="1" applyFill="1" applyNumberFormat="1"/>
    <xf numFmtId="0" fontId="61" fillId="35" borderId="0" xfId="0" applyFont="1" applyFill="1" applyNumberFormat="1">
      <alignment horizontal="center"/>
    </xf>
    <xf numFmtId="0" fontId="58" fillId="0" borderId="0" xfId="0" applyFont="1" applyNumberFormat="1">
      <alignment vertical="center" wrapText="1"/>
    </xf>
    <xf numFmtId="0" fontId="60"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4" fontId="60" fillId="0" borderId="0" xfId="0" applyFont="1" applyNumberFormat="1">
      <alignment horizontal="right" vertical="center" wrapText="1"/>
    </xf>
    <xf numFmtId="0" fontId="60" fillId="0" borderId="0" xfId="0" applyFont="1" applyNumberFormat="1">
      <alignment horizontal="left" vertical="center" wrapText="1" indent="1"/>
    </xf>
    <xf numFmtId="0" fontId="79" fillId="35" borderId="0" xfId="0" applyFont="1" applyFill="1" applyNumberFormat="1">
      <alignment horizontal="center" vertical="center" wrapText="1"/>
    </xf>
    <xf numFmtId="0" fontId="36" fillId="35" borderId="0" xfId="0" applyFont="1" applyFill="1" applyNumberFormat="1">
      <alignment horizontal="center" vertical="center" wrapText="1"/>
    </xf>
    <xf numFmtId="0" fontId="64" fillId="0" borderId="0" xfId="0" applyFont="1" applyNumberFormat="1">
      <alignment vertical="center" wrapText="1"/>
    </xf>
    <xf numFmtId="0" fontId="48" fillId="0" borderId="0" xfId="0" applyFont="1" applyNumberFormat="1">
      <alignment vertical="center" wrapText="1"/>
    </xf>
    <xf numFmtId="49" fontId="22" fillId="40" borderId="12" xfId="0" applyFont="1" applyFill="1" applyBorder="1" applyNumberFormat="1">
      <alignment horizontal="left" vertical="center" wrapText="1"/>
    </xf>
    <xf numFmtId="0" fontId="64" fillId="0" borderId="0" xfId="0" applyFont="1" applyNumberFormat="1">
      <alignment horizontal="center" vertical="center" wrapText="1"/>
    </xf>
    <xf numFmtId="0" fontId="22" fillId="35" borderId="24" xfId="0" applyFont="1" applyFill="1" applyBorder="1" applyNumberFormat="1">
      <alignment vertical="center" wrapText="1"/>
    </xf>
    <xf numFmtId="49" fontId="36" fillId="35" borderId="15" xfId="0" applyFont="1" applyFill="1" applyBorder="1" applyNumberFormat="1">
      <alignment horizontal="center" vertical="center" wrapText="1"/>
    </xf>
    <xf numFmtId="0" fontId="48" fillId="0" borderId="0" xfId="0" applyFont="1" applyNumberFormat="1">
      <alignment horizontal="center" vertical="center" wrapText="1"/>
    </xf>
    <xf numFmtId="0" fontId="79" fillId="0" borderId="0" xfId="0" applyFont="1" applyNumberFormat="1">
      <alignment horizontal="center" vertical="center" wrapText="1"/>
    </xf>
    <xf numFmtId="0" fontId="72" fillId="0" borderId="0" xfId="0" applyFont="1" applyNumberFormat="1">
      <alignment vertical="center" wrapText="1"/>
    </xf>
    <xf numFmtId="49" fontId="72" fillId="0" borderId="12" xfId="0" applyFont="1" applyBorder="1" applyNumberFormat="1">
      <alignment horizontal="lef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0" fontId="48" fillId="0" borderId="0" xfId="0" applyFont="1" applyNumberFormat="1">
      <alignment vertical="center"/>
    </xf>
    <xf numFmtId="0" fontId="48" fillId="35" borderId="0" xfId="0" applyFont="1" applyFill="1" applyNumberFormat="1"/>
    <xf numFmtId="0" fontId="48" fillId="35" borderId="0" xfId="0" applyFont="1" applyFill="1" applyNumberFormat="1">
      <alignment vertical="center" wrapText="1"/>
    </xf>
    <xf numFmtId="0" fontId="48" fillId="0" borderId="0" xfId="0" applyFont="1" applyNumberFormat="1">
      <alignment vertical="center" wrapText="1"/>
    </xf>
    <xf numFmtId="49" fontId="22" fillId="0" borderId="0" xfId="0" applyFont="1" applyNumberFormat="1">
      <alignment vertical="top"/>
    </xf>
    <xf numFmtId="0" fontId="22" fillId="0" borderId="0" xfId="0" applyFont="1" applyNumberFormat="1">
      <alignment vertical="center" wrapText="1"/>
    </xf>
    <xf numFmtId="0" fontId="37" fillId="35" borderId="0" xfId="0" applyFont="1" applyFill="1" applyNumberFormat="1">
      <alignment horizontal="center" vertical="center" wrapText="1"/>
    </xf>
    <xf numFmtId="0" fontId="42" fillId="0" borderId="0" xfId="0" applyFont="1" applyNumberFormat="1">
      <alignment vertical="center" wrapText="1"/>
    </xf>
    <xf numFmtId="49" fontId="22" fillId="0" borderId="12" xfId="0" applyFont="1" applyBorder="1" applyNumberFormat="1">
      <alignment horizontal="left" vertical="center" wrapText="1"/>
    </xf>
    <xf numFmtId="0" fontId="22" fillId="0" borderId="0" xfId="0" applyFont="1" applyNumberFormat="1">
      <alignment vertical="center" wrapText="1"/>
    </xf>
    <xf numFmtId="49" fontId="48" fillId="0" borderId="0" xfId="0" applyFont="1" applyNumberFormat="1">
      <alignment vertical="center" wrapText="1"/>
    </xf>
    <xf numFmtId="0" fontId="48" fillId="0" borderId="0" xfId="0" applyFont="1" applyNumberFormat="1">
      <alignment vertical="center" wrapText="1"/>
    </xf>
    <xf numFmtId="0" fontId="22" fillId="0" borderId="12" xfId="0" applyFont="1" applyBorder="1" applyNumberFormat="1">
      <alignment horizontal="center" vertical="center"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48" fillId="0" borderId="0" xfId="0" applyFont="1" applyNumberFormat="1">
      <alignment vertical="center" wrapText="1"/>
    </xf>
    <xf numFmtId="49" fontId="53" fillId="0" borderId="12" xfId="0" applyFont="1" applyBorder="1" applyNumberFormat="1">
      <alignment horizontal="left" vertical="center" wrapText="1"/>
    </xf>
    <xf numFmtId="14"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center" vertical="center" wrapText="1"/>
    </xf>
    <xf numFmtId="0" fontId="82" fillId="0" borderId="0" xfId="0" applyFont="1" applyNumberFormat="1">
      <alignment horizontal="center" vertical="center" wrapText="1"/>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0" fillId="35" borderId="14" xfId="0" applyFont="1" applyFill="1" applyBorder="1" applyNumberFormat="1">
      <alignment horizontal="left" vertical="center" wrapText="1"/>
    </xf>
    <xf numFmtId="49" fontId="50" fillId="37" borderId="15" xfId="0" applyFont="1" applyFill="1" applyBorder="1" applyNumberFormat="1">
      <alignment horizontal="center" vertical="center"/>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vertical="center" wrapText="1"/>
    </xf>
    <xf numFmtId="0" fontId="47"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49" fontId="22"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 fontId="22" fillId="36" borderId="12" xfId="0" applyFont="1" applyFill="1" applyBorder="1" applyNumberFormat="1">
      <alignment horizontal="right" vertical="center" wrapText="1"/>
      <protection locked="0"/>
    </xf>
    <xf numFmtId="0" fontId="22" fillId="0" borderId="13" xfId="0" applyFont="1" applyBorder="1" applyNumberFormat="1">
      <alignment vertical="top" wrapText="1"/>
    </xf>
    <xf numFmtId="0" fontId="84" fillId="0" borderId="0" xfId="0" applyFont="1" applyNumberFormat="1">
      <alignment vertical="center" wrapText="1"/>
    </xf>
    <xf numFmtId="0" fontId="54" fillId="0" borderId="0" xfId="0" applyFont="1" applyNumberFormat="1">
      <alignment vertical="center" wrapText="1"/>
    </xf>
    <xf numFmtId="239" fontId="22" fillId="36" borderId="12" xfId="0" applyFont="1" applyFill="1" applyBorder="1" applyNumberFormat="1">
      <alignment horizontal="right" vertical="center" wrapText="1"/>
      <protection locked="0"/>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49" fontId="48" fillId="0" borderId="0" xfId="0" applyFont="1" applyNumberFormat="1">
      <alignment horizontal="center"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0" fontId="22" fillId="36" borderId="12" xfId="0" applyFont="1" applyFill="1" applyBorder="1" applyNumberFormat="1">
      <alignment horizontal="left" vertical="center" wrapText="1"/>
      <protection locked="0"/>
    </xf>
    <xf numFmtId="0" fontId="46" fillId="0" borderId="0" xfId="0" applyFont="1" applyNumberFormat="1">
      <alignment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9"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14" fontId="22" fillId="0" borderId="0" xfId="0" applyFont="1" applyNumberFormat="1">
      <alignment horizontal="center" vertical="center" wrapText="1"/>
    </xf>
    <xf numFmtId="49" fontId="50" fillId="0" borderId="0" xfId="0" applyFont="1" applyNumberFormat="1">
      <alignment horizontal="center" vertical="center"/>
    </xf>
    <xf numFmtId="0" fontId="22" fillId="0" borderId="12" xfId="0" applyFont="1" applyBorder="1" applyNumberFormat="1">
      <alignment horizontal="left" vertical="center" wrapText="1" indent="2"/>
    </xf>
    <xf numFmtId="239" fontId="22" fillId="39" borderId="12"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0" fontId="22" fillId="0" borderId="0" xfId="0" applyFont="1" applyNumberFormat="1">
      <alignment horizontal="left" vertical="center" wrapText="1"/>
    </xf>
    <xf numFmtId="0" fontId="22" fillId="0" borderId="0" xfId="0" applyFont="1" applyNumberFormat="1">
      <alignment vertical="center"/>
    </xf>
    <xf numFmtId="0" fontId="0"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86" fillId="0" borderId="0" xfId="0" applyFont="1" applyNumberFormat="1">
      <alignment vertical="center"/>
    </xf>
    <xf numFmtId="0" fontId="41" fillId="0" borderId="0" xfId="0" applyFont="1" applyNumberFormat="1">
      <alignment vertical="center"/>
    </xf>
    <xf numFmtId="0" fontId="22" fillId="0" borderId="0" xfId="0" applyFont="1" applyNumberFormat="1">
      <alignment vertical="center" wrapText="1"/>
    </xf>
    <xf numFmtId="0" fontId="41" fillId="0" borderId="0" xfId="0" applyFont="1" applyNumberFormat="1">
      <alignment vertical="center"/>
    </xf>
    <xf numFmtId="0" fontId="86" fillId="0" borderId="0" xfId="0" applyFont="1" applyNumberFormat="1">
      <alignment vertical="center"/>
    </xf>
    <xf numFmtId="0" fontId="31" fillId="0" borderId="0" xfId="0" applyFont="1" applyNumberFormat="1">
      <alignment vertical="center"/>
    </xf>
    <xf numFmtId="0" fontId="22" fillId="0" borderId="0" xfId="0" applyFont="1" applyNumberFormat="1">
      <alignment horizontal="center" vertical="center" wrapText="1"/>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0" fillId="37" borderId="13" xfId="0" applyFont="1" applyFill="1" applyBorder="1" applyNumberFormat="1">
      <alignment vertical="center"/>
    </xf>
    <xf numFmtId="49" fontId="22" fillId="0" borderId="17"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0" xfId="0" applyFont="1" applyNumberFormat="1">
      <alignment vertical="center"/>
    </xf>
    <xf numFmtId="0" fontId="74" fillId="0" borderId="0" xfId="0" applyFont="1" applyNumberFormat="1">
      <alignment vertical="center"/>
    </xf>
    <xf numFmtId="0" fontId="0" fillId="0" borderId="0" xfId="0" applyFont="1" applyNumberFormat="1">
      <alignment vertical="center"/>
    </xf>
    <xf numFmtId="49" fontId="40" fillId="37" borderId="13"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32" fillId="0" borderId="0" xfId="0" applyFont="1" applyNumberFormat="1">
      <alignment horizontal="center" vertical="center" wrapText="1"/>
    </xf>
    <xf numFmtId="0" fontId="48"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center" vertical="center" wrapText="1"/>
    </xf>
    <xf numFmtId="0" fontId="50" fillId="0" borderId="0" xfId="0" applyFont="1" applyNumberFormat="1">
      <alignment horizontal="center" vertical="center" wrapText="1"/>
    </xf>
    <xf numFmtId="49" fontId="3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49" fontId="63" fillId="0" borderId="0" xfId="0" applyFont="1" applyNumberFormat="1">
      <alignment horizontal="center" vertical="center" wrapText="1"/>
    </xf>
    <xf numFmtId="0" fontId="63"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0" fontId="47"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49" fontId="0" fillId="0" borderId="13" xfId="0" applyFont="1" applyBorder="1" applyNumberFormat="1">
      <alignment horizontal="center"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40" fillId="0" borderId="12" xfId="0" applyFont="1" applyBorder="1" applyNumberFormat="1">
      <alignment horizontal="left" vertical="center" indent="1"/>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22" fillId="0" borderId="0" xfId="0" applyFont="1" applyNumberFormat="1">
      <alignment vertical="top" wrapText="1"/>
    </xf>
    <xf numFmtId="0" fontId="22" fillId="0" borderId="0" xfId="0" applyFont="1" applyNumberFormat="1">
      <alignment horizontal="left" vertical="top" wrapText="1"/>
    </xf>
    <xf numFmtId="0" fontId="36" fillId="0" borderId="0" xfId="0" applyFont="1" applyNumberFormat="1">
      <alignment horizontal="center"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45" fillId="0" borderId="0" xfId="0" applyFont="1" applyNumberFormat="1">
      <alignment vertical="top"/>
    </xf>
    <xf numFmtId="49" fontId="22" fillId="0" borderId="31"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0" borderId="32" xfId="0" applyFont="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0" fontId="22" fillId="0" borderId="31" xfId="0" applyFont="1" applyBorder="1" applyNumberFormat="1">
      <alignment horizontal="left" vertical="center" wrapText="1" indent="2"/>
    </xf>
    <xf numFmtId="0" fontId="47" fillId="0" borderId="0" xfId="0" applyFont="1" applyNumberFormat="1">
      <alignment horizontal="center" vertical="center" wrapText="1"/>
    </xf>
    <xf numFmtId="49" fontId="22" fillId="0" borderId="0" xfId="0" applyFont="1" applyNumberFormat="1">
      <alignment horizontal="left" vertical="center" wrapText="1"/>
    </xf>
    <xf numFmtId="0" fontId="83"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horizontal="left"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3" xfId="0" applyFont="1" applyBorder="1" applyNumberFormat="1">
      <alignment vertical="center" wrapText="1"/>
    </xf>
    <xf numFmtId="4" fontId="22" fillId="36" borderId="14" xfId="0" applyFont="1" applyFill="1" applyBorder="1" applyNumberFormat="1">
      <alignment horizontal="right" vertical="center" wrapText="1"/>
      <protection locked="0"/>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36" fillId="0" borderId="0" xfId="0" applyFont="1" applyNumberFormat="1">
      <alignment horizontal="center" vertical="center" wrapText="1"/>
    </xf>
    <xf numFmtId="0" fontId="22" fillId="0" borderId="14" xfId="0" applyFont="1" applyBorder="1" applyNumberFormat="1">
      <alignment horizontal="center" vertical="center" wrapText="1"/>
    </xf>
    <xf numFmtId="3" fontId="22" fillId="39" borderId="14" xfId="0" applyFont="1" applyFill="1" applyBorder="1" applyNumberFormat="1">
      <alignment vertical="center" wrapText="1"/>
      <protection locked="0"/>
    </xf>
    <xf numFmtId="49" fontId="22" fillId="36" borderId="14" xfId="0" applyFont="1" applyFill="1" applyBorder="1" applyNumberFormat="1">
      <alignment horizontal="left" vertical="center" wrapText="1"/>
      <protection locked="0"/>
    </xf>
    <xf numFmtId="4" fontId="22" fillId="34" borderId="14" xfId="0" applyFont="1" applyFill="1" applyBorder="1" applyNumberFormat="1">
      <alignment horizontal="right" vertical="center" wrapText="1"/>
    </xf>
    <xf numFmtId="0" fontId="22" fillId="0" borderId="0" xfId="0" applyFont="1" applyNumberFormat="1">
      <alignment horizontal="left"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0" fontId="22" fillId="37" borderId="27" xfId="0" applyFont="1" applyFill="1" applyBorder="1" applyNumberFormat="1">
      <alignment vertical="center" wrapText="1"/>
    </xf>
    <xf numFmtId="49" fontId="22" fillId="39" borderId="14" xfId="0" applyFont="1" applyFill="1" applyBorder="1" applyNumberFormat="1">
      <alignment horizontal="left" vertical="center" wrapText="1"/>
      <protection locked="0"/>
    </xf>
    <xf numFmtId="49" fontId="0" fillId="36" borderId="12" xfId="0" applyFont="1" applyFill="1" applyBorder="1" applyNumberFormat="1">
      <alignment horizontal="left" vertical="center" wrapText="1"/>
      <protection locked="0"/>
    </xf>
    <xf numFmtId="0" fontId="46" fillId="0" borderId="0" xfId="0" applyFont="1" applyNumberFormat="1">
      <alignment horizontal="left" vertical="center" wrapText="1" inden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22" fillId="0" borderId="12" xfId="0" applyFont="1" applyBorder="1" applyNumberFormat="1">
      <alignment horizontal="center" vertical="center" wrapText="1"/>
    </xf>
    <xf numFmtId="49" fontId="47" fillId="0" borderId="0" xfId="0" applyFont="1" applyNumberFormat="1">
      <alignment horizontal="center" vertical="center" wrapText="1"/>
    </xf>
    <xf numFmtId="0" fontId="22" fillId="0" borderId="12" xfId="0" applyFont="1" applyBorder="1" applyNumberFormat="1">
      <alignment horizontal="center" vertical="center" wrapText="1"/>
    </xf>
    <xf numFmtId="0" fontId="47" fillId="0" borderId="0" xfId="0" applyFont="1" applyNumberFormat="1">
      <alignment horizontal="center" vertical="top"/>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indent="1"/>
    </xf>
    <xf numFmtId="0" fontId="22" fillId="0" borderId="14" xfId="0" applyFont="1" applyBorder="1" applyNumberFormat="1">
      <alignment vertical="center" wrapText="1"/>
    </xf>
    <xf numFmtId="0" fontId="22" fillId="0" borderId="0" xfId="0" applyFont="1" applyNumberFormat="1">
      <alignment horizontal="right" vertical="center"/>
    </xf>
    <xf numFmtId="49" fontId="53" fillId="37" borderId="13" xfId="0" applyFont="1" applyFill="1" applyBorder="1" applyNumberFormat="1">
      <alignment horizontal="left" vertical="center" wrapText="1"/>
    </xf>
    <xf numFmtId="0" fontId="89" fillId="0" borderId="0" xfId="0" applyFont="1" applyNumberFormat="1">
      <alignment vertical="center"/>
    </xf>
    <xf numFmtId="0" fontId="90" fillId="0" borderId="0" xfId="0" applyFont="1" applyNumberFormat="1">
      <alignment vertical="center"/>
    </xf>
    <xf numFmtId="49" fontId="48" fillId="0" borderId="22" xfId="0" applyFont="1" applyBorder="1" applyNumberFormat="1">
      <alignment vertical="top"/>
    </xf>
    <xf numFmtId="49" fontId="48" fillId="0" borderId="22" xfId="0" applyFont="1" applyBorder="1" applyNumberFormat="1">
      <alignment vertical="top"/>
    </xf>
    <xf numFmtId="0" fontId="48" fillId="0" borderId="22" xfId="0" applyFont="1" applyBorder="1" applyNumberFormat="1">
      <alignment vertical="center" wrapText="1"/>
    </xf>
    <xf numFmtId="0" fontId="22" fillId="0" borderId="13" xfId="0" applyFont="1" applyBorder="1" applyNumberFormat="1">
      <alignment horizontal="left" vertical="center" wrapText="1" indent="1"/>
    </xf>
    <xf numFmtId="0" fontId="71" fillId="0" borderId="22" xfId="0" applyFont="1" applyBorder="1" applyNumberFormat="1">
      <alignment vertical="center" wrapText="1"/>
    </xf>
    <xf numFmtId="4" fontId="22" fillId="0" borderId="31" xfId="0" applyFont="1" applyBorder="1" applyNumberFormat="1">
      <alignment horizontal="center" vertical="center" wrapText="1"/>
    </xf>
    <xf numFmtId="0" fontId="22" fillId="0" borderId="33" xfId="0" applyFont="1" applyBorder="1" applyNumberFormat="1">
      <alignment horizontal="left" vertical="center" wrapText="1"/>
    </xf>
    <xf numFmtId="0" fontId="22" fillId="0" borderId="33" xfId="0" applyFont="1" applyBorder="1" applyNumberFormat="1">
      <alignment horizontal="left" vertical="center" wrapText="1" inden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9" fontId="22" fillId="0" borderId="34"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0" fontId="47" fillId="0" borderId="0" xfId="0" applyFont="1" applyNumberFormat="1">
      <alignment horizontal="left" vertical="center" wrapText="1"/>
    </xf>
    <xf numFmtId="0" fontId="48"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0" borderId="0" xfId="0" applyFont="1" applyNumberFormat="1">
      <alignment horizontal="center" vertical="center" wrapText="1"/>
    </xf>
    <xf numFmtId="0" fontId="84" fillId="0" borderId="0" xfId="0" applyFont="1" applyNumberFormat="1">
      <alignment vertical="center" wrapText="1"/>
    </xf>
    <xf numFmtId="0" fontId="48"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4" fontId="22" fillId="0" borderId="35"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9" fontId="22" fillId="0" borderId="33" xfId="0" applyFont="1" applyBorder="1" applyNumberFormat="1">
      <alignment horizontal="center" vertical="center" wrapText="1"/>
    </xf>
    <xf numFmtId="0" fontId="22" fillId="0" borderId="35" xfId="0" applyFont="1" applyBorder="1" applyNumberFormat="1">
      <alignment horizontal="left" vertical="center" wrapText="1"/>
    </xf>
    <xf numFmtId="0" fontId="22" fillId="0" borderId="20" xfId="0" applyFont="1" applyBorder="1" applyNumberFormat="1">
      <alignment vertical="center" wrapText="1"/>
    </xf>
    <xf numFmtId="0" fontId="37" fillId="0" borderId="0" xfId="0" applyFont="1" applyNumberFormat="1">
      <alignment horizontal="center"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239" fontId="22" fillId="34" borderId="12" xfId="0" applyFont="1" applyFill="1" applyBorder="1" applyNumberFormat="1">
      <alignment horizontal="right" vertical="center" wrapText="1"/>
    </xf>
    <xf numFmtId="0" fontId="0" fillId="0" borderId="0" xfId="0" applyFont="1" applyNumberFormat="1">
      <alignment vertical="center"/>
    </xf>
    <xf numFmtId="4" fontId="22" fillId="36" borderId="12" xfId="0" applyFont="1" applyFill="1" applyBorder="1" applyNumberFormat="1">
      <alignment horizontal="right" vertical="center" wrapText="1"/>
      <protection locked="0"/>
    </xf>
    <xf numFmtId="0" fontId="73" fillId="35" borderId="0" xfId="0" applyFont="1" applyFill="1" applyNumberFormat="1">
      <alignment horizontal="right" vertical="center"/>
    </xf>
    <xf numFmtId="49" fontId="0" fillId="0" borderId="12" xfId="0" applyFont="1" applyBorder="1" applyNumberFormat="1">
      <alignment vertical="top"/>
    </xf>
    <xf numFmtId="0" fontId="22" fillId="0" borderId="14" xfId="0" applyFont="1" applyBorder="1" applyNumberFormat="1">
      <alignment horizontal="center" vertical="center" wrapText="1"/>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43" borderId="17" xfId="0" applyFont="1" applyFill="1" applyBorder="1" applyNumberFormat="1">
      <alignment vertical="top"/>
    </xf>
    <xf numFmtId="0" fontId="22" fillId="0" borderId="0" xfId="0" applyFont="1" applyNumberFormat="1">
      <alignment vertical="center" wrapText="1"/>
    </xf>
    <xf numFmtId="0" fontId="3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0" xfId="0" applyFont="1" applyNumberFormat="1">
      <alignment vertical="center" wrapText="1"/>
    </xf>
    <xf numFmtId="0" fontId="22" fillId="0" borderId="0" xfId="0" applyFont="1" applyNumberFormat="1">
      <alignment horizontal="center" vertical="center" wrapText="1"/>
    </xf>
    <xf numFmtId="49" fontId="0" fillId="0" borderId="14" xfId="0" applyFont="1" applyBorder="1" applyNumberFormat="1">
      <alignment vertical="top"/>
    </xf>
    <xf numFmtId="49" fontId="0" fillId="0" borderId="14" xfId="0" applyFont="1" applyBorder="1" applyNumberFormat="1">
      <alignment horizontal="center" vertical="top"/>
    </xf>
    <xf numFmtId="49" fontId="0" fillId="0" borderId="15" xfId="0" applyFont="1" applyBorder="1" applyNumberFormat="1">
      <alignment horizontal="center" vertical="top"/>
    </xf>
    <xf numFmtId="49" fontId="0" fillId="5" borderId="12" xfId="0" applyFont="1" applyFill="1" applyBorder="1" applyNumberFormat="1">
      <alignment vertical="top"/>
    </xf>
    <xf numFmtId="49" fontId="0" fillId="44" borderId="12" xfId="0" applyFont="1" applyFill="1" applyBorder="1" applyNumberFormat="1">
      <alignment vertical="top"/>
    </xf>
    <xf numFmtId="49" fontId="0" fillId="3" borderId="12" xfId="0" applyFont="1" applyFill="1" applyBorder="1" applyNumberFormat="1">
      <alignment vertical="top"/>
    </xf>
    <xf numFmtId="49" fontId="0" fillId="0" borderId="0" xfId="0" applyFont="1" applyNumberFormat="1">
      <alignment vertical="top"/>
    </xf>
    <xf numFmtId="0" fontId="22" fillId="0" borderId="0" xfId="0" applyFont="1" applyNumberFormat="1">
      <alignment horizontal="center" vertical="center" wrapText="1"/>
    </xf>
    <xf numFmtId="0" fontId="50" fillId="35" borderId="0" xfId="0" applyFont="1" applyFill="1" applyNumberFormat="1">
      <alignment vertical="center" wrapText="1"/>
    </xf>
    <xf numFmtId="0" fontId="53" fillId="0" borderId="0" xfId="0" applyFont="1" applyNumberFormat="1">
      <alignment horizontal="left" vertical="center" indent="1"/>
    </xf>
    <xf numFmtId="0" fontId="0" fillId="35" borderId="0" xfId="0" applyFont="1" applyFill="1" applyNumberFormat="1">
      <alignment horizontal="right" vertical="center" wrapText="1" indent="1"/>
    </xf>
    <xf numFmtId="0" fontId="0" fillId="35" borderId="0" xfId="0" applyFont="1" applyFill="1" applyNumberFormat="1">
      <alignment horizontal="left" vertical="center" wrapText="1" indent="1"/>
    </xf>
    <xf numFmtId="14" fontId="22" fillId="35" borderId="0" xfId="0" applyFont="1" applyFill="1" applyNumberFormat="1">
      <alignment horizontal="center" vertical="center" wrapText="1"/>
    </xf>
    <xf numFmtId="237" fontId="22" fillId="0" borderId="14" xfId="0" applyFont="1" applyBorder="1" applyNumberFormat="1">
      <alignment horizontal="center" vertical="center" wrapText="1"/>
    </xf>
    <xf numFmtId="49" fontId="36" fillId="0" borderId="15" xfId="0" applyFont="1" applyBorder="1" applyNumberFormat="1">
      <alignment horizontal="center" vertical="center" wrapText="1"/>
    </xf>
    <xf numFmtId="49" fontId="22" fillId="0" borderId="0" xfId="0" applyFont="1" applyNumberFormat="1">
      <alignment horizontal="center" vertical="center" wrapText="1"/>
    </xf>
    <xf numFmtId="0" fontId="22" fillId="0" borderId="23" xfId="0" applyFont="1" applyBorder="1" applyNumberFormat="1">
      <alignment horizontal="center" vertical="center" wrapText="1"/>
    </xf>
    <xf numFmtId="49" fontId="0" fillId="45" borderId="12" xfId="0" applyFont="1" applyFill="1" applyBorder="1" applyNumberFormat="1">
      <alignment vertical="top"/>
    </xf>
    <xf numFmtId="0" fontId="37" fillId="0" borderId="0" xfId="0" applyFont="1" applyNumberFormat="1">
      <alignment horizontal="center" vertical="center" wrapText="1"/>
    </xf>
    <xf numFmtId="0" fontId="91" fillId="0" borderId="0" xfId="0" applyFont="1" applyNumberFormat="1">
      <alignment horizontal="left" vertical="center" wrapText="1"/>
    </xf>
    <xf numFmtId="0" fontId="91" fillId="0" borderId="0" xfId="0" applyFont="1" applyNumberFormat="1">
      <alignment horizontal="left" vertical="center" wrapText="1"/>
    </xf>
    <xf numFmtId="14" fontId="91" fillId="35" borderId="0" xfId="0" applyFont="1" applyFill="1" applyNumberFormat="1">
      <alignment horizontal="left" vertical="center" wrapText="1"/>
    </xf>
    <xf numFmtId="14" fontId="92" fillId="0" borderId="0" xfId="0" applyFont="1" applyNumberFormat="1">
      <alignment horizontal="center" vertical="center" wrapText="1"/>
    </xf>
    <xf numFmtId="0" fontId="91" fillId="0" borderId="0" xfId="0" applyFont="1" applyNumberFormat="1">
      <alignment horizontal="left" vertical="center" wrapText="1"/>
    </xf>
    <xf numFmtId="14" fontId="93" fillId="0" borderId="12" xfId="0" applyFont="1" applyBorder="1" applyNumberFormat="1">
      <alignment horizontal="left" vertical="center" wrapText="1"/>
    </xf>
    <xf numFmtId="0" fontId="48" fillId="0" borderId="0" xfId="0" applyFont="1" applyNumberFormat="1">
      <alignment vertical="center"/>
    </xf>
    <xf numFmtId="49" fontId="22" fillId="37" borderId="19" xfId="0" applyFont="1" applyFill="1" applyBorder="1" applyNumberFormat="1">
      <alignment horizontal="center" vertical="center" wrapText="1"/>
    </xf>
    <xf numFmtId="49" fontId="22" fillId="34" borderId="23" xfId="0" applyFont="1" applyFill="1" applyBorder="1" applyNumberFormat="1">
      <alignment horizontal="center" vertical="center" wrapText="1"/>
    </xf>
    <xf numFmtId="49" fontId="47" fillId="0" borderId="12" xfId="0" applyFont="1" applyBorder="1" applyNumberFormat="1">
      <alignment horizontal="left" vertical="center" wrapText="1"/>
    </xf>
    <xf numFmtId="14" fontId="22" fillId="40" borderId="23" xfId="0" applyFont="1" applyFill="1" applyBorder="1" applyNumberFormat="1">
      <alignment horizontal="left" vertical="center" wrapText="1" indent="1"/>
    </xf>
    <xf numFmtId="49" fontId="22" fillId="37" borderId="14" xfId="0" applyFont="1" applyFill="1" applyBorder="1" applyNumberFormat="1">
      <alignment horizontal="right" vertical="center" wrapText="1"/>
    </xf>
    <xf numFmtId="0" fontId="48" fillId="0" borderId="23" xfId="0" applyFont="1" applyBorder="1" applyNumberFormat="1">
      <alignment horizontal="center" vertical="center" wrapText="1"/>
    </xf>
    <xf numFmtId="49" fontId="22" fillId="0" borderId="13" xfId="0" applyFont="1" applyBorder="1" applyNumberFormat="1">
      <alignment horizontal="center" vertical="top"/>
    </xf>
    <xf numFmtId="49" fontId="22" fillId="0" borderId="12" xfId="0" applyFont="1" applyBorder="1" applyNumberFormat="1">
      <alignment horizontal="center" vertical="top"/>
    </xf>
    <xf numFmtId="0" fontId="22" fillId="0" borderId="23" xfId="0" applyFont="1" applyBorder="1" applyNumberFormat="1">
      <alignment horizontal="center" vertical="center" wrapText="1"/>
    </xf>
    <xf numFmtId="49" fontId="22" fillId="0" borderId="14" xfId="0" applyFont="1" applyBorder="1" applyNumberFormat="1">
      <alignment horizontal="center" vertical="top"/>
    </xf>
    <xf numFmtId="0" fontId="36" fillId="0" borderId="24" xfId="0" applyFont="1" applyBorder="1" applyNumberFormat="1">
      <alignment vertical="top" wrapText="1"/>
    </xf>
    <xf numFmtId="0" fontId="36" fillId="0" borderId="0" xfId="0" applyFont="1" applyNumberFormat="1">
      <alignment vertical="top" wrapText="1"/>
    </xf>
    <xf numFmtId="0" fontId="48" fillId="0" borderId="12"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22" fillId="0" borderId="13" xfId="0" applyFont="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3" fontId="22" fillId="36" borderId="14" xfId="0" applyFont="1" applyFill="1" applyBorder="1" applyNumberFormat="1">
      <alignment horizontal="right" vertical="center" wrapText="1"/>
      <protection locked="0"/>
    </xf>
    <xf numFmtId="49" fontId="53" fillId="36" borderId="12" xfId="0" applyFont="1" applyFill="1" applyBorder="1" applyNumberFormat="1">
      <alignment horizontal="left" vertical="center" wrapText="1"/>
      <protection locked="0"/>
    </xf>
    <xf numFmtId="0" fontId="53" fillId="0" borderId="0" xfId="0" applyFont="1" applyNumberFormat="1">
      <alignment vertical="center" wrapText="1"/>
    </xf>
    <xf numFmtId="0" fontId="22" fillId="0" borderId="13" xfId="0" applyFont="1" applyBorder="1" applyNumberFormat="1">
      <alignment horizontal="center" vertical="center" wrapText="1"/>
    </xf>
    <xf numFmtId="0" fontId="22" fillId="0" borderId="12" xfId="0" applyFont="1" applyBorder="1" applyNumberFormat="1">
      <alignment horizontal="center"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20"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49" fontId="36" fillId="35" borderId="15" xfId="0" applyFont="1" applyFill="1" applyBorder="1" applyNumberFormat="1">
      <alignment horizontal="center" vertical="center" wrapText="1"/>
    </xf>
    <xf numFmtId="0" fontId="22" fillId="0" borderId="0" xfId="0" applyFont="1" applyNumberFormat="1">
      <alignment horizontal="left" vertical="center" wrapText="1" indent="1"/>
    </xf>
    <xf numFmtId="0" fontId="81" fillId="0" borderId="17" xfId="0" applyFont="1" applyBorder="1" applyNumberFormat="1">
      <alignment horizontal="center" vertical="center" wrapText="1"/>
    </xf>
    <xf numFmtId="49" fontId="47" fillId="0" borderId="0" xfId="0" applyFont="1" applyNumberFormat="1">
      <alignment vertical="top"/>
    </xf>
    <xf numFmtId="0" fontId="94" fillId="0" borderId="0" xfId="0" applyFont="1" applyNumberFormat="1">
      <alignment vertical="center" wrapText="1"/>
    </xf>
    <xf numFmtId="0" fontId="0" fillId="0" borderId="0" xfId="0" applyFont="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22" fillId="0" borderId="12" xfId="0" applyFont="1" applyBorder="1" applyNumberFormat="1">
      <alignment horizontal="left" vertical="top" wrapText="1"/>
    </xf>
    <xf numFmtId="49" fontId="95" fillId="0" borderId="0" xfId="0" applyFont="1" applyNumberFormat="1">
      <alignment horizontal="center" vertical="top" wrapText="1"/>
    </xf>
    <xf numFmtId="49" fontId="95" fillId="0" borderId="0" xfId="0" applyFont="1" applyNumberFormat="1">
      <alignment vertical="top" wrapText="1"/>
    </xf>
    <xf numFmtId="49" fontId="91" fillId="41" borderId="12" xfId="0" applyFont="1" applyFill="1" applyBorder="1" applyNumberFormat="1">
      <alignment horizontal="center" vertical="top" wrapText="1"/>
    </xf>
    <xf numFmtId="49" fontId="95" fillId="0" borderId="0" xfId="0" applyFont="1" applyNumberFormat="1">
      <alignment horizontal="left" vertical="top" wrapText="1"/>
    </xf>
    <xf numFmtId="49" fontId="95" fillId="0" borderId="12" xfId="0" applyFont="1" applyBorder="1" applyNumberFormat="1">
      <alignment horizontal="left" vertical="top" wrapText="1"/>
    </xf>
    <xf numFmtId="0" fontId="95" fillId="0" borderId="12" xfId="0" applyFont="1" applyBorder="1" applyNumberFormat="1">
      <alignment horizontal="left" vertical="top" wrapText="1"/>
    </xf>
    <xf numFmtId="0" fontId="95" fillId="41" borderId="12" xfId="0" applyFont="1" applyFill="1" applyBorder="1" applyNumberFormat="1">
      <alignment horizontal="right" vertical="center" wrapText="1"/>
    </xf>
    <xf numFmtId="49" fontId="95" fillId="0" borderId="12" xfId="0" applyFont="1" applyBorder="1" applyNumberFormat="1">
      <alignment vertical="top" wrapText="1"/>
    </xf>
    <xf numFmtId="0" fontId="95" fillId="0" borderId="17" xfId="0" applyFont="1" applyBorder="1" applyNumberFormat="1">
      <alignment horizontal="left" vertical="top" wrapText="1"/>
    </xf>
    <xf numFmtId="0" fontId="95" fillId="0" borderId="13" xfId="0" applyFont="1" applyBorder="1" applyNumberFormat="1">
      <alignment horizontal="left" vertical="top" wrapText="1"/>
    </xf>
    <xf numFmtId="0" fontId="95" fillId="0" borderId="12" xfId="0" applyFont="1" applyBorder="1" applyNumberFormat="1">
      <alignment vertical="top" wrapText="1"/>
    </xf>
    <xf numFmtId="0" fontId="91" fillId="41" borderId="12" xfId="0" applyFont="1" applyFill="1" applyBorder="1" applyNumberFormat="1">
      <alignment horizontal="center" vertical="top" wrapText="1"/>
    </xf>
    <xf numFmtId="0" fontId="95" fillId="0" borderId="0" xfId="0" applyFont="1" applyNumberFormat="1">
      <alignment vertical="top" wrapText="1"/>
    </xf>
    <xf numFmtId="0" fontId="90" fillId="0" borderId="0" xfId="0" applyFont="1" applyNumberFormat="1">
      <alignment vertical="center" wrapText="1"/>
    </xf>
    <xf numFmtId="0" fontId="46" fillId="0" borderId="0" xfId="0" applyFont="1" applyNumberFormat="1">
      <alignment horizontal="left" vertical="center" wrapText="1" indent="3"/>
    </xf>
    <xf numFmtId="3" fontId="0" fillId="0" borderId="13" xfId="0" applyFont="1" applyBorder="1" applyNumberFormat="1">
      <alignment horizontal="right" vertical="center" wrapText="1"/>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9" fontId="73" fillId="37" borderId="13" xfId="0" applyFont="1" applyFill="1" applyBorder="1" applyNumberFormat="1">
      <alignment vertical="center"/>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2" xfId="0" applyFont="1" applyFill="1" applyBorder="1" applyNumberFormat="1" quotePrefix="1">
      <alignment horizontal="left" vertical="center" wrapText="1"/>
      <protection locked="0"/>
    </xf>
    <xf numFmtId="14" fontId="22" fillId="40" borderId="23" xfId="0" applyFont="1" applyFill="1" applyBorder="1" applyNumberFormat="1">
      <alignment horizontal="left" vertical="center" wrapText="1"/>
    </xf>
    <xf numFmtId="0" fontId="48" fillId="35" borderId="23" xfId="0" applyFont="1" applyFill="1" applyBorder="1" applyNumberFormat="1">
      <alignment horizontal="center" vertical="center" wrapText="1"/>
    </xf>
    <xf numFmtId="0" fontId="37" fillId="35" borderId="24" xfId="0" applyFont="1" applyFill="1" applyBorder="1" applyNumberFormat="1">
      <alignment vertical="top" wrapText="1"/>
    </xf>
    <xf numFmtId="0" fontId="37" fillId="35" borderId="0" xfId="0" applyFont="1" applyFill="1" applyNumberFormat="1">
      <alignment vertical="top" wrapText="1"/>
    </xf>
    <xf numFmtId="14" fontId="22" fillId="40" borderId="29" xfId="0" applyFont="1" applyFill="1" applyBorder="1" applyNumberFormat="1">
      <alignment horizontal="left" vertical="center" wrapText="1"/>
    </xf>
    <xf numFmtId="0" fontId="48" fillId="35" borderId="12" xfId="0" applyFont="1" applyFill="1" applyBorder="1" applyNumberFormat="1">
      <alignment horizontal="center" vertical="center" wrapText="1"/>
    </xf>
    <xf numFmtId="0" fontId="40" fillId="37" borderId="15" xfId="0" applyFont="1" applyFill="1" applyBorder="1" applyNumberFormat="1">
      <alignment vertical="center"/>
    </xf>
    <xf numFmtId="0" fontId="49" fillId="0" borderId="0" xfId="0" applyFont="1" applyNumberFormat="1">
      <alignment vertical="center"/>
    </xf>
    <xf numFmtId="0" fontId="48" fillId="0" borderId="0" xfId="0" applyFont="1" applyNumberFormat="1">
      <alignment vertical="center" wrapText="1"/>
    </xf>
    <xf numFmtId="49" fontId="47" fillId="0" borderId="0" xfId="0" applyFont="1" applyNumberFormat="1">
      <alignment vertical="center" wrapText="1"/>
    </xf>
    <xf numFmtId="49" fontId="47" fillId="0" borderId="0" xfId="0" applyFont="1" applyNumberFormat="1">
      <alignment vertical="top"/>
    </xf>
    <xf numFmtId="0" fontId="88" fillId="0" borderId="0" xfId="0" applyFont="1" applyNumberFormat="1">
      <alignment vertical="center" wrapText="1"/>
    </xf>
    <xf numFmtId="0" fontId="96" fillId="0" borderId="0" xfId="0" applyFont="1" applyNumberFormat="1">
      <alignment vertical="center" wrapText="1"/>
    </xf>
    <xf numFmtId="0" fontId="47" fillId="0" borderId="0" xfId="0" applyFont="1" applyNumberFormat="1">
      <alignment vertical="center" wrapText="1"/>
    </xf>
    <xf numFmtId="0" fontId="88" fillId="0" borderId="0" xfId="0" applyFont="1" applyNumberFormat="1">
      <alignment horizontal="center" vertical="center" wrapText="1"/>
    </xf>
    <xf numFmtId="0" fontId="47" fillId="0" borderId="0" xfId="0" applyFont="1" applyNumberFormat="1">
      <alignment vertical="center" wrapText="1"/>
    </xf>
    <xf numFmtId="14" fontId="22" fillId="35" borderId="0" xfId="0" applyFont="1" applyFill="1" applyNumberFormat="1">
      <alignment horizontal="left" vertical="center" wrapText="1"/>
    </xf>
    <xf numFmtId="49" fontId="0" fillId="5" borderId="14" xfId="0" applyFont="1" applyFill="1" applyBorder="1" applyNumberFormat="1">
      <alignment vertical="top"/>
    </xf>
    <xf numFmtId="49" fontId="0" fillId="0" borderId="12" xfId="0" applyFont="1" applyBorder="1" applyNumberFormat="1">
      <alignment horizontal="left" vertical="center" wrapText="1"/>
    </xf>
    <xf numFmtId="49" fontId="22" fillId="0" borderId="0" xfId="0" applyFont="1" applyNumberFormat="1">
      <alignment vertical="center" wrapText="1"/>
    </xf>
    <xf numFmtId="0" fontId="0" fillId="0" borderId="12" xfId="0" applyFont="1" applyBorder="1" applyNumberFormat="1">
      <alignment horizontal="left" vertical="center" wrapText="1" indent="1"/>
    </xf>
    <xf numFmtId="49" fontId="0"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97" fillId="35" borderId="0" xfId="0" applyFont="1" applyFill="1" applyNumberFormat="1">
      <alignment horizontal="right" vertical="center"/>
    </xf>
    <xf numFmtId="49" fontId="95" fillId="0" borderId="13" xfId="0" applyFont="1" applyBorder="1" applyNumberFormat="1">
      <alignment horizontal="left" vertical="top" wrapText="1"/>
    </xf>
    <xf numFmtId="49" fontId="95" fillId="0" borderId="14" xfId="0" applyFont="1" applyBorder="1" applyNumberFormat="1">
      <alignment horizontal="left" vertical="top" wrapText="1"/>
    </xf>
    <xf numFmtId="0" fontId="95" fillId="0" borderId="17" xfId="0" applyFont="1" applyBorder="1" applyNumberFormat="1">
      <alignment vertical="top" wrapText="1"/>
    </xf>
    <xf numFmtId="0" fontId="95" fillId="0" borderId="36" xfId="0" applyFont="1" applyBorder="1" applyNumberFormat="1">
      <alignment horizontal="left" vertical="top" wrapText="1"/>
    </xf>
    <xf numFmtId="49" fontId="95" fillId="0" borderId="30" xfId="0" applyFont="1" applyBorder="1" applyNumberFormat="1">
      <alignment horizontal="left" vertical="top"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0" fontId="22" fillId="0" borderId="12" xfId="0" applyFont="1" applyBorder="1" applyNumberFormat="1">
      <alignment horizontal="left" vertical="center" wrapText="1"/>
    </xf>
    <xf numFmtId="49" fontId="95" fillId="0" borderId="12" xfId="0" applyFont="1" applyBorder="1" applyNumberFormat="1">
      <alignment horizontal="center" vertical="top" wrapText="1"/>
    </xf>
    <xf numFmtId="0" fontId="95" fillId="41" borderId="12" xfId="0" applyFont="1" applyFill="1" applyBorder="1" applyNumberFormat="1">
      <alignment horizontal="center" vertical="center" wrapText="1"/>
    </xf>
    <xf numFmtId="49" fontId="95" fillId="0" borderId="37" xfId="0" applyFont="1" applyBorder="1" applyNumberFormat="1">
      <alignment horizontal="center" vertical="top" wrapText="1"/>
    </xf>
    <xf numFmtId="49" fontId="95" fillId="0" borderId="17" xfId="0" applyFont="1" applyBorder="1" applyNumberFormat="1">
      <alignment horizontal="center" vertical="top" wrapText="1"/>
    </xf>
    <xf numFmtId="49" fontId="40" fillId="37" borderId="14" xfId="0" applyFont="1" applyFill="1" applyBorder="1" applyNumberFormat="1">
      <alignment horizontal="left" vertical="center" inden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98" fillId="0" borderId="0" xfId="0" applyFont="1" applyNumberFormat="1">
      <alignment horizontal="center" vertical="center" wrapText="1"/>
    </xf>
    <xf numFmtId="0" fontId="22" fillId="0" borderId="0" xfId="0" applyFont="1" applyNumberFormat="1">
      <alignment vertical="center" wrapText="1"/>
    </xf>
    <xf numFmtId="49" fontId="22" fillId="0" borderId="0" xfId="0" applyFont="1" applyNumberFormat="1">
      <alignment vertical="top"/>
    </xf>
    <xf numFmtId="0" fontId="22" fillId="35" borderId="0" xfId="0" applyFont="1" applyFill="1" applyNumberFormat="1">
      <alignment vertical="center" wrapText="1"/>
    </xf>
    <xf numFmtId="0" fontId="22" fillId="0" borderId="38" xfId="0" applyFont="1" applyBorder="1" applyNumberFormat="1">
      <alignment vertical="center" wrapText="1"/>
    </xf>
    <xf numFmtId="0" fontId="47" fillId="0" borderId="0" xfId="0" applyFont="1" applyNumberFormat="1">
      <alignment vertical="center" wrapText="1"/>
    </xf>
    <xf numFmtId="49" fontId="22" fillId="0" borderId="0" xfId="0" applyFont="1" applyNumberFormat="1">
      <alignment vertical="top"/>
    </xf>
    <xf numFmtId="0" fontId="22" fillId="35" borderId="0" xfId="0" applyFont="1" applyFill="1" applyNumberFormat="1">
      <alignment vertical="center" wrapText="1"/>
    </xf>
    <xf numFmtId="49" fontId="22" fillId="0" borderId="0" xfId="0" applyFont="1" applyNumberFormat="1">
      <alignment vertical="top"/>
    </xf>
    <xf numFmtId="0" fontId="22" fillId="0" borderId="0" xfId="0" applyFont="1" applyNumberFormat="1">
      <alignment vertical="center"/>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37" borderId="29" xfId="0" applyFont="1" applyFill="1" applyBorder="1" applyNumberFormat="1">
      <alignment vertical="center" wrapText="1"/>
    </xf>
    <xf numFmtId="0" fontId="22" fillId="0" borderId="0" xfId="0" applyFont="1" applyNumberFormat="1">
      <alignment vertical="center" wrapText="1"/>
    </xf>
    <xf numFmtId="0" fontId="22" fillId="35" borderId="39" xfId="0" applyFont="1" applyFill="1" applyBorder="1" applyNumberFormat="1">
      <alignment vertical="center" wrapText="1"/>
    </xf>
    <xf numFmtId="0" fontId="50" fillId="35" borderId="39" xfId="0" applyFont="1" applyFill="1" applyBorder="1" applyNumberFormat="1">
      <alignment horizontal="center" wrapText="1"/>
    </xf>
    <xf numFmtId="49" fontId="73" fillId="0" borderId="39" xfId="0" applyFont="1" applyBorder="1" applyNumberFormat="1">
      <alignment vertical="top"/>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wrapText="1"/>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0" fontId="45" fillId="0" borderId="0" xfId="0" applyFont="1" applyNumberFormat="1">
      <alignment horizontal="center" vertical="center" wrapText="1"/>
    </xf>
    <xf numFmtId="49" fontId="99" fillId="0" borderId="0" xfId="0" applyFont="1" applyNumberFormat="1">
      <alignment vertical="center" wrapText="1"/>
    </xf>
    <xf numFmtId="49" fontId="45" fillId="35" borderId="0" xfId="0" applyFont="1" applyFill="1" applyNumberFormat="1">
      <alignment vertical="center" wrapText="1"/>
    </xf>
    <xf numFmtId="49" fontId="45" fillId="0" borderId="0" xfId="0" applyFont="1" applyNumberFormat="1">
      <alignment vertical="top"/>
    </xf>
    <xf numFmtId="49" fontId="45" fillId="35" borderId="0" xfId="0" applyFont="1" applyFill="1" applyNumberFormat="1">
      <alignment vertical="center"/>
    </xf>
    <xf numFmtId="49" fontId="99"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9" fontId="22" fillId="35" borderId="0" xfId="0" applyFont="1" applyFill="1" applyNumberFormat="1">
      <alignment horizontal="center" vertical="center" wrapText="1"/>
    </xf>
    <xf numFmtId="49" fontId="48" fillId="0" borderId="13" xfId="0" applyFont="1" applyBorder="1" applyNumberFormat="1">
      <alignment horizontal="left" vertical="center" indent="1"/>
    </xf>
    <xf numFmtId="0" fontId="22" fillId="0" borderId="24" xfId="0" applyFont="1" applyBorder="1" applyNumberFormat="1">
      <alignment vertical="top" wrapText="1"/>
    </xf>
    <xf numFmtId="0" fontId="22" fillId="0" borderId="14"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center" vertical="center"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49" fontId="91" fillId="0" borderId="12" xfId="0" applyFont="1" applyBorder="1" applyNumberFormat="1">
      <alignment horizontal="center" vertical="center" wrapText="1"/>
    </xf>
    <xf numFmtId="0" fontId="91" fillId="0" borderId="12" xfId="0" applyFont="1" applyBorder="1" applyNumberFormat="1">
      <alignment horizontal="center" vertical="center"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22" xfId="0" applyFont="1" applyBorder="1" applyNumberFormat="1">
      <alignment horizontal="center" vertical="top" wrapText="1"/>
    </xf>
    <xf numFmtId="49" fontId="95" fillId="0" borderId="36" xfId="0" applyFont="1" applyBorder="1" applyNumberFormat="1">
      <alignment horizontal="left" vertical="top" wrapText="1"/>
    </xf>
    <xf numFmtId="0" fontId="91" fillId="0" borderId="12" xfId="0" applyFont="1" applyBorder="1" applyNumberFormat="1">
      <alignment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1" fillId="0" borderId="12" xfId="0" applyFont="1" applyBorder="1" applyNumberFormat="1">
      <alignment horizontal="left" vertical="top" wrapText="1"/>
    </xf>
    <xf numFmtId="239" fontId="22" fillId="39" borderId="17" xfId="0" applyFont="1" applyFill="1" applyBorder="1" applyNumberFormat="1">
      <alignment horizontal="right" vertical="center" wrapText="1"/>
      <protection locked="0"/>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72" fillId="0" borderId="0" xfId="0" applyFont="1" applyNumberFormat="1">
      <alignment horizontal="center" vertical="center" wrapText="1"/>
    </xf>
    <xf numFmtId="4" fontId="22" fillId="39" borderId="13" xfId="0" applyFont="1" applyFill="1" applyBorder="1" applyNumberFormat="1">
      <alignment horizontal="right" vertical="center" wrapText="1"/>
      <protection locked="0"/>
    </xf>
    <xf numFmtId="239" fontId="22" fillId="39" borderId="13" xfId="0" applyFont="1" applyFill="1" applyBorder="1" applyNumberFormat="1">
      <alignment horizontal="right" vertical="center" wrapText="1"/>
      <protection locked="0"/>
    </xf>
    <xf numFmtId="239" fontId="22" fillId="34" borderId="13" xfId="0" applyFont="1" applyFill="1" applyBorder="1" applyNumberFormat="1">
      <alignment horizontal="right" vertical="center" wrapText="1"/>
    </xf>
    <xf numFmtId="4" fontId="22" fillId="39" borderId="29" xfId="0" applyFont="1" applyFill="1" applyBorder="1" applyNumberFormat="1">
      <alignment horizontal="right" vertical="center" wrapText="1"/>
      <protection locked="0"/>
    </xf>
    <xf numFmtId="49" fontId="91" fillId="41" borderId="12" xfId="0" applyFont="1" applyFill="1" applyBorder="1" applyNumberFormat="1">
      <alignment horizontal="center" vertical="top"/>
    </xf>
    <xf numFmtId="49" fontId="95" fillId="0" borderId="0" xfId="0" applyFont="1" applyNumberFormat="1">
      <alignment vertical="top"/>
    </xf>
    <xf numFmtId="49" fontId="91" fillId="0" borderId="12" xfId="0" applyFont="1" applyBorder="1" applyNumberFormat="1">
      <alignment horizontal="center" vertical="top" wrapText="1"/>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49" fontId="91" fillId="0" borderId="0" xfId="0" applyFont="1" applyNumberFormat="1">
      <alignment horizontal="center" vertical="center" wrapText="1"/>
    </xf>
    <xf numFmtId="49" fontId="91" fillId="0" borderId="0" xfId="0" applyFont="1" applyNumberFormat="1">
      <alignment horizontal="left" vertical="center" wrapText="1"/>
    </xf>
    <xf numFmtId="49" fontId="91" fillId="46" borderId="0" xfId="0" applyFont="1" applyFill="1" applyNumberFormat="1">
      <alignment horizontal="center" vertical="center" wrapText="1"/>
    </xf>
    <xf numFmtId="0" fontId="91" fillId="0" borderId="0" xfId="0" applyFont="1" applyNumberFormat="1">
      <alignmen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0" fontId="48" fillId="0" borderId="23" xfId="0" applyFont="1" applyBorder="1" applyNumberFormat="1">
      <alignment horizontal="left" vertical="center" wrapText="1" indent="1"/>
    </xf>
    <xf numFmtId="0" fontId="48" fillId="0" borderId="17" xfId="0" applyFont="1" applyBorder="1" applyNumberFormat="1">
      <alignment horizontal="left" vertical="center" wrapText="1" indent="1"/>
    </xf>
    <xf numFmtId="49" fontId="95" fillId="41" borderId="12" xfId="0" applyFont="1" applyFill="1" applyBorder="1" applyNumberFormat="1">
      <alignment horizontal="center" vertical="top" wrapText="1"/>
    </xf>
    <xf numFmtId="49" fontId="95" fillId="41" borderId="12" xfId="0" applyFont="1" applyFill="1" applyBorder="1" applyNumberFormat="1">
      <alignment horizontal="left" vertical="top" wrapText="1"/>
    </xf>
    <xf numFmtId="49" fontId="95" fillId="41" borderId="0" xfId="0" applyFont="1" applyFill="1" applyNumberFormat="1">
      <alignment horizontal="left" vertical="top" wrapText="1"/>
    </xf>
    <xf numFmtId="0" fontId="91" fillId="0" borderId="14" xfId="0" applyFont="1" applyBorder="1" applyNumberFormat="1">
      <alignment horizontal="center" vertical="center" wrapText="1"/>
    </xf>
    <xf numFmtId="0" fontId="22" fillId="0" borderId="23" xfId="0" applyFont="1" applyBorder="1" applyNumberFormat="1">
      <alignment vertical="top" wrapText="1"/>
    </xf>
    <xf numFmtId="0" fontId="22" fillId="0" borderId="23" xfId="0" applyFont="1" applyBorder="1" applyNumberFormat="1">
      <alignment vertical="top" wrapText="1"/>
    </xf>
    <xf numFmtId="0" fontId="91" fillId="0" borderId="14" xfId="0" applyFont="1" applyBorder="1" applyNumberFormat="1">
      <alignment horizontal="center" vertical="center"/>
    </xf>
    <xf numFmtId="49" fontId="48" fillId="35" borderId="12" xfId="0" applyFont="1" applyFill="1" applyBorder="1" applyNumberFormat="1">
      <alignment horizontal="center" vertical="center"/>
    </xf>
    <xf numFmtId="0" fontId="48" fillId="35" borderId="12" xfId="0" applyFont="1" applyFill="1" applyBorder="1" applyNumberFormat="1">
      <alignment horizontal="left" vertical="center" wrapText="1" indent="1"/>
    </xf>
    <xf numFmtId="0" fontId="48" fillId="35" borderId="12" xfId="0" applyFont="1" applyFill="1" applyBorder="1" applyNumberFormat="1">
      <alignment vertical="center" wrapText="1"/>
    </xf>
    <xf numFmtId="49" fontId="48" fillId="0" borderId="12" xfId="0" applyFont="1" applyBorder="1" applyNumberFormat="1">
      <alignment horizontal="center" vertical="center"/>
    </xf>
    <xf numFmtId="0" fontId="48" fillId="0" borderId="12" xfId="0" applyFont="1" applyBorder="1" applyNumberFormat="1">
      <alignment horizontal="left" vertical="center" wrapText="1" inden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2" fontId="22" fillId="0" borderId="23" xfId="0" applyFont="1" applyBorder="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22" fillId="0" borderId="23" xfId="0" applyFont="1" applyBorder="1" applyNumberFormat="1">
      <alignment horizontal="left"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49" fontId="53" fillId="0" borderId="14" xfId="0" applyFont="1" applyBorder="1" applyNumberFormat="1">
      <alignment horizontal="left" vertical="center" wrapText="1"/>
    </xf>
    <xf numFmtId="49" fontId="53" fillId="0" borderId="15" xfId="0" applyFont="1" applyBorder="1" applyNumberFormat="1">
      <alignment horizontal="left" vertical="center"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 fontId="22" fillId="0" borderId="17" xfId="0" applyFont="1" applyBorder="1" applyNumberFormat="1">
      <alignment horizontal="center" vertical="center" wrapText="1"/>
    </xf>
    <xf numFmtId="4" fontId="22" fillId="0" borderId="32"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0" xfId="0" applyFont="1" applyBorder="1" applyNumberFormat="1">
      <alignment horizontal="left" vertical="center" wrapText="1"/>
    </xf>
    <xf numFmtId="0" fontId="22" fillId="0" borderId="36" xfId="0" applyFont="1" applyBorder="1" applyNumberFormat="1">
      <alignment vertical="center" wrapText="1"/>
    </xf>
    <xf numFmtId="0" fontId="22" fillId="0" borderId="32" xfId="0" applyFont="1" applyBorder="1" applyNumberFormat="1">
      <alignment horizontal="left"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0" xfId="0" applyFont="1" applyNumberFormat="1">
      <alignment vertical="top"/>
    </xf>
    <xf numFmtId="4" fontId="22" fillId="0" borderId="40"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12" xfId="0" applyFont="1" applyBorder="1" applyNumberFormat="1">
      <alignment horizontal="left"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0" fontId="48" fillId="0" borderId="12" xfId="0" applyFont="1" applyBorder="1" applyNumberFormat="1">
      <alignment horizontal="left" vertical="center" indent="1"/>
    </xf>
    <xf numFmtId="49" fontId="40" fillId="0" borderId="19" xfId="0" applyFont="1" applyBorder="1" applyNumberFormat="1">
      <alignment horizontal="right" vertical="center"/>
    </xf>
    <xf numFmtId="0" fontId="22" fillId="40" borderId="12" xfId="0" applyFont="1" applyFill="1" applyBorder="1" applyNumberFormat="1">
      <alignment horizontal="left" vertical="center" wrapText="1" inden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0" fontId="61" fillId="35" borderId="0" xfId="0" applyFont="1" applyFill="1" applyNumberFormat="1">
      <alignment horizontal="left" vertical="center" wrapText="1" indent="1"/>
    </xf>
    <xf numFmtId="0" fontId="22" fillId="0" borderId="0" xfId="0" applyFont="1" applyNumberFormat="1">
      <alignment horizontal="left" vertical="center" wrapText="1" indent="1"/>
    </xf>
    <xf numFmtId="49" fontId="53" fillId="36" borderId="13" xfId="0" applyFont="1" applyFill="1" applyBorder="1" applyNumberFormat="1">
      <alignment horizontal="left" vertical="center" wrapText="1"/>
      <protection locked="0"/>
    </xf>
    <xf numFmtId="49" fontId="22" fillId="0" borderId="0" xfId="0" applyFont="1" applyNumberFormat="1">
      <alignment horizontal="center" vertical="center" wrapText="1"/>
    </xf>
    <xf numFmtId="0" fontId="22" fillId="0" borderId="19" xfId="0" applyFont="1" applyBorder="1" applyNumberFormat="1">
      <alignment vertical="center" wrapText="1"/>
    </xf>
    <xf numFmtId="0" fontId="22" fillId="0" borderId="27" xfId="0" applyFont="1" applyBorder="1" applyNumberFormat="1">
      <alignment vertical="center" wrapText="1"/>
    </xf>
    <xf numFmtId="49" fontId="22" fillId="37" borderId="41" xfId="0" applyFont="1" applyFill="1" applyBorder="1" applyNumberFormat="1">
      <alignment horizontal="center" vertical="center" wrapText="1"/>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5" fillId="0" borderId="0" xfId="0" applyFont="1" applyNumberFormat="1">
      <alignment vertical="top"/>
    </xf>
    <xf numFmtId="49" fontId="45" fillId="0" borderId="0" xfId="0" applyFont="1" applyNumberFormat="1">
      <alignment vertical="center" wrapText="1"/>
    </xf>
    <xf numFmtId="0" fontId="45" fillId="0" borderId="0" xfId="0" applyFont="1" applyNumberFormat="1">
      <alignment vertical="center" wrapText="1"/>
    </xf>
    <xf numFmtId="49" fontId="94" fillId="0" borderId="0" xfId="0" applyFont="1" applyNumberFormat="1">
      <alignment vertical="center" wrapText="1"/>
    </xf>
    <xf numFmtId="49" fontId="0" fillId="0" borderId="0" xfId="0" applyFont="1" applyNumberFormat="1">
      <alignment vertical="center" wrapText="1"/>
    </xf>
    <xf numFmtId="49" fontId="32" fillId="47" borderId="0" xfId="0" applyFont="1" applyFill="1" applyNumberFormat="1">
      <alignment horizontal="center" vertical="center"/>
    </xf>
    <xf numFmtId="0" fontId="0" fillId="48" borderId="0" xfId="0" applyFont="1" applyFill="1" applyNumberFormat="1">
      <alignment horizontal="left" vertical="center"/>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49" fontId="22" fillId="0" borderId="44" xfId="0" applyFont="1" applyBorder="1" applyNumberFormat="1">
      <alignment vertical="center"/>
    </xf>
    <xf numFmtId="49" fontId="22" fillId="0" borderId="45"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49" fontId="22" fillId="0" borderId="12" xfId="0" applyFont="1" applyBorder="1" applyNumberFormat="1">
      <alignment vertical="top"/>
    </xf>
    <xf numFmtId="49" fontId="0" fillId="0" borderId="0" xfId="0" applyFont="1" applyNumberFormat="1">
      <alignment vertical="top"/>
    </xf>
    <xf numFmtId="0" fontId="22" fillId="0" borderId="0" xfId="0" applyFont="1" applyNumberFormat="1">
      <alignment vertical="center"/>
    </xf>
    <xf numFmtId="49" fontId="22" fillId="0" borderId="14" xfId="0" applyFont="1" applyBorder="1" applyNumberFormat="1">
      <alignment vertical="top"/>
    </xf>
    <xf numFmtId="0" fontId="0" fillId="0" borderId="0" xfId="0" applyFont="1" applyNumberFormat="1">
      <alignment vertical="center"/>
    </xf>
    <xf numFmtId="0" fontId="22" fillId="0" borderId="0" xfId="0" applyFont="1" applyNumberFormat="1">
      <alignment vertical="top"/>
    </xf>
    <xf numFmtId="49" fontId="22" fillId="0" borderId="12" xfId="0" applyFont="1" applyBorder="1" applyNumberFormat="1">
      <alignment vertical="top"/>
    </xf>
    <xf numFmtId="49" fontId="0" fillId="0" borderId="14" xfId="0" applyFont="1" applyBorder="1" applyNumberFormat="1">
      <alignmen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0" xfId="0" applyFont="1" applyNumberFormat="1">
      <alignment vertical="top"/>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49" fontId="22" fillId="41" borderId="23" xfId="0" applyFont="1" applyFill="1" applyBorder="1" applyNumberFormat="1">
      <alignment vertical="top"/>
    </xf>
    <xf numFmtId="49" fontId="22" fillId="41" borderId="12" xfId="0" applyFont="1" applyFill="1" applyBorder="1" applyNumberFormat="1">
      <alignment vertical="top"/>
    </xf>
    <xf numFmtId="0" fontId="0" fillId="0" borderId="32" xfId="0" applyFont="1" applyBorder="1" applyNumberFormat="1">
      <alignment horizontal="center" vertical="center"/>
    </xf>
    <xf numFmtId="49" fontId="0" fillId="0" borderId="0" xfId="0" applyFont="1" applyNumberFormat="1">
      <alignment vertical="center"/>
    </xf>
    <xf numFmtId="49" fontId="32" fillId="47" borderId="14" xfId="0" applyFont="1" applyFill="1" applyBorder="1" applyNumberFormat="1">
      <alignment horizontal="right" vertical="center"/>
    </xf>
    <xf numFmtId="49" fontId="22" fillId="0" borderId="0" xfId="0" applyFont="1" applyNumberFormat="1">
      <alignment vertical="center"/>
    </xf>
    <xf numFmtId="0" fontId="0" fillId="48" borderId="0" xfId="0" applyFont="1" applyFill="1" applyNumberFormat="1">
      <alignment horizontal="right" vertical="center"/>
    </xf>
    <xf numFmtId="0" fontId="103" fillId="0" borderId="47" xfId="0" applyFont="1" applyBorder="1" applyNumberFormat="1">
      <alignment horizontal="left" vertical="center" indent="1"/>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22" fillId="35" borderId="0" xfId="0" applyFont="1" applyFill="1" applyNumberFormat="1">
      <alignment vertical="center" wrapText="1"/>
    </xf>
    <xf numFmtId="0" fontId="22" fillId="0" borderId="0" xfId="0" applyFont="1" applyNumberFormat="1">
      <alignment vertical="center" wrapText="1"/>
    </xf>
    <xf numFmtId="0" fontId="32" fillId="0" borderId="0" xfId="0" applyFont="1" applyNumberFormat="1">
      <alignment vertical="center" wrapText="1"/>
    </xf>
    <xf numFmtId="49" fontId="22" fillId="0" borderId="0" xfId="0" applyFont="1" applyNumberFormat="1">
      <alignment vertical="top"/>
    </xf>
    <xf numFmtId="0" fontId="47" fillId="0" borderId="0" xfId="0" applyFont="1" applyNumberFormat="1">
      <alignment vertical="center" wrapText="1"/>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50" fillId="35" borderId="39" xfId="0" applyFont="1" applyFill="1" applyBorder="1" applyNumberFormat="1">
      <alignment horizontal="center" wrapText="1"/>
    </xf>
    <xf numFmtId="49" fontId="73" fillId="0" borderId="39" xfId="0" applyFont="1" applyBorder="1" applyNumberFormat="1">
      <alignment vertical="top"/>
    </xf>
    <xf numFmtId="0" fontId="0" fillId="0" borderId="12" xfId="0" applyFont="1" applyBorder="1" applyNumberFormat="1">
      <alignment horizontal="center" vertical="center" wrapTex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22" fillId="0" borderId="0" xfId="0" applyFont="1" applyNumberFormat="1">
      <alignment vertical="center" wrapText="1"/>
    </xf>
    <xf numFmtId="0" fontId="32" fillId="0" borderId="0" xfId="0" applyFont="1" applyNumberFormat="1">
      <alignment vertical="center" wrapText="1"/>
    </xf>
    <xf numFmtId="49" fontId="22" fillId="0" borderId="0" xfId="0" applyFont="1" applyNumberFormat="1">
      <alignment vertical="top"/>
    </xf>
    <xf numFmtId="0" fontId="47" fillId="0" borderId="0" xfId="0" applyFont="1" applyNumberFormat="1">
      <alignment vertical="center" wrapText="1"/>
    </xf>
    <xf numFmtId="0" fontId="22" fillId="0" borderId="12" xfId="0" applyFont="1" applyBorder="1" applyNumberFormat="1">
      <alignment horizontal="center" vertical="center" wrapText="1"/>
    </xf>
    <xf numFmtId="0" fontId="22" fillId="0" borderId="0" xfId="0" applyFont="1" applyNumberFormat="1">
      <alignment vertical="center" wrapText="1"/>
    </xf>
    <xf numFmtId="0" fontId="22" fillId="35" borderId="39" xfId="0" applyFont="1" applyFill="1" applyBorder="1" applyNumberFormat="1">
      <alignment vertical="center" wrapText="1"/>
    </xf>
    <xf numFmtId="0" fontId="22" fillId="0" borderId="0" xfId="0" applyFont="1" applyNumberFormat="1">
      <alignment vertical="center" wrapText="1"/>
    </xf>
    <xf numFmtId="0" fontId="32" fillId="0" borderId="0" xfId="0" applyFont="1" applyNumberFormat="1">
      <alignment vertical="center" wrapText="1"/>
    </xf>
    <xf numFmtId="49" fontId="22" fillId="0" borderId="0" xfId="0" applyFont="1" applyNumberFormat="1">
      <alignment vertical="top"/>
    </xf>
    <xf numFmtId="0" fontId="47"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39" xfId="0" applyFont="1" applyFill="1" applyBorder="1" applyNumberFormat="1">
      <alignment vertical="center" wrapText="1"/>
    </xf>
    <xf numFmtId="0" fontId="22" fillId="39" borderId="12" xfId="0" applyFont="1" applyFill="1" applyBorder="1" applyNumberFormat="1">
      <alignment horizontal="left" vertical="center" wrapText="1" indent="1"/>
      <protection locked="0"/>
    </xf>
    <xf numFmtId="49" fontId="47" fillId="47"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wrapText="1"/>
    </xf>
    <xf numFmtId="0" fontId="32" fillId="0" borderId="0" xfId="0" applyFont="1" applyNumberFormat="1">
      <alignment vertical="center" wrapText="1"/>
    </xf>
    <xf numFmtId="49" fontId="22" fillId="0" borderId="0" xfId="0" applyFont="1" applyNumberFormat="1">
      <alignment vertical="top"/>
    </xf>
    <xf numFmtId="49" fontId="104" fillId="0" borderId="16" xfId="0" applyFont="1" applyBorder="1" applyNumberFormat="1">
      <alignment vertical="top"/>
    </xf>
    <xf numFmtId="0" fontId="0" fillId="0" borderId="0" xfId="0" applyFont="1" applyNumberFormat="1">
      <alignment vertical="top"/>
    </xf>
    <xf numFmtId="0" fontId="47" fillId="0" borderId="0" xfId="0" applyFont="1" applyNumberFormat="1">
      <alignment vertical="center" wrapText="1"/>
    </xf>
    <xf numFmtId="49" fontId="53" fillId="39" borderId="12" xfId="0" applyFont="1" applyFill="1" applyBorder="1" applyNumberFormat="1">
      <alignment horizontal="left" vertical="center" wrapText="1"/>
      <protection locked="0"/>
    </xf>
    <xf numFmtId="0" fontId="22" fillId="0" borderId="14" xfId="0" applyFont="1" applyBorder="1" applyNumberFormat="1">
      <alignment horizontal="left" vertical="center"/>
    </xf>
    <xf numFmtId="0" fontId="0" fillId="0" borderId="14" xfId="0" applyFont="1" applyBorder="1" applyNumberFormat="1">
      <alignment horizontal="left" vertical="center"/>
    </xf>
    <xf numFmtId="49" fontId="53" fillId="39" borderId="12" xfId="0" applyFont="1" applyFill="1" applyBorder="1" applyNumberFormat="1">
      <alignment horizontal="left" vertical="center" wrapText="1"/>
      <protection locked="0"/>
    </xf>
    <xf numFmtId="0" fontId="22" fillId="35" borderId="26" xfId="0" applyFont="1" applyFill="1" applyBorder="1" applyNumberFormat="1">
      <alignment horizontal="right" vertical="center" wrapText="1" inden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49" fontId="40" fillId="37" borderId="15" xfId="0" applyFont="1" applyFill="1" applyBorder="1" applyNumberFormat="1">
      <alignment horizontal="left" vertical="center" indent="1"/>
    </xf>
    <xf numFmtId="4" fontId="22" fillId="39" borderId="31" xfId="0" applyFont="1" applyFill="1" applyBorder="1" applyNumberFormat="1">
      <alignment horizontal="right" vertical="center" wrapText="1"/>
      <protection locked="0"/>
    </xf>
    <xf numFmtId="0" fontId="22" fillId="35" borderId="0" xfId="0" applyFont="1" applyFill="1" applyNumberFormat="1">
      <alignment vertical="center" wrapText="1"/>
    </xf>
    <xf numFmtId="0" fontId="22" fillId="0" borderId="0" xfId="0" applyFont="1" applyNumberFormat="1">
      <alignment vertical="center"/>
    </xf>
    <xf numFmtId="0" fontId="22" fillId="0" borderId="0" xfId="0" applyFont="1" applyNumberFormat="1">
      <alignment vertical="center" wrapTex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0" fontId="45" fillId="40" borderId="12" xfId="0" applyFont="1" applyFill="1" applyBorder="1" applyNumberFormat="1">
      <alignment horizontal="left" vertical="center" wrapText="1" indent="1"/>
    </xf>
    <xf numFmtId="49" fontId="45" fillId="37" borderId="15" xfId="0" applyFont="1" applyFill="1" applyBorder="1" applyNumberFormat="1">
      <alignment vertical="top" wrapText="1"/>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22" fillId="35" borderId="39" xfId="0" applyFont="1" applyFill="1" applyBorder="1" applyNumberFormat="1">
      <alignment vertical="center" wrapTex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40" borderId="12" xfId="0" applyFont="1" applyFill="1" applyBorder="1" applyNumberFormat="1">
      <alignment horizontal="left" vertical="center" wrapText="1" indent="1"/>
    </xf>
    <xf numFmtId="0" fontId="0" fillId="37" borderId="50" xfId="0" applyFont="1" applyFill="1" applyBorder="1" applyNumberFormat="1">
      <alignment horizontal="left" vertical="center"/>
    </xf>
    <xf numFmtId="0" fontId="22" fillId="35" borderId="12" xfId="0" applyFont="1" applyFill="1" applyBorder="1" applyNumberFormat="1">
      <alignment horizontal="center" vertical="center" wrapText="1"/>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22" fillId="48" borderId="0" xfId="0" applyFont="1" applyFill="1" applyNumberFormat="1">
      <alignment horizontal="left" vertical="center"/>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pplyNumberFormat="1">
      <alignment horizontal="left" vertical="center" wrapText="1"/>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xf>
    <xf numFmtId="0" fontId="22" fillId="35" borderId="19" xfId="0" applyFont="1" applyFill="1" applyBorder="1" applyNumberFormat="1">
      <alignment vertical="center" wrapText="1"/>
    </xf>
    <xf numFmtId="49" fontId="48" fillId="0" borderId="0" xfId="0" applyFont="1" applyNumberFormat="1">
      <alignment vertical="top"/>
    </xf>
    <xf numFmtId="0" fontId="48" fillId="0" borderId="39" xfId="0" applyFont="1" applyBorder="1" applyNumberFormat="1">
      <alignment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34" borderId="12" xfId="0" applyFont="1" applyFill="1" applyBorder="1" applyNumberFormat="1">
      <alignment horizontal="center" vertical="center"/>
    </xf>
    <xf numFmtId="49" fontId="22" fillId="0" borderId="22" xfId="0" applyFont="1" applyBorder="1" applyNumberFormat="1">
      <alignment vertical="top"/>
    </xf>
    <xf numFmtId="0" fontId="22" fillId="0" borderId="22" xfId="0" applyFont="1" applyBorder="1" applyNumberFormat="1">
      <alignment vertical="center" wrapText="1"/>
    </xf>
    <xf numFmtId="4" fontId="0" fillId="36" borderId="12" xfId="0" applyFont="1" applyFill="1" applyBorder="1" applyNumberFormat="1">
      <alignment horizontal="right" vertical="center" wrapText="1"/>
      <protection locked="0"/>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38" xfId="0" applyFont="1" applyBorder="1" applyNumberFormat="1">
      <alignment vertical="center"/>
    </xf>
    <xf numFmtId="49" fontId="40" fillId="37" borderId="15" xfId="0" applyFont="1" applyFill="1" applyBorder="1" applyNumberFormat="1">
      <alignment horizontal="left" vertical="center" indent="1"/>
    </xf>
    <xf numFmtId="49" fontId="22" fillId="39" borderId="17" xfId="0" applyFont="1" applyFill="1" applyBorder="1" applyNumberFormat="1">
      <alignment horizontal="left" vertical="center" wrapText="1" indent="1"/>
      <protection locked="0"/>
    </xf>
    <xf numFmtId="0" fontId="46" fillId="0" borderId="0" xfId="0" applyFont="1" applyNumberFormat="1">
      <alignment vertical="center" wrapText="1"/>
    </xf>
    <xf numFmtId="0" fontId="22" fillId="35" borderId="27" xfId="0" applyFont="1" applyFill="1" applyBorder="1" applyNumberFormat="1">
      <alignment vertical="center" wrapText="1"/>
    </xf>
    <xf numFmtId="0" fontId="48" fillId="35" borderId="19" xfId="0" applyFont="1" applyFill="1" applyBorder="1" applyNumberFormat="1">
      <alignment horizontal="center" vertical="center" wrapText="1"/>
    </xf>
    <xf numFmtId="49" fontId="72" fillId="0" borderId="0" xfId="0" applyFont="1" applyNumberFormat="1">
      <alignment vertical="center" wrapText="1"/>
    </xf>
    <xf numFmtId="0" fontId="106" fillId="35" borderId="0" xfId="0" applyFont="1" applyFill="1" applyNumberFormat="1">
      <alignment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0" fontId="22" fillId="0" borderId="0" xfId="0" applyFont="1" applyNumberFormat="1">
      <alignment horizontal="left" vertical="center" wrapText="1"/>
    </xf>
    <xf numFmtId="0" fontId="48" fillId="0" borderId="0" xfId="0" applyFont="1" applyNumberFormat="1">
      <alignment vertical="center"/>
    </xf>
    <xf numFmtId="0" fontId="22" fillId="0" borderId="0" xfId="0" applyFont="1" applyNumberFormat="1">
      <alignment horizontal="left" vertical="center" wrapText="1" indent="1"/>
    </xf>
    <xf numFmtId="0" fontId="22" fillId="0" borderId="0" xfId="0" applyFont="1" applyNumberFormat="1">
      <alignment horizontal="right" vertical="top" wrapText="1"/>
    </xf>
    <xf numFmtId="0" fontId="107" fillId="35" borderId="0" xfId="0" applyFont="1" applyFill="1" applyNumberFormat="1">
      <alignment vertical="center" wrapText="1"/>
    </xf>
    <xf numFmtId="49"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238" fontId="22" fillId="36" borderId="12" xfId="0" applyFont="1" applyFill="1" applyBorder="1" applyNumberFormat="1">
      <alignment horizontal="right" vertical="center" wrapText="1"/>
      <protection locked="0"/>
    </xf>
    <xf numFmtId="0" fontId="45" fillId="0" borderId="12" xfId="0" applyFont="1" applyBorder="1" applyNumberFormat="1">
      <alignment vertical="top" wrapText="1"/>
    </xf>
    <xf numFmtId="0" fontId="22" fillId="0" borderId="0" xfId="0" applyFont="1" applyNumberFormat="1">
      <alignment vertical="center"/>
    </xf>
    <xf numFmtId="0" fontId="108" fillId="0" borderId="0" xfId="0" applyFont="1" applyNumberFormat="1">
      <alignment vertical="center"/>
    </xf>
    <xf numFmtId="0" fontId="108" fillId="0" borderId="0" xfId="0" applyFont="1" applyNumberFormat="1">
      <alignment vertical="center"/>
    </xf>
    <xf numFmtId="0" fontId="22" fillId="0" borderId="0" xfId="0" applyFont="1" applyNumberFormat="1">
      <alignment vertical="center"/>
    </xf>
    <xf numFmtId="0" fontId="22" fillId="0" borderId="0" xfId="0" applyFont="1" applyNumberFormat="1">
      <alignment vertical="center"/>
    </xf>
    <xf numFmtId="0" fontId="108" fillId="0" borderId="0" xfId="0" applyFont="1" applyNumberFormat="1">
      <alignment vertical="center"/>
    </xf>
    <xf numFmtId="0" fontId="22" fillId="0" borderId="0" xfId="0" applyFont="1" applyNumberFormat="1">
      <alignment vertical="center"/>
    </xf>
    <xf numFmtId="0" fontId="22" fillId="0" borderId="0" xfId="0" applyFont="1" applyNumberFormat="1">
      <alignment vertical="center"/>
    </xf>
    <xf numFmtId="0" fontId="22" fillId="0" borderId="0" xfId="0" applyFont="1" applyNumberFormat="1">
      <alignment horizontal="left" vertical="center" indent="1"/>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109" fillId="37" borderId="15" xfId="0" applyFont="1" applyFill="1" applyBorder="1" applyNumberFormat="1">
      <alignment horizontal="left" vertical="center"/>
    </xf>
    <xf numFmtId="0" fontId="22" fillId="35" borderId="0" xfId="0" applyFont="1" applyFill="1" applyNumberFormat="1">
      <alignment horizontal="left" vertical="center" wrapText="1"/>
    </xf>
    <xf numFmtId="0" fontId="0" fillId="0" borderId="0" xfId="0" applyFont="1" applyNumberFormat="1">
      <alignment horizontal="left" vertical="center"/>
    </xf>
    <xf numFmtId="49" fontId="80" fillId="35" borderId="19" xfId="0" applyFont="1" applyFill="1" applyBorder="1" applyNumberFormat="1">
      <alignment horizontal="left" vertical="center" wrapText="1"/>
    </xf>
    <xf numFmtId="49" fontId="73" fillId="37" borderId="14" xfId="0" applyFont="1" applyFill="1" applyBorder="1" applyNumberFormat="1">
      <alignment horizontal="left" vertical="center"/>
    </xf>
    <xf numFmtId="49" fontId="101" fillId="37" borderId="14" xfId="0" applyFont="1" applyFill="1" applyBorder="1" applyNumberFormat="1">
      <alignment horizontal="left" vertical="center"/>
    </xf>
    <xf numFmtId="49" fontId="67" fillId="37" borderId="14" xfId="0" applyFont="1" applyFill="1" applyBorder="1" applyNumberFormat="1">
      <alignment horizontal="left" vertical="top"/>
    </xf>
    <xf numFmtId="0" fontId="0" fillId="48" borderId="0" xfId="0" applyFont="1" applyFill="1" applyNumberFormat="1">
      <alignment horizontal="right" vertical="center"/>
    </xf>
    <xf numFmtId="0" fontId="48" fillId="0" borderId="12" xfId="0" applyFont="1" applyBorder="1" applyNumberFormat="1">
      <alignment horizontal="center" vertical="center"/>
    </xf>
    <xf numFmtId="0" fontId="0" fillId="0" borderId="0" xfId="0" applyFont="1" applyNumberFormat="1">
      <alignment vertical="center"/>
    </xf>
    <xf numFmtId="0" fontId="22" fillId="0" borderId="12" xfId="0" applyFont="1" applyBorder="1" applyNumberFormat="1">
      <alignment horizontal="center" vertical="center" wrapText="1"/>
    </xf>
    <xf numFmtId="0" fontId="0" fillId="0" borderId="0" xfId="0" applyFont="1" applyNumberFormat="1">
      <alignment horizontal="left" vertical="top" wrapText="1"/>
    </xf>
    <xf numFmtId="49" fontId="22" fillId="0" borderId="0" xfId="0" applyFont="1" applyNumberFormat="1">
      <alignment vertical="center" wrapText="1"/>
    </xf>
    <xf numFmtId="0" fontId="22" fillId="0" borderId="0" xfId="0" applyFont="1" applyNumberFormat="1">
      <alignment horizontal="right" vertical="center" wrapText="1"/>
    </xf>
    <xf numFmtId="0" fontId="22" fillId="0" borderId="0" xfId="0" applyFont="1" applyNumberFormat="1">
      <alignment horizontal="left" vertical="top" wrapText="1"/>
    </xf>
    <xf numFmtId="0" fontId="80" fillId="35" borderId="19" xfId="0" applyFont="1" applyFill="1" applyBorder="1" applyNumberFormat="1">
      <alignment horizontal="center"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horizontal="left" vertical="center" wrapText="1"/>
    </xf>
    <xf numFmtId="49" fontId="22" fillId="0" borderId="12" xfId="0" applyFont="1" applyBorder="1" applyNumberFormat="1">
      <alignment horizontal="left" vertical="center" wrapText="1"/>
    </xf>
    <xf numFmtId="0" fontId="54" fillId="48" borderId="0" xfId="0" applyFont="1" applyFill="1" applyNumberFormat="1">
      <alignment horizontal="left" vertical="center"/>
    </xf>
    <xf numFmtId="49" fontId="22" fillId="0" borderId="20"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49" fontId="22" fillId="0" borderId="0" xfId="0" applyFont="1" applyNumberFormat="1">
      <alignmen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5" fillId="0" borderId="17" xfId="0" applyFont="1" applyBorder="1" applyNumberFormat="1">
      <alignment vertical="top" wrapText="1"/>
    </xf>
    <xf numFmtId="0" fontId="0" fillId="0" borderId="0" xfId="0" applyFont="1" applyNumberFormat="1">
      <alignment vertical="center"/>
    </xf>
    <xf numFmtId="0" fontId="22" fillId="35" borderId="12" xfId="0" applyFont="1" applyFill="1" applyBorder="1" applyNumberFormat="1">
      <alignment horizontal="left" vertical="center" wrapText="1"/>
    </xf>
    <xf numFmtId="0" fontId="22" fillId="0" borderId="0" xfId="0" applyFont="1" applyNumberFormat="1">
      <alignment horizontal="center" vertical="center"/>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0" fillId="0" borderId="12" xfId="0" applyFont="1" applyBorder="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0" fontId="0" fillId="0" borderId="0" xfId="0" applyFont="1" applyNumberFormat="1">
      <alignment vertical="center"/>
    </xf>
    <xf numFmtId="0" fontId="22" fillId="0" borderId="0" xfId="0" applyFont="1" applyNumberFormat="1">
      <alignment horizontal="center" vertical="center" wrapText="1"/>
    </xf>
    <xf numFmtId="49" fontId="22" fillId="0" borderId="0" xfId="0" applyFont="1" applyNumberFormat="1">
      <alignment vertical="center" wrapText="1"/>
    </xf>
    <xf numFmtId="0" fontId="47" fillId="0" borderId="0" xfId="0" applyFont="1" applyNumberFormat="1">
      <alignment horizontal="center" vertical="center" wrapText="1"/>
    </xf>
    <xf numFmtId="0" fontId="22" fillId="35" borderId="12" xfId="0" applyFont="1" applyFill="1" applyBorder="1" applyNumberFormat="1">
      <alignment horizontal="center" vertical="center" wrapText="1"/>
    </xf>
    <xf numFmtId="0" fontId="48" fillId="0" borderId="0" xfId="0" applyFont="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horizontal="left" vertical="top" wrapText="1"/>
    </xf>
    <xf numFmtId="0" fontId="0" fillId="0" borderId="13"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9"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48" fillId="0" borderId="0" xfId="0" applyFont="1" applyNumberFormat="1">
      <alignment horizontal="center" vertical="center"/>
    </xf>
    <xf numFmtId="0" fontId="22" fillId="0" borderId="0" xfId="0" applyFont="1" applyNumberFormat="1">
      <alignment horizontal="right" vertical="center" wrapText="1"/>
    </xf>
    <xf numFmtId="0" fontId="80" fillId="35" borderId="0" xfId="0" applyFont="1" applyFill="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left" vertical="center" indent="1"/>
    </xf>
    <xf numFmtId="49" fontId="107" fillId="0" borderId="0" xfId="0" applyFont="1" applyNumberFormat="1">
      <alignment vertical="top"/>
    </xf>
    <xf numFmtId="49" fontId="22" fillId="0" borderId="12" xfId="0" applyFont="1" applyBorder="1" applyNumberFormat="1">
      <alignment vertical="center" wrapText="1"/>
    </xf>
    <xf numFmtId="0" fontId="48" fillId="0" borderId="0" xfId="0" applyFont="1" applyNumberFormat="1">
      <alignment horizontal="center" vertical="center"/>
    </xf>
    <xf numFmtId="0" fontId="22" fillId="40" borderId="12" xfId="0" applyFont="1" applyFill="1" applyBorder="1" applyNumberFormat="1">
      <alignment horizontal="left" vertical="center" wrapText="1" indent="6"/>
    </xf>
    <xf numFmtId="4" fontId="22" fillId="0" borderId="17" xfId="0" applyFont="1" applyBorder="1" applyNumberFormat="1">
      <alignment horizontal="right" vertical="center" wrapText="1"/>
    </xf>
    <xf numFmtId="4" fontId="22" fillId="0" borderId="23" xfId="0" applyFont="1" applyBorder="1" applyNumberFormat="1">
      <alignment horizontal="right" vertical="center" wrapText="1"/>
    </xf>
    <xf numFmtId="0" fontId="0" fillId="0" borderId="0" xfId="0" applyFont="1" applyNumberFormat="1">
      <alignment vertical="center"/>
    </xf>
    <xf numFmtId="49" fontId="22" fillId="0" borderId="0" xfId="0" applyFont="1" applyNumberFormat="1">
      <alignment vertical="center" wrapText="1"/>
    </xf>
    <xf numFmtId="0" fontId="22" fillId="0" borderId="17"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center"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horizontal="left" vertical="center" wrapText="1"/>
    </xf>
    <xf numFmtId="49" fontId="22" fillId="0" borderId="12" xfId="0" applyFont="1" applyBorder="1" applyNumberFormat="1">
      <alignment horizontal="left" vertical="center" wrapText="1"/>
    </xf>
    <xf numFmtId="4" fontId="47" fillId="0" borderId="12" xfId="0" applyFont="1" applyBorder="1" applyNumberFormat="1">
      <alignment horizontal="right" vertical="center" wrapText="1"/>
    </xf>
    <xf numFmtId="238" fontId="47" fillId="0" borderId="12" xfId="0" applyFont="1" applyBorder="1" applyNumberFormat="1">
      <alignment horizontal="right" vertical="center" wrapText="1"/>
    </xf>
    <xf numFmtId="49" fontId="47" fillId="0" borderId="0" xfId="0" applyFont="1" applyNumberFormat="1">
      <alignment vertical="center" wrapText="1"/>
    </xf>
    <xf numFmtId="0" fontId="47" fillId="0" borderId="0" xfId="0" applyFont="1" applyNumberFormat="1">
      <alignment horizontal="left" vertical="center" indent="1"/>
    </xf>
    <xf numFmtId="0" fontId="47" fillId="0" borderId="0" xfId="0" applyFont="1" applyNumberFormat="1">
      <alignment horizontal="center" vertical="center"/>
    </xf>
    <xf numFmtId="0" fontId="47" fillId="0" borderId="0" xfId="0" applyFont="1" applyNumberFormat="1">
      <alignment horizontal="left"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47" fillId="0" borderId="0" xfId="0" applyFont="1" applyNumberFormat="1">
      <alignment vertical="center"/>
    </xf>
    <xf numFmtId="0" fontId="47" fillId="0" borderId="0" xfId="0" applyFont="1" applyNumberFormat="1">
      <alignment horizontal="center" vertical="center"/>
    </xf>
    <xf numFmtId="0" fontId="47" fillId="0" borderId="0" xfId="0" applyFont="1" applyNumberFormat="1">
      <alignment vertical="center"/>
    </xf>
    <xf numFmtId="0" fontId="69" fillId="0" borderId="0" xfId="0" applyFont="1" applyNumberFormat="1">
      <alignment vertical="center" wrapText="1"/>
    </xf>
    <xf numFmtId="0" fontId="0" fillId="0" borderId="15" xfId="0" applyFont="1" applyBorder="1" applyNumberFormat="1">
      <alignment vertical="center"/>
    </xf>
    <xf numFmtId="0" fontId="48" fillId="0" borderId="12" xfId="0" applyFont="1" applyBorder="1" applyNumberFormat="1">
      <alignment horizontal="center" vertical="center" wrapText="1"/>
    </xf>
    <xf numFmtId="0" fontId="72" fillId="0" borderId="0" xfId="0" applyFont="1" applyNumberFormat="1">
      <alignment horizontal="left" vertical="center" indent="1"/>
    </xf>
    <xf numFmtId="0" fontId="72" fillId="0" borderId="0" xfId="0" applyFont="1" applyNumberFormat="1">
      <alignment horizontal="left" vertical="center" indent="1"/>
    </xf>
    <xf numFmtId="0" fontId="48" fillId="0" borderId="12" xfId="0" applyFont="1" applyBorder="1" applyNumberFormat="1">
      <alignment vertical="center" wrapText="1"/>
    </xf>
    <xf numFmtId="0" fontId="72" fillId="0" borderId="0" xfId="0" applyFont="1" applyNumberFormat="1">
      <alignment horizontal="center" vertical="center"/>
    </xf>
    <xf numFmtId="0" fontId="72" fillId="0" borderId="0" xfId="0" applyFont="1" applyNumberFormat="1">
      <alignment horizontal="left" vertical="center" wrapText="1"/>
    </xf>
    <xf numFmtId="49" fontId="72" fillId="0" borderId="0" xfId="0" applyFont="1" applyNumberFormat="1">
      <alignment horizontal="left" vertical="center"/>
    </xf>
    <xf numFmtId="0" fontId="22" fillId="0" borderId="0" xfId="0" applyFont="1" applyNumberFormat="1">
      <alignment horizontal="center" vertical="center"/>
    </xf>
    <xf numFmtId="0" fontId="72" fillId="0" borderId="0" xfId="0" applyFont="1" applyNumberFormat="1">
      <alignment horizontal="center" vertical="center"/>
    </xf>
    <xf numFmtId="4" fontId="22" fillId="0" borderId="13" xfId="0" applyFont="1" applyBorder="1" applyNumberFormat="1">
      <alignment horizontal="righ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 fontId="22" fillId="0" borderId="36" xfId="0" applyFont="1" applyBorder="1" applyNumberFormat="1">
      <alignment horizontal="right" vertical="center" wrapText="1"/>
    </xf>
    <xf numFmtId="0" fontId="22" fillId="36" borderId="12" xfId="0" applyFont="1" applyFill="1" applyBorder="1" applyNumberFormat="1">
      <alignment horizontal="left" vertical="center" wrapText="1" indent="7"/>
      <protection locked="0"/>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 fontId="48" fillId="37" borderId="13" xfId="0" applyFont="1" applyFill="1" applyBorder="1" applyNumberFormat="1">
      <alignment horizontal="center" vertical="center" wrapText="1"/>
    </xf>
    <xf numFmtId="238" fontId="22" fillId="37" borderId="13" xfId="0" applyFont="1" applyFill="1" applyBorder="1" applyNumberFormat="1">
      <alignment horizontal="right" vertical="center" wrapText="1"/>
    </xf>
    <xf numFmtId="0" fontId="22" fillId="40" borderId="12" xfId="0" applyFont="1" applyFill="1" applyBorder="1" applyNumberFormat="1">
      <alignment horizontal="left" vertical="center" wrapText="1" indent="1"/>
    </xf>
    <xf numFmtId="0" fontId="48" fillId="0" borderId="12" xfId="0" applyFont="1" applyBorder="1" applyNumberFormat="1">
      <alignment horizontal="left" vertical="center" wrapText="1" indent="5"/>
    </xf>
    <xf numFmtId="49" fontId="72" fillId="0" borderId="24" xfId="0" applyFont="1" applyBorder="1" applyNumberFormat="1">
      <alignment vertical="top"/>
    </xf>
    <xf numFmtId="49" fontId="48" fillId="0" borderId="24" xfId="0" applyFont="1" applyBorder="1" applyNumberFormat="1">
      <alignment vertical="top"/>
    </xf>
    <xf numFmtId="0" fontId="22" fillId="0" borderId="12" xfId="0" applyFont="1" applyBorder="1" applyNumberFormat="1">
      <alignment horizontal="left" vertical="center" wrapText="1" indent="1"/>
    </xf>
    <xf numFmtId="4" fontId="48" fillId="0" borderId="12" xfId="0" applyFont="1" applyBorder="1" applyNumberFormat="1">
      <alignment horizontal="right" vertical="center" wrapText="1"/>
    </xf>
    <xf numFmtId="238" fontId="48" fillId="0" borderId="12" xfId="0" applyFont="1" applyBorder="1" applyNumberFormat="1">
      <alignment horizontal="right" vertical="center" wrapText="1"/>
    </xf>
    <xf numFmtId="238" fontId="22" fillId="36" borderId="14" xfId="0" applyFont="1" applyFill="1" applyBorder="1" applyNumberFormat="1">
      <alignment horizontal="right" vertical="center" wrapText="1"/>
      <protection locked="0"/>
    </xf>
    <xf numFmtId="4" fontId="48" fillId="0" borderId="14" xfId="0" applyFont="1" applyBorder="1" applyNumberFormat="1">
      <alignment horizontal="center" vertical="center" wrapText="1"/>
    </xf>
    <xf numFmtId="4" fontId="22" fillId="36" borderId="13" xfId="0" applyFont="1" applyFill="1" applyBorder="1" applyNumberFormat="1">
      <alignment horizontal="right" vertical="center" wrapText="1"/>
      <protection locked="0"/>
    </xf>
    <xf numFmtId="49" fontId="22" fillId="37" borderId="27" xfId="0" applyFont="1" applyFill="1" applyBorder="1" applyNumberFormat="1">
      <alignment horizontal="center" vertical="center" wrapText="1"/>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0" xfId="0" applyFont="1" applyNumberFormat="1">
      <alignment vertical="center"/>
    </xf>
    <xf numFmtId="0" fontId="49" fillId="0" borderId="0" xfId="0" applyFont="1" applyNumberFormat="1">
      <alignment vertical="center"/>
    </xf>
    <xf numFmtId="0" fontId="4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0" fontId="22"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pplyNumberFormat="1">
      <alignment horizontal="left" vertical="center" wrapText="1"/>
    </xf>
    <xf numFmtId="0" fontId="48" fillId="0" borderId="0" xfId="0" applyFont="1" applyNumberFormat="1">
      <alignment horizontal="center" vertical="center"/>
    </xf>
    <xf numFmtId="49" fontId="22" fillId="0" borderId="0" xfId="0" applyFont="1" applyNumberFormat="1">
      <alignment horizontal="center" vertical="top"/>
    </xf>
    <xf numFmtId="49" fontId="32" fillId="0" borderId="0" xfId="0" applyFont="1" applyNumberFormat="1">
      <alignment horizontal="center" vertical="center"/>
    </xf>
    <xf numFmtId="0" fontId="0" fillId="0" borderId="0" xfId="0" applyFont="1" applyNumberFormat="1">
      <alignment horizontal="left" vertical="center"/>
    </xf>
    <xf numFmtId="0" fontId="54" fillId="0" borderId="0" xfId="0" applyFont="1" applyNumberFormat="1">
      <alignment horizontal="left" vertical="center"/>
    </xf>
    <xf numFmtId="49" fontId="0" fillId="0" borderId="0" xfId="0" applyFont="1" applyNumberFormat="1">
      <alignment vertical="center"/>
    </xf>
    <xf numFmtId="0" fontId="0" fillId="0" borderId="0" xfId="0" applyFont="1" applyNumberFormat="1">
      <alignment horizontal="right" vertical="top"/>
    </xf>
    <xf numFmtId="0" fontId="40" fillId="37" borderId="29" xfId="0" applyFont="1" applyFill="1" applyBorder="1" applyNumberFormat="1">
      <alignment horizontal="left" vertical="center"/>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0" fontId="0" fillId="0" borderId="0" xfId="0" applyFont="1" applyNumberFormat="1">
      <alignment vertical="center"/>
    </xf>
    <xf numFmtId="0" fontId="110" fillId="0" borderId="0" xfId="0" applyFont="1" applyNumberFormat="1">
      <alignment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0" fontId="47" fillId="0" borderId="0" xfId="0" applyFont="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48" fillId="0" borderId="0" xfId="0" applyFont="1" applyNumberFormat="1">
      <alignment horizontal="center" vertical="center" wrapText="1"/>
    </xf>
    <xf numFmtId="0" fontId="80" fillId="35" borderId="19"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pplyNumberFormat="1">
      <alignment horizontal="left" vertical="center" wrapText="1"/>
    </xf>
    <xf numFmtId="0" fontId="48" fillId="0" borderId="0" xfId="0" applyFont="1" applyNumberFormat="1">
      <alignment horizontal="center" vertical="center"/>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8" fillId="0" borderId="0" xfId="0" applyFont="1" applyNumberFormat="1">
      <alignment horizontal="center" vertical="center"/>
    </xf>
    <xf numFmtId="0" fontId="22" fillId="35"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0" fillId="0" borderId="0" xfId="0" applyFont="1" applyNumberFormat="1">
      <alignment vertical="center"/>
    </xf>
    <xf numFmtId="0" fontId="22" fillId="0" borderId="0" xfId="0" applyFont="1" applyNumberForma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49" fontId="22" fillId="35" borderId="12" xfId="0" applyFont="1" applyFill="1" applyBorder="1" applyNumberFormat="1">
      <alignment horizontal="center" vertical="center" wrapText="1"/>
    </xf>
    <xf numFmtId="0" fontId="48" fillId="35" borderId="0" xfId="0" applyFont="1" applyFill="1" applyNumberFormat="1">
      <alignment horizontal="center" vertical="center" wrapText="1"/>
    </xf>
    <xf numFmtId="0" fontId="0" fillId="35" borderId="1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0" fontId="47" fillId="0" borderId="0" xfId="0" applyFont="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48" fillId="0" borderId="0" xfId="0" applyFont="1" applyNumberFormat="1">
      <alignment horizontal="center" vertical="center" wrapText="1"/>
    </xf>
    <xf numFmtId="0" fontId="80" fillId="35" borderId="19"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22" fillId="35" borderId="12" xfId="0" applyFont="1" applyFill="1" applyBorder="1" applyNumberFormat="1">
      <alignment horizontal="left" vertical="center" wrapText="1"/>
    </xf>
    <xf numFmtId="0" fontId="48" fillId="0" borderId="0" xfId="0" applyFont="1" applyNumberFormat="1">
      <alignment horizontal="center" vertical="center"/>
    </xf>
    <xf numFmtId="0" fontId="37" fillId="0" borderId="0" xfId="0" applyFont="1" applyNumberFormat="1">
      <alignment horizontal="center" vertical="center" wrapText="1"/>
    </xf>
    <xf numFmtId="238" fontId="22" fillId="37" borderId="15" xfId="0" applyFont="1" applyFill="1" applyBorder="1" applyNumberFormat="1">
      <alignment horizontal="righ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49" fontId="40" fillId="37" borderId="27" xfId="0" applyFont="1" applyFill="1" applyBorder="1" applyNumberFormat="1">
      <alignment horizontal="left" vertical="center"/>
    </xf>
    <xf numFmtId="0" fontId="111"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0" xfId="0" applyFont="1" applyNumberFormat="1">
      <alignment horizontal="left" vertical="center" wrapText="1" indent="1"/>
    </xf>
    <xf numFmtId="49" fontId="22" fillId="37" borderId="14" xfId="0" applyFont="1" applyFill="1" applyBorder="1" applyNumberFormat="1">
      <alignment horizontal="center" vertical="center" wrapText="1"/>
    </xf>
    <xf numFmtId="0" fontId="48" fillId="0" borderId="24" xfId="0" applyFont="1" applyBorder="1" applyNumberFormat="1">
      <alignment horizontal="left" vertical="center" wrapText="1" inden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8" fillId="0" borderId="0" xfId="0" applyFont="1" applyNumberFormat="1">
      <alignment horizontal="left" vertical="center"/>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22" fillId="0" borderId="19" xfId="0" applyFont="1" applyBorder="1" applyNumberFormat="1">
      <alignment horizontal="left" vertical="center" wrapText="1"/>
    </xf>
    <xf numFmtId="0" fontId="37" fillId="0" borderId="0" xfId="0" applyFont="1" applyNumberFormat="1">
      <alignment horizontal="center" vertical="center" wrapText="1"/>
    </xf>
    <xf numFmtId="0" fontId="37" fillId="35" borderId="0" xfId="0" applyFont="1" applyFill="1" applyNumberFormat="1">
      <alignment horizontal="center" vertical="center" wrapText="1"/>
    </xf>
    <xf numFmtId="49" fontId="47" fillId="0" borderId="0" xfId="0" applyFont="1" applyNumberFormat="1">
      <alignment horizontal="left" vertical="center"/>
    </xf>
    <xf numFmtId="49" fontId="47" fillId="0" borderId="0" xfId="0" applyFont="1" applyNumberFormat="1">
      <alignment horizontal="left" vertical="center"/>
    </xf>
    <xf numFmtId="49" fontId="47" fillId="0" borderId="0" xfId="0" applyFont="1" applyNumberFormat="1">
      <alignment horizontal="left" vertical="top"/>
    </xf>
    <xf numFmtId="49" fontId="22" fillId="35" borderId="12" xfId="0" applyFont="1" applyFill="1" applyBorder="1" applyNumberFormat="1">
      <alignment horizontal="center" vertical="center"/>
    </xf>
    <xf numFmtId="0" fontId="22" fillId="0" borderId="12" xfId="0" applyFont="1" applyBorder="1" applyNumberFormat="1">
      <alignment horizontal="center" vertical="center" wrapText="1"/>
    </xf>
    <xf numFmtId="0" fontId="22" fillId="35" borderId="12" xfId="0" applyFont="1" applyFill="1" applyBorder="1" applyNumberFormat="1">
      <alignment horizontal="left" vertical="center" wrapText="1" indent="1"/>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indent="1"/>
    </xf>
    <xf numFmtId="0" fontId="22" fillId="0" borderId="12" xfId="0" applyFont="1" applyBorder="1" applyNumberFormat="1">
      <alignment vertical="center" wrapText="1"/>
    </xf>
    <xf numFmtId="49" fontId="22" fillId="39" borderId="12" xfId="0" applyFont="1" applyFill="1" applyBorder="1" applyNumberFormat="1">
      <alignment horizontal="left" vertical="center" wrapText="1"/>
      <protection locked="0"/>
    </xf>
    <xf numFmtId="0" fontId="22" fillId="35" borderId="12" xfId="0" applyFont="1" applyFill="1" applyBorder="1" applyNumberFormat="1">
      <alignment horizontal="left" vertical="center" wrapText="1"/>
    </xf>
    <xf numFmtId="0" fontId="48" fillId="35" borderId="12" xfId="0" applyFont="1" applyFill="1" applyBorder="1" applyNumberFormat="1">
      <alignment horizontal="center" vertical="center"/>
    </xf>
    <xf numFmtId="0" fontId="72" fillId="35" borderId="0" xfId="0" applyFont="1" applyFill="1" applyNumberFormat="1">
      <alignment vertical="center" wrapText="1"/>
    </xf>
    <xf numFmtId="0" fontId="67" fillId="35" borderId="0" xfId="0" applyFont="1" applyFill="1" applyNumberFormat="1"/>
    <xf numFmtId="49" fontId="22" fillId="36" borderId="12" xfId="0" applyFont="1" applyFill="1" applyBorder="1" applyNumberFormat="1">
      <alignment horizontal="left" vertical="center" wrapText="1"/>
      <protection locked="0"/>
    </xf>
    <xf numFmtId="0" fontId="84" fillId="35" borderId="0" xfId="0" applyFont="1" applyFill="1" applyNumberFormat="1"/>
    <xf numFmtId="0" fontId="68" fillId="35" borderId="0" xfId="0" applyFont="1" applyFill="1" applyNumberFormat="1"/>
    <xf numFmtId="14" fontId="22" fillId="39" borderId="23" xfId="0" applyFont="1" applyFill="1" applyBorder="1" applyNumberFormat="1">
      <alignment horizontal="left" vertical="center" wrapText="1" indent="1"/>
      <protection locked="0"/>
    </xf>
    <xf numFmtId="0" fontId="112" fillId="0" borderId="0" xfId="0" applyFont="1" applyNumberFormat="1">
      <alignment vertical="center"/>
    </xf>
    <xf numFmtId="0" fontId="112" fillId="0" borderId="0" xfId="0" applyFont="1" applyNumberFormat="1">
      <alignment vertical="center" wrapText="1"/>
    </xf>
    <xf numFmtId="237" fontId="22" fillId="0" borderId="23" xfId="0" applyFont="1" applyBorder="1" applyNumberFormat="1">
      <alignment horizontal="center" vertical="center" wrapText="1"/>
    </xf>
    <xf numFmtId="14" fontId="22" fillId="39" borderId="12" xfId="0" applyFont="1" applyFill="1" applyBorder="1" applyNumberFormat="1">
      <alignment horizontal="left" vertical="center" wrapText="1" indent="1"/>
      <protection locked="0"/>
    </xf>
    <xf numFmtId="0" fontId="22" fillId="34" borderId="23" xfId="0" applyFont="1" applyFill="1" applyBorder="1" applyNumberFormat="1">
      <alignment horizontal="left" vertical="center" wrapText="1" indent="1"/>
    </xf>
    <xf numFmtId="237" fontId="22" fillId="0" borderId="17" xfId="0" applyFont="1" applyBorder="1" applyNumberFormat="1">
      <alignment horizontal="center" vertical="center" wrapText="1"/>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53" fillId="37" borderId="27" xfId="0" applyFont="1" applyFill="1" applyBorder="1" applyNumberFormat="1">
      <alignment horizontal="left"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14" fontId="22" fillId="40" borderId="12" xfId="0" applyFont="1" applyFill="1" applyBorder="1" applyNumberFormat="1">
      <alignment horizontal="left" vertical="center" wrapText="1"/>
    </xf>
    <xf numFmtId="237" fontId="22" fillId="0" borderId="3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47" fillId="35" borderId="0" xfId="0" applyFont="1" applyFill="1" applyNumberFormat="1"/>
    <xf numFmtId="0" fontId="22" fillId="0" borderId="15" xfId="0" applyFont="1" applyBorder="1" applyNumberFormat="1">
      <alignment horizontal="right" vertical="center" wrapText="1" indent="1"/>
    </xf>
    <xf numFmtId="0" fontId="22" fillId="34" borderId="14" xfId="0" applyFont="1" applyFill="1" applyBorder="1" applyNumberFormat="1">
      <alignment horizontal="left" vertical="top" wrapText="1"/>
    </xf>
    <xf numFmtId="49" fontId="48" fillId="0" borderId="0" xfId="0" applyFont="1" applyNumberFormat="1">
      <alignment horizontal="center" vertical="center"/>
    </xf>
    <xf numFmtId="49" fontId="67" fillId="0" borderId="0" xfId="0" applyFont="1" applyNumberFormat="1">
      <alignment vertical="top"/>
    </xf>
    <xf numFmtId="0" fontId="42" fillId="0" borderId="0" xfId="0" applyFont="1" applyNumberFormat="1">
      <alignment vertical="center"/>
    </xf>
    <xf numFmtId="0" fontId="22" fillId="0" borderId="36"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49" fontId="22" fillId="0" borderId="36" xfId="0" applyFont="1" applyBorder="1" applyNumberFormat="1">
      <alignment horizontal="left" vertical="center" wrapText="1"/>
    </xf>
    <xf numFmtId="49" fontId="22" fillId="0" borderId="36" xfId="0" applyFont="1" applyBorder="1" applyNumberFormat="1">
      <alignment horizontal="center" vertical="center" wrapText="1"/>
    </xf>
    <xf numFmtId="49" fontId="22" fillId="0" borderId="17" xfId="0" applyFont="1" applyBorder="1" applyNumberFormat="1">
      <alignment horizontal="center" vertical="center" wrapText="1"/>
    </xf>
    <xf numFmtId="0" fontId="22" fillId="0" borderId="36" xfId="0" applyFont="1" applyBorder="1" applyNumberFormat="1">
      <alignment horizontal="left" vertical="center" wrapText="1"/>
    </xf>
    <xf numFmtId="49" fontId="22" fillId="0" borderId="36" xfId="0" applyFont="1" applyBorder="1" applyNumberFormat="1">
      <alignment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0" borderId="36" xfId="0" applyFont="1" applyBorder="1" applyNumberFormat="1">
      <alignment horizontal="left" vertical="center"/>
    </xf>
    <xf numFmtId="0" fontId="40" fillId="37" borderId="37" xfId="0" applyFont="1" applyFill="1" applyBorder="1" applyNumberFormat="1">
      <alignment horizontal="left" vertical="center"/>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40" borderId="17" xfId="0" applyFont="1" applyFill="1" applyBorder="1" applyNumberFormat="1">
      <alignment vertical="center" wrapText="1"/>
    </xf>
    <xf numFmtId="0" fontId="22" fillId="0" borderId="37" xfId="0" applyFont="1" applyBorder="1" applyNumberFormat="1">
      <alignment horizontal="center" vertical="center" wrapText="1"/>
    </xf>
    <xf numFmtId="49" fontId="0" fillId="0" borderId="0" xfId="0" applyFont="1" applyNumberFormat="1">
      <alignment vertical="top"/>
    </xf>
    <xf numFmtId="49" fontId="47" fillId="0" borderId="0" xfId="0" applyFont="1" applyNumberFormat="1">
      <alignment horizontal="center" vertical="center"/>
    </xf>
    <xf numFmtId="0" fontId="113" fillId="0" borderId="0" xfId="0" applyFont="1" applyNumberFormat="1">
      <alignment vertical="center" wrapText="1"/>
    </xf>
    <xf numFmtId="0" fontId="114" fillId="0" borderId="0" xfId="0" applyFont="1" applyNumberFormat="1">
      <alignment vertical="center" wrapText="1"/>
    </xf>
    <xf numFmtId="0" fontId="22" fillId="0" borderId="17" xfId="0" applyFont="1" applyBorder="1" applyNumberFormat="1">
      <alignment horizontal="center"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0" xfId="0" applyFont="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0" fontId="40" fillId="0" borderId="0" xfId="0" applyFont="1" applyNumberFormat="1">
      <alignment vertical="center"/>
    </xf>
    <xf numFmtId="49" fontId="67" fillId="0" borderId="30" xfId="0" applyFont="1" applyBorder="1" applyNumberFormat="1">
      <alignment vertical="top"/>
    </xf>
    <xf numFmtId="49" fontId="22" fillId="0" borderId="37" xfId="0" applyFont="1" applyBorder="1" applyNumberFormat="1">
      <alignment vertical="center" wrapText="1"/>
    </xf>
    <xf numFmtId="49" fontId="22" fillId="0" borderId="22" xfId="0" applyFont="1" applyBorder="1" applyNumberFormat="1">
      <alignment vertical="center" wrapText="1"/>
    </xf>
    <xf numFmtId="0" fontId="40" fillId="0" borderId="22" xfId="0" applyFont="1" applyBorder="1" applyNumberFormat="1">
      <alignment horizontal="left" vertical="center"/>
    </xf>
    <xf numFmtId="49" fontId="67" fillId="0" borderId="27" xfId="0" applyFont="1" applyBorder="1" applyNumberFormat="1">
      <alignment vertical="top"/>
    </xf>
    <xf numFmtId="49" fontId="22" fillId="0" borderId="36" xfId="0" applyFont="1" applyBorder="1" applyNumberFormat="1">
      <alignment horizontal="center" vertical="center" wrapText="1"/>
    </xf>
    <xf numFmtId="0" fontId="40" fillId="37" borderId="37" xfId="0" applyFont="1" applyFill="1" applyBorder="1" applyNumberFormat="1">
      <alignment vertical="center"/>
    </xf>
    <xf numFmtId="49" fontId="0" fillId="0" borderId="12" xfId="0" applyFont="1" applyBorder="1" applyNumberFormat="1">
      <alignment horizontal="left" vertical="center" wrapText="1" indent="1"/>
    </xf>
    <xf numFmtId="49" fontId="0" fillId="0" borderId="0" xfId="0" applyFont="1" applyNumberFormat="1">
      <alignment vertical="top"/>
    </xf>
    <xf numFmtId="0" fontId="22" fillId="0" borderId="0" xfId="0" applyFont="1" applyNumberFormat="1">
      <alignment vertical="center" wrapText="1"/>
    </xf>
    <xf numFmtId="0" fontId="3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horizontal="left" vertical="center" wrapText="1"/>
    </xf>
    <xf numFmtId="0" fontId="58" fillId="0" borderId="0" xfId="0" applyFont="1" applyNumberFormat="1">
      <alignment vertical="center" wrapText="1"/>
    </xf>
    <xf numFmtId="0" fontId="60" fillId="0" borderId="0" xfId="0" applyFont="1" applyNumberFormat="1">
      <alignment vertical="center" wrapText="1"/>
    </xf>
    <xf numFmtId="0" fontId="88" fillId="0" borderId="0" xfId="0" applyFont="1" applyNumberFormat="1">
      <alignment vertical="center" wrapText="1"/>
    </xf>
    <xf numFmtId="0" fontId="48" fillId="0" borderId="0" xfId="0" applyFont="1" applyNumberFormat="1">
      <alignment vertical="center" wrapText="1"/>
    </xf>
    <xf numFmtId="0" fontId="64" fillId="0" borderId="0" xfId="0" applyFont="1" applyNumberFormat="1">
      <alignment vertical="center" wrapText="1"/>
    </xf>
    <xf numFmtId="49" fontId="22" fillId="0" borderId="12" xfId="0" applyFont="1" applyBorder="1" applyNumberFormat="1">
      <alignment horizontal="center" vertical="center" wrapText="1"/>
    </xf>
    <xf numFmtId="0" fontId="37" fillId="35" borderId="12" xfId="0" applyFont="1" applyFill="1" applyBorder="1" applyNumberFormat="1">
      <alignment horizontal="center"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22" fillId="0" borderId="12" xfId="0" applyFont="1" applyBorder="1" applyNumberFormat="1">
      <alignment horizontal="center" vertical="center" wrapText="1"/>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center"/>
    </xf>
    <xf numFmtId="0" fontId="37" fillId="35" borderId="12" xfId="0" applyFont="1" applyFill="1" applyBorder="1" applyNumberFormat="1">
      <alignment horizontal="center" vertical="center" wrapText="1"/>
    </xf>
    <xf numFmtId="0" fontId="47" fillId="0" borderId="22" xfId="0" applyFont="1" applyBorder="1" applyNumberFormat="1">
      <alignment vertical="center"/>
    </xf>
    <xf numFmtId="0" fontId="47" fillId="0" borderId="22" xfId="0" applyFont="1" applyBorder="1" applyNumberFormat="1">
      <alignment vertical="center"/>
    </xf>
    <xf numFmtId="0" fontId="22" fillId="0" borderId="17" xfId="0" applyFont="1" applyBorder="1" applyNumberFormat="1">
      <alignment horizontal="left" vertical="center" wrapText="1" indent="1"/>
    </xf>
    <xf numFmtId="49" fontId="22" fillId="0" borderId="57" xfId="0" applyFont="1" applyBorder="1" applyNumberFormat="1">
      <alignment horizontal="center" vertical="center" wrapText="1"/>
    </xf>
    <xf numFmtId="49" fontId="22" fillId="0" borderId="28" xfId="0" applyFont="1" applyBorder="1" applyNumberFormat="1">
      <alignment horizontal="center" vertical="center" wrapText="1"/>
    </xf>
    <xf numFmtId="0" fontId="22" fillId="0" borderId="0" xfId="0" applyFont="1" applyNumberFormat="1">
      <alignment vertical="center"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wrapText="1"/>
    </xf>
    <xf numFmtId="0" fontId="48" fillId="0" borderId="0" xfId="0" applyFont="1" applyNumberFormat="1">
      <alignment vertical="center" wrapText="1"/>
    </xf>
    <xf numFmtId="0" fontId="22" fillId="0" borderId="12" xfId="0" applyFont="1" applyBorder="1" applyNumberFormat="1">
      <alignment horizontal="center"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54" fillId="0" borderId="0" xfId="0" applyFont="1" applyNumberFormat="1">
      <alignment vertical="center"/>
    </xf>
    <xf numFmtId="0" fontId="72" fillId="0" borderId="0" xfId="0" applyFont="1" applyNumberFormat="1">
      <alignment vertical="center" wrapText="1"/>
    </xf>
    <xf numFmtId="0" fontId="48" fillId="0" borderId="0" xfId="0" applyFont="1" applyNumberFormat="1">
      <alignment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0" fontId="22" fillId="0" borderId="12" xfId="0" applyFont="1" applyBorder="1" applyNumberFormat="1">
      <alignment horizontal="left" vertical="center" wrapText="1" indent="2"/>
    </xf>
    <xf numFmtId="0" fontId="48" fillId="0" borderId="17"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2" xfId="0" applyFont="1" applyBorder="1" applyNumberFormat="1">
      <alignment horizontal="center" vertical="center" wrapText="1"/>
    </xf>
    <xf numFmtId="49" fontId="0" fillId="0" borderId="12" xfId="0" applyFont="1" applyBorder="1" applyNumberFormat="1">
      <alignment vertical="center" wrapText="1"/>
    </xf>
    <xf numFmtId="0" fontId="48" fillId="0" borderId="14" xfId="0" applyFont="1" applyBorder="1" applyNumberFormat="1">
      <alignment vertical="center" wrapText="1"/>
    </xf>
    <xf numFmtId="0" fontId="48" fillId="0" borderId="14" xfId="0" applyFont="1" applyBorder="1" applyNumberFormat="1">
      <alignment horizontal="left" vertical="top" wrapText="1"/>
    </xf>
    <xf numFmtId="49" fontId="22" fillId="0" borderId="58" xfId="0" applyFont="1" applyBorder="1" applyNumberFormat="1">
      <alignment horizontal="center" vertical="center" wrapText="1"/>
    </xf>
    <xf numFmtId="0" fontId="22" fillId="0" borderId="17" xfId="0" applyFont="1" applyBorder="1" applyNumberFormat="1">
      <alignment horizontal="left" vertical="center" wrapText="1"/>
    </xf>
    <xf numFmtId="49" fontId="40" fillId="37" borderId="19" xfId="0" applyFont="1" applyFill="1" applyBorder="1" applyNumberFormat="1">
      <alignment horizontal="left" vertical="center" indent="2"/>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49" fontId="22" fillId="0" borderId="0" xfId="0" applyFont="1" applyNumberFormat="1">
      <alignment vertical="center" wrapText="1"/>
    </xf>
    <xf numFmtId="0" fontId="0"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0" fillId="0" borderId="12" xfId="0" applyFont="1" applyBorder="1" applyNumberFormat="1">
      <alignment horizontal="left" vertical="center" wrapText="1" indent="1"/>
    </xf>
    <xf numFmtId="49" fontId="0" fillId="35" borderId="12" xfId="0" applyFont="1" applyFill="1" applyBorder="1" applyNumberFormat="1">
      <alignment horizontal="center" vertical="center" wrapText="1"/>
    </xf>
    <xf numFmtId="49" fontId="22" fillId="40" borderId="12" xfId="0" applyFont="1" applyFill="1" applyBorder="1" applyNumberFormat="1">
      <alignment horizontal="left" vertical="center" wrapText="1"/>
    </xf>
    <xf numFmtId="49" fontId="22" fillId="0" borderId="59"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19" xfId="0" applyFont="1" applyBorder="1" applyNumberFormat="1">
      <alignment horizontal="left" vertical="top" wrapText="1"/>
    </xf>
    <xf numFmtId="0" fontId="22" fillId="0" borderId="0" xfId="0" applyFont="1" applyNumberFormat="1">
      <alignment horizontal="right" vertical="top" wrapText="1"/>
    </xf>
    <xf numFmtId="49" fontId="0" fillId="39" borderId="12" xfId="0" applyFont="1" applyFill="1" applyBorder="1" applyNumberFormat="1">
      <alignment horizontal="left" vertical="center" wrapText="1" indent="1"/>
      <protection locked="0"/>
    </xf>
    <xf numFmtId="49" fontId="47" fillId="0" borderId="0" xfId="0" applyFont="1" applyNumberFormat="1">
      <alignment vertical="top"/>
    </xf>
    <xf numFmtId="49"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35" borderId="0" xfId="0" applyFont="1" applyFill="1" applyNumberFormat="1"/>
    <xf numFmtId="0" fontId="22" fillId="0" borderId="0" xfId="0" applyFont="1" applyNumberFormat="1">
      <alignment vertical="top" wrapText="1"/>
    </xf>
    <xf numFmtId="0" fontId="37" fillId="35" borderId="0" xfId="0" applyFont="1" applyFill="1" applyNumberFormat="1">
      <alignment horizontal="center" vertical="center" wrapText="1"/>
    </xf>
    <xf numFmtId="0" fontId="0" fillId="35" borderId="23" xfId="0" applyFont="1" applyFill="1" applyBorder="1" applyNumberFormat="1">
      <alignment vertical="center" wrapText="1"/>
    </xf>
    <xf numFmtId="49" fontId="0" fillId="0" borderId="0" xfId="0" applyFont="1" applyNumberFormat="1">
      <alignment vertical="top"/>
    </xf>
    <xf numFmtId="0" fontId="0" fillId="0" borderId="0" xfId="0" applyFont="1" applyNumberFormat="1">
      <alignment vertical="top"/>
    </xf>
    <xf numFmtId="49" fontId="32" fillId="47" borderId="0" xfId="0" applyFont="1" applyFill="1" applyNumberFormat="1">
      <alignment horizontal="center" vertical="center"/>
    </xf>
    <xf numFmtId="0" fontId="0" fillId="48" borderId="0" xfId="0" applyFont="1" applyFill="1" applyNumberFormat="1">
      <alignment horizontal="left" vertical="center"/>
    </xf>
    <xf numFmtId="49" fontId="0" fillId="0" borderId="0" xfId="0" applyFont="1" applyNumberFormat="1">
      <alignment vertical="center"/>
    </xf>
    <xf numFmtId="0" fontId="0" fillId="48" borderId="0" xfId="0" applyFont="1" applyFill="1" applyNumberFormat="1">
      <alignment horizontal="right" vertical="center"/>
    </xf>
    <xf numFmtId="0" fontId="54" fillId="48" borderId="0" xfId="0" applyFont="1" applyFill="1" applyNumberFormat="1">
      <alignment horizontal="left" vertical="center"/>
    </xf>
    <xf numFmtId="0" fontId="0" fillId="0" borderId="0" xfId="0" applyFont="1" applyNumberFormat="1">
      <alignment horizontal="right" vertical="top"/>
    </xf>
    <xf numFmtId="0" fontId="0" fillId="48" borderId="10" xfId="0" applyFont="1" applyFill="1" applyBorder="1" applyNumberFormat="1">
      <alignment horizontal="center"/>
    </xf>
    <xf numFmtId="0" fontId="0" fillId="0" borderId="10" xfId="0" applyFont="1" applyBorder="1" applyNumberFormat="1">
      <alignment horizontal="center"/>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29" fillId="0" borderId="0" xfId="0" applyFont="1" applyNumberFormat="1"/>
    <xf numFmtId="0" fontId="102" fillId="0" borderId="0" xfId="0" applyFont="1" applyNumberFormat="1">
      <alignment horizontal="left" vertical="center" wrapText="1"/>
    </xf>
    <xf numFmtId="49" fontId="117" fillId="0" borderId="0" xfId="0" applyFont="1" applyNumberFormat="1">
      <alignment wrapText="1"/>
    </xf>
    <xf numFmtId="0" fontId="46" fillId="0" borderId="0" xfId="0" applyFont="1" applyNumberFormat="1">
      <alignment horizontal="left" vertical="top" wrapText="1"/>
    </xf>
    <xf numFmtId="49" fontId="22" fillId="0" borderId="0" xfId="0" applyFont="1" applyNumberFormat="1">
      <alignment vertical="top" wrapText="1"/>
    </xf>
    <xf numFmtId="0" fontId="66" fillId="0" borderId="0" xfId="0" applyFont="1" applyNumberFormat="1">
      <alignment wrapTex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0" fillId="53" borderId="60" xfId="0" applyFont="1" applyFill="1" applyBorder="1" applyNumberFormat="1">
      <alignment horizontal="center"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120" fillId="0" borderId="0" xfId="0" applyFont="1" applyNumberFormat="1"/>
    <xf numFmtId="0" fontId="120" fillId="0" borderId="38" xfId="0" applyFont="1" applyBorder="1" applyNumberFormat="1">
      <alignment wrapTex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0" fontId="36" fillId="0" borderId="24" xfId="0" applyFont="1" applyBorder="1" applyNumberFormat="1">
      <alignment horizontal="center" vertical="center" wrapText="1"/>
    </xf>
    <xf numFmtId="49" fontId="22" fillId="0" borderId="13" xfId="0" applyFont="1" applyBorder="1" applyNumberFormat="1">
      <alignment horizontal="center" vertical="center" wrapText="1"/>
    </xf>
    <xf numFmtId="49" fontId="121" fillId="0" borderId="0" xfId="0" applyFont="1" applyNumberFormat="1">
      <alignment horizontal="center" vertical="center" wrapText="1"/>
    </xf>
    <xf numFmtId="49" fontId="22" fillId="48" borderId="0" xfId="0" applyFont="1" applyFill="1" applyNumberFormat="1">
      <alignment horizontal="center" vertical="center"/>
    </xf>
    <xf numFmtId="240" fontId="0" fillId="39" borderId="12" xfId="0" applyFont="1" applyFill="1" applyBorder="1" applyNumberFormat="1">
      <alignment horizontal="left" vertical="center" wrapText="1" indent="1"/>
      <protection locked="0"/>
    </xf>
    <xf numFmtId="240" fontId="0" fillId="0" borderId="12" xfId="0" applyFont="1" applyBorder="1" applyNumberFormat="1">
      <alignment horizontal="left" vertical="center" wrapText="1" indent="1"/>
    </xf>
    <xf numFmtId="240" fontId="0" fillId="39" borderId="12" xfId="0" applyFont="1" applyFill="1" applyBorder="1" applyNumberFormat="1">
      <alignment horizontal="center" vertical="center" wrapText="1"/>
      <protection locked="0"/>
    </xf>
    <xf numFmtId="240" fontId="48" fillId="0" borderId="0" xfId="0" applyFont="1" applyNumberFormat="1">
      <alignment horizontal="center" vertical="center" wrapText="1"/>
    </xf>
    <xf numFmtId="240" fontId="48" fillId="0" borderId="12" xfId="0" applyFont="1" applyBorder="1" applyNumberFormat="1">
      <alignment horizontal="center" vertical="center" wrapText="1"/>
    </xf>
    <xf numFmtId="240" fontId="0" fillId="39" borderId="12" xfId="0" applyFont="1" applyFill="1" applyBorder="1" applyNumberFormat="1">
      <alignment horizontal="left" vertical="center" wrapText="1"/>
      <protection locked="0"/>
    </xf>
    <xf numFmtId="240" fontId="0" fillId="36" borderId="12" xfId="0" applyFont="1" applyFill="1" applyBorder="1" applyNumberFormat="1">
      <alignment horizontal="left" vertical="center" wrapText="1" indent="1"/>
      <protection locked="0"/>
    </xf>
    <xf numFmtId="240" fontId="0" fillId="39" borderId="13" xfId="0" applyFont="1" applyFill="1" applyBorder="1" applyNumberFormat="1">
      <alignment horizontal="left" vertical="center" wrapText="1"/>
      <protection locked="0"/>
    </xf>
    <xf numFmtId="0" fontId="22" fillId="0" borderId="0" xfId="0" applyFont="1" applyNumberFormat="1">
      <alignment horizontal="left" vertical="top" indent="1"/>
    </xf>
    <xf numFmtId="0" fontId="22" fillId="34" borderId="30" xfId="0" applyFont="1" applyFill="1" applyBorder="1" applyNumberFormat="1">
      <alignment horizontal="center" vertical="top"/>
    </xf>
    <xf numFmtId="0" fontId="0" fillId="0" borderId="34" xfId="0" applyFont="1" applyBorder="1" applyNumberFormat="1">
      <alignment horizontal="center" vertical="center"/>
    </xf>
    <xf numFmtId="0" fontId="0" fillId="0" borderId="33" xfId="0" applyFont="1" applyBorder="1" applyNumberFormat="1">
      <alignment horizontal="center" vertical="center"/>
    </xf>
    <xf numFmtId="0" fontId="22" fillId="34" borderId="30" xfId="0" applyFont="1" applyFill="1" applyBorder="1" applyNumberFormat="1">
      <alignment horizontal="left" vertical="top"/>
    </xf>
    <xf numFmtId="0" fontId="22" fillId="0" borderId="12" xfId="0" applyFont="1" applyBorder="1" applyNumberFormat="1">
      <alignment horizontal="left" vertical="top"/>
    </xf>
    <xf numFmtId="49" fontId="22" fillId="0" borderId="0" xfId="0" applyFont="1" applyNumberFormat="1">
      <alignment horizontal="left" vertical="top"/>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40" fillId="0" borderId="36" xfId="0" applyFont="1" applyBorder="1" applyNumberFormat="1">
      <alignment horizontal="left" vertical="center"/>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14" fontId="22" fillId="40" borderId="36" xfId="0" applyFont="1" applyFill="1" applyBorder="1" applyNumberFormat="1">
      <alignment horizontal="left" vertical="center" wrapText="1" indent="1"/>
    </xf>
    <xf numFmtId="49" fontId="22" fillId="40" borderId="0" xfId="0" applyFont="1" applyFill="1" applyNumberFormat="1">
      <alignment horizontal="center" vertical="center" wrapText="1"/>
    </xf>
    <xf numFmtId="0" fontId="22" fillId="0" borderId="12" xfId="0" applyFont="1" applyBorder="1" applyNumberFormat="1">
      <alignment horizontal="center" vertical="center" wrapText="1"/>
    </xf>
    <xf numFmtId="0" fontId="0" fillId="35" borderId="12" xfId="0" applyFont="1" applyFill="1" applyBorder="1" applyNumberFormat="1">
      <alignment vertical="top" wrapText="1"/>
    </xf>
    <xf numFmtId="0" fontId="47" fillId="0" borderId="12" xfId="0" applyFont="1" applyBorder="1" applyNumberFormat="1">
      <alignment vertical="top" wrapText="1"/>
    </xf>
    <xf numFmtId="49" fontId="22" fillId="40" borderId="17" xfId="0" applyFont="1" applyFill="1" applyBorder="1" applyNumberFormat="1">
      <alignment vertical="center" wrapText="1"/>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0" fontId="0" fillId="39" borderId="12" xfId="0" applyFont="1" applyFill="1" applyBorder="1" applyNumberFormat="1">
      <alignment horizontal="left" vertical="center" wrapText="1" indent="1"/>
      <protection locked="0"/>
    </xf>
    <xf numFmtId="0" fontId="0" fillId="0" borderId="13" xfId="0" applyFont="1" applyBorder="1" applyNumberFormat="1">
      <alignment horizontal="center"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center" vertical="center" wrapText="1"/>
    </xf>
    <xf numFmtId="0" fontId="0" fillId="0" borderId="13" xfId="0" applyFont="1" applyBorder="1" applyNumberFormat="1">
      <alignment horizontal="center" vertical="center" wrapText="1"/>
    </xf>
    <xf numFmtId="49" fontId="22" fillId="0" borderId="0" xfId="0" applyFont="1" applyNumberFormat="1">
      <alignment horizontal="left" vertical="center" indent="1"/>
    </xf>
    <xf numFmtId="240" fontId="0" fillId="39" borderId="14" xfId="0" applyFont="1" applyFill="1" applyBorder="1" applyNumberFormat="1">
      <alignment horizontal="left" vertical="center" wrapText="1"/>
      <protection locked="0"/>
    </xf>
    <xf numFmtId="240" fontId="0" fillId="0" borderId="11" xfId="0" applyFont="1" applyBorder="1" applyNumberFormat="1">
      <alignment horizontal="left" vertical="center" wrapText="1" inden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49" fontId="0" fillId="36"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22" fillId="0" borderId="0" xfId="0" applyFont="1" applyNumberFormat="1">
      <alignment vertical="top" wrapText="1"/>
    </xf>
    <xf numFmtId="49" fontId="22" fillId="0" borderId="0" xfId="0" applyFont="1" applyNumberFormat="1">
      <alignment vertical="top"/>
    </xf>
    <xf numFmtId="49" fontId="22" fillId="0" borderId="0" xfId="0" applyFont="1" applyNumberFormat="1">
      <alignment vertical="top"/>
    </xf>
    <xf numFmtId="49" fontId="22" fillId="0" borderId="12" xfId="0" applyFont="1" applyBorder="1" applyNumberFormat="1">
      <alignment horizontal="center" vertical="center" wrapText="1"/>
    </xf>
    <xf numFmtId="49" fontId="22" fillId="0" borderId="19" xfId="0" applyFont="1" applyBorder="1" applyNumberFormat="1">
      <alignment horizontal="center" vertical="center" wrapText="1"/>
    </xf>
    <xf numFmtId="0" fontId="22" fillId="40" borderId="36" xfId="0" applyFont="1" applyFill="1" applyBorder="1" applyNumberFormat="1">
      <alignment horizontal="center" vertical="top" wrapText="1"/>
    </xf>
    <xf numFmtId="49" fontId="22"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40" borderId="36" xfId="0" applyFont="1" applyFill="1" applyBorder="1" applyNumberFormat="1">
      <alignment horizontal="center" vertical="center" wrapText="1"/>
    </xf>
    <xf numFmtId="0" fontId="40" fillId="0" borderId="0" xfId="0" applyFont="1" applyNumberFormat="1">
      <alignment horizontal="left"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22"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0" fontId="45" fillId="0" borderId="12" xfId="0" applyFont="1" applyBorder="1" applyNumberFormat="1">
      <alignment horizontal="center" vertical="center"/>
    </xf>
    <xf numFmtId="49" fontId="0" fillId="39" borderId="12" xfId="0" applyFont="1" applyFill="1" applyBorder="1" applyNumberFormat="1">
      <alignment horizontal="left" vertical="center" wrapText="1"/>
      <protection locked="0"/>
    </xf>
    <xf numFmtId="0" fontId="47" fillId="0" borderId="0" xfId="0" applyFont="1" applyNumberFormat="1">
      <alignment horizontal="center" vertical="top"/>
    </xf>
    <xf numFmtId="49" fontId="22" fillId="0" borderId="36" xfId="0" applyFont="1" applyBorder="1" applyNumberFormat="1">
      <alignment horizontal="center" vertical="top" wrapText="1"/>
    </xf>
    <xf numFmtId="0" fontId="22" fillId="0" borderId="12" xfId="0" applyFont="1" applyBorder="1" applyNumberFormat="1">
      <alignment horizontal="left" vertical="center" wrapText="1"/>
    </xf>
    <xf numFmtId="0" fontId="36" fillId="0" borderId="12" xfId="0" applyFont="1" applyBorder="1" applyNumberFormat="1">
      <alignment horizontal="center" vertical="center" wrapText="1"/>
    </xf>
    <xf numFmtId="49" fontId="40" fillId="37" borderId="51" xfId="0" applyFont="1" applyFill="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48" fillId="0" borderId="12" xfId="0" applyFont="1" applyBorder="1" applyNumberFormat="1">
      <alignment horizontal="center" vertical="center" wrapText="1"/>
    </xf>
    <xf numFmtId="240"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0" fontId="22" fillId="0" borderId="12" xfId="0" applyFont="1" applyBorder="1" applyNumberFormat="1">
      <alignment horizontal="center" vertical="center" wrapText="1"/>
    </xf>
    <xf numFmtId="0" fontId="47" fillId="0" borderId="0" xfId="0" applyFont="1" applyNumberFormat="1">
      <alignment horizontal="center" vertical="center" wrapText="1"/>
    </xf>
    <xf numFmtId="0" fontId="0" fillId="0" borderId="12" xfId="0" applyFont="1" applyBorder="1" applyNumberFormat="1">
      <alignment horizontal="left" vertical="center" wrapText="1"/>
    </xf>
    <xf numFmtId="0" fontId="22" fillId="0" borderId="36" xfId="0" applyFont="1" applyBorder="1" applyNumberFormat="1">
      <alignment horizontal="center" vertical="center" wrapText="1"/>
    </xf>
    <xf numFmtId="0" fontId="22" fillId="35" borderId="14" xfId="0" applyFont="1" applyFill="1" applyBorder="1" applyNumberFormat="1">
      <alignment horizontal="center" vertical="center" wrapText="1"/>
    </xf>
    <xf numFmtId="49" fontId="0"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40" borderId="14" xfId="0" applyFont="1" applyFill="1" applyBorder="1" applyNumberFormat="1">
      <alignment horizontal="left" vertical="center" wrapText="1"/>
    </xf>
    <xf numFmtId="0" fontId="22" fillId="0" borderId="23" xfId="0" applyFont="1" applyBorder="1" applyNumberFormat="1">
      <alignment horizontal="center" vertical="center" wrapText="1"/>
    </xf>
    <xf numFmtId="0" fontId="45" fillId="0" borderId="13" xfId="0" applyFont="1" applyBorder="1" applyNumberFormat="1">
      <alignment horizontal="center" vertical="center"/>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0" fontId="37" fillId="0" borderId="0" xfId="0" applyFont="1" applyNumberFormat="1">
      <alignment horizontal="center" vertical="center" wrapText="1"/>
    </xf>
    <xf numFmtId="0" fontId="42" fillId="0" borderId="0" xfId="0" applyFont="1" applyNumberFormat="1">
      <alignment vertical="center" wrapText="1"/>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37" fillId="35" borderId="0" xfId="0" applyFont="1" applyFill="1" applyNumberFormat="1">
      <alignment vertical="top" wrapText="1"/>
    </xf>
    <xf numFmtId="49" fontId="122" fillId="39" borderId="12" xfId="0" applyFont="1" applyFill="1" applyBorder="1" applyNumberFormat="1">
      <alignment horizontal="left" vertical="center" wrapText="1"/>
      <protection locked="0"/>
    </xf>
    <xf numFmtId="49" fontId="37" fillId="0" borderId="0" xfId="0" applyFont="1" applyNumberFormat="1">
      <alignment horizontal="center" vertical="center" wrapText="1"/>
    </xf>
    <xf numFmtId="0" fontId="37" fillId="0" borderId="24" xfId="0" applyFont="1" applyBorder="1" applyNumberFormat="1">
      <alignment horizontal="center" vertical="center" wrapText="1"/>
    </xf>
    <xf numFmtId="49" fontId="123" fillId="0" borderId="0" xfId="0" applyFont="1" applyNumberFormat="1">
      <alignment horizontal="center" vertical="top" wrapText="1"/>
    </xf>
    <xf numFmtId="49" fontId="0" fillId="34" borderId="36" xfId="0" applyFont="1" applyFill="1" applyBorder="1" applyNumberFormat="1">
      <alignment vertical="top"/>
    </xf>
    <xf numFmtId="49" fontId="0" fillId="0" borderId="36" xfId="0" applyFont="1" applyBorder="1" applyNumberFormat="1">
      <alignment vertical="top"/>
    </xf>
    <xf numFmtId="49" fontId="0" fillId="39" borderId="36" xfId="0" applyFont="1" applyFill="1" applyBorder="1" applyNumberFormat="1">
      <alignment vertical="top"/>
      <protection locked="0"/>
    </xf>
    <xf numFmtId="49" fontId="0" fillId="39" borderId="17" xfId="0" applyFont="1" applyFill="1" applyBorder="1" applyNumberFormat="1">
      <alignment vertical="top"/>
      <protection locked="0"/>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49" fontId="0" fillId="0" borderId="0" xfId="0" applyFont="1" applyNumberFormat="1">
      <alignment vertical="top"/>
    </xf>
    <xf numFmtId="49" fontId="0" fillId="0" borderId="19" xfId="0" applyFont="1" applyBorder="1" applyNumberFormat="1">
      <alignment vertical="top"/>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0" fillId="0" borderId="0" xfId="0" applyFont="1" applyNumberFormat="1">
      <alignment vertical="center"/>
    </xf>
    <xf numFmtId="0" fontId="37" fillId="0" borderId="0" xfId="0" applyFont="1" applyNumberFormat="1">
      <alignment horizontal="center" vertical="center" wrapText="1"/>
    </xf>
    <xf numFmtId="49" fontId="0" fillId="39"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0" fillId="37" borderId="15" xfId="0" applyFont="1" applyFill="1" applyBorder="1" applyNumberFormat="1">
      <alignment vertical="center"/>
    </xf>
    <xf numFmtId="49" fontId="0" fillId="0" borderId="36" xfId="0" applyFont="1" applyBorder="1" applyNumberFormat="1">
      <alignment horizontal="left" vertical="top"/>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0" fillId="0" borderId="0" xfId="0" applyFont="1" applyNumberFormat="1">
      <alignment vertical="top"/>
    </xf>
    <xf numFmtId="49" fontId="0" fillId="36" borderId="36" xfId="0" applyFont="1" applyFill="1" applyBorder="1" applyNumberFormat="1">
      <alignment vertical="top"/>
      <protection locked="0"/>
    </xf>
    <xf numFmtId="49" fontId="0" fillId="0" borderId="19" xfId="0" applyFont="1" applyBorder="1" applyNumberFormat="1">
      <alignment horizontal="left" vertical="center" wrapText="1"/>
    </xf>
    <xf numFmtId="0" fontId="0" fillId="0" borderId="0" xfId="0" applyFont="1" applyNumberFormat="1">
      <alignment vertical="center"/>
    </xf>
    <xf numFmtId="0" fontId="0" fillId="0" borderId="27" xfId="0" applyFont="1" applyBorder="1" applyNumberFormat="1">
      <alignment vertical="center"/>
    </xf>
    <xf numFmtId="49" fontId="37" fillId="0" borderId="36" xfId="0" applyFont="1" applyBorder="1" applyNumberFormat="1">
      <alignment vertical="center" wrapText="1"/>
    </xf>
    <xf numFmtId="49" fontId="37" fillId="0" borderId="36" xfId="0" applyFont="1" applyBorder="1" applyNumberFormat="1">
      <alignment horizontal="center" vertical="center" wrapText="1"/>
    </xf>
    <xf numFmtId="49" fontId="37" fillId="0" borderId="19" xfId="0" applyFont="1" applyBorder="1" applyNumberFormat="1">
      <alignment vertical="center" wrapText="1"/>
    </xf>
    <xf numFmtId="49" fontId="37" fillId="0" borderId="0" xfId="0" applyFont="1" applyNumberFormat="1">
      <alignment vertical="center" wrapText="1"/>
    </xf>
    <xf numFmtId="49" fontId="37" fillId="0" borderId="0" xfId="0" applyFont="1" applyNumberFormat="1">
      <alignment horizontal="center" vertical="center" wrapText="1"/>
    </xf>
    <xf numFmtId="0" fontId="22" fillId="35" borderId="23" xfId="0" applyFont="1" applyFill="1" applyBorder="1" applyNumberFormat="1">
      <alignment horizontal="center" vertical="center" wrapText="1"/>
    </xf>
    <xf numFmtId="0" fontId="22" fillId="0" borderId="36" xfId="0" applyFont="1" applyBorder="1" applyNumberFormat="1">
      <alignment horizontal="left" vertical="top" wrapText="1"/>
    </xf>
    <xf numFmtId="0" fontId="0" fillId="0" borderId="13" xfId="0" applyFont="1" applyBorder="1" applyNumberFormat="1">
      <alignment horizontal="center" vertical="center" wrapText="1"/>
    </xf>
    <xf numFmtId="4" fontId="0" fillId="39" borderId="13" xfId="0" applyFont="1" applyFill="1" applyBorder="1" applyNumberFormat="1">
      <alignment horizontal="right" vertical="center" wrapText="1"/>
      <protection locked="0"/>
    </xf>
    <xf numFmtId="0" fontId="0" fillId="0" borderId="13" xfId="0" applyFont="1" applyBorder="1" applyNumberFormat="1">
      <alignment horizontal="center" vertical="center" wrapText="1"/>
    </xf>
    <xf numFmtId="0" fontId="22" fillId="40" borderId="12" xfId="0" applyFont="1" applyFill="1" applyBorder="1" applyNumberFormat="1">
      <alignment horizontal="left" vertical="center" wrapText="1"/>
    </xf>
    <xf numFmtId="49" fontId="0" fillId="35" borderId="17" xfId="0" applyFont="1" applyFill="1" applyBorder="1" applyNumberFormat="1">
      <alignment horizontal="center" vertical="center" wrapText="1"/>
    </xf>
    <xf numFmtId="0" fontId="0" fillId="0" borderId="23" xfId="0" applyFont="1" applyBorder="1" applyNumberFormat="1">
      <alignment horizontal="center" vertical="center" wrapText="1"/>
    </xf>
    <xf numFmtId="0" fontId="22" fillId="40" borderId="14" xfId="0" applyFont="1" applyFill="1" applyBorder="1" applyNumberFormat="1">
      <alignment horizontal="left" vertical="center" wrapText="1"/>
    </xf>
    <xf numFmtId="49" fontId="0" fillId="0" borderId="12" xfId="0" applyFont="1" applyBorder="1" applyNumberFormat="1">
      <alignment horizontal="center" vertical="center" wrapText="1"/>
    </xf>
    <xf numFmtId="49" fontId="45" fillId="54" borderId="0" xfId="0" applyFont="1" applyFill="1" applyNumberFormat="1">
      <alignment vertical="center" wrapText="1"/>
    </xf>
    <xf numFmtId="0" fontId="47" fillId="0" borderId="0" xfId="0" applyFont="1" applyNumberFormat="1">
      <alignment vertical="top" wrapText="1"/>
    </xf>
    <xf numFmtId="49" fontId="32" fillId="0" borderId="0" xfId="0" applyFont="1" applyNumberFormat="1">
      <alignment horizontal="center" vertical="top" wrapText="1"/>
    </xf>
    <xf numFmtId="49" fontId="22" fillId="0" borderId="0" xfId="0" applyFont="1" applyNumberFormat="1">
      <alignment horizontal="center" vertical="top" wrapText="1"/>
    </xf>
    <xf numFmtId="49" fontId="22" fillId="35" borderId="0" xfId="0" applyFont="1" applyFill="1" applyNumberFormat="1">
      <alignment horizontal="center" vertical="top" wrapText="1"/>
    </xf>
    <xf numFmtId="0" fontId="0" fillId="0" borderId="36"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49" fontId="22" fillId="34" borderId="12" xfId="0" applyFont="1" applyFill="1" applyBorder="1" applyNumberFormat="1">
      <alignment horizontal="center" vertical="center" wrapText="1"/>
    </xf>
    <xf numFmtId="0" fontId="0" fillId="0" borderId="12" xfId="0" applyFont="1" applyBorder="1" applyNumberFormat="1">
      <alignment horizontal="left" vertical="top" wrapText="1"/>
    </xf>
    <xf numFmtId="14" fontId="22" fillId="40" borderId="12" xfId="0" applyFont="1" applyFill="1" applyBorder="1" applyNumberFormat="1">
      <alignment horizontal="left" vertical="center" wrapText="1" indent="1"/>
    </xf>
    <xf numFmtId="49" fontId="124" fillId="0" borderId="12" xfId="0" applyFont="1" applyBorder="1" applyNumberFormat="1">
      <alignment horizontal="left" vertical="center" wrapText="1" indent="1"/>
    </xf>
    <xf numFmtId="0" fontId="22" fillId="0" borderId="14"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23" xfId="0" applyFont="1" applyBorder="1" applyNumberFormat="1">
      <alignment horizontal="left" vertical="center" wrapText="1" inden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237" fontId="22" fillId="0" borderId="23" xfId="0" applyFont="1" applyBorder="1" applyNumberFormat="1">
      <alignment horizontal="center" vertical="center" wrapText="1"/>
    </xf>
    <xf numFmtId="0" fontId="22" fillId="0" borderId="0" xfId="0" applyFont="1" applyNumberFormat="1">
      <alignment horizontal="right" vertical="center" wrapText="1"/>
    </xf>
    <xf numFmtId="0" fontId="22" fillId="35" borderId="12" xfId="0" applyFont="1" applyFill="1" applyBorder="1" applyNumberFormat="1">
      <alignment vertical="top" wrapText="1"/>
    </xf>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49" fontId="0" fillId="37" borderId="29" xfId="0" applyFont="1" applyFill="1" applyBorder="1" applyNumberFormat="1">
      <alignment horizontal="right" vertical="center" wrapText="1"/>
    </xf>
    <xf numFmtId="0" fontId="22" fillId="0" borderId="0" xfId="0" applyFont="1" applyNumberFormat="1">
      <alignment horizontal="left" vertical="center" wrapText="1"/>
    </xf>
    <xf numFmtId="0" fontId="0" fillId="48" borderId="0" xfId="0" applyFont="1" applyFill="1" applyNumberFormat="1">
      <alignment horizontal="right" vertical="top" wrapText="1"/>
    </xf>
    <xf numFmtId="0" fontId="22" fillId="0" borderId="0" xfId="0" applyFont="1" applyNumberFormat="1">
      <alignment horizontal="left" vertical="top" wrapText="1"/>
    </xf>
    <xf numFmtId="14" fontId="22" fillId="0" borderId="23" xfId="0" applyFont="1" applyBorder="1" applyNumberFormat="1">
      <alignment horizontal="left" vertical="center" wrapText="1" indent="1"/>
    </xf>
    <xf numFmtId="0" fontId="22" fillId="0" borderId="12"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34" borderId="12" xfId="0" applyFont="1" applyFill="1" applyBorder="1" applyNumberFormat="1">
      <alignment horizontal="left" vertical="center" wrapText="1"/>
    </xf>
    <xf numFmtId="237"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48" fillId="0" borderId="0" xfId="0" applyFont="1" applyNumberFormat="1">
      <alignment horizontal="center" vertical="center" wrapText="1"/>
    </xf>
    <xf numFmtId="49" fontId="22" fillId="39" borderId="12" xfId="0" applyFont="1" applyFill="1" applyBorder="1" applyNumberFormat="1">
      <alignment horizontal="left" vertical="center" wrapText="1"/>
      <protection locked="0"/>
    </xf>
    <xf numFmtId="0" fontId="22" fillId="35" borderId="36" xfId="0" applyFont="1" applyFill="1" applyBorder="1" applyNumberFormat="1">
      <alignment vertical="center" wrapText="1"/>
    </xf>
    <xf numFmtId="237" fontId="45" fillId="0" borderId="19" xfId="0" applyFont="1" applyBorder="1" applyNumberFormat="1">
      <alignment horizontal="center" vertical="center" wrapText="1"/>
    </xf>
    <xf numFmtId="237" fontId="45" fillId="0" borderId="20" xfId="0" applyFont="1" applyBorder="1" applyNumberFormat="1">
      <alignment horizontal="center" vertical="center" wrapText="1"/>
    </xf>
    <xf numFmtId="241" fontId="22" fillId="39" borderId="12" xfId="0" applyFont="1" applyFill="1" applyBorder="1" applyNumberFormat="1">
      <alignment horizontal="left" vertical="center" wrapText="1" indent="1"/>
      <protection locked="0"/>
    </xf>
    <xf numFmtId="240" fontId="0" fillId="39" borderId="15" xfId="0" applyFont="1" applyFill="1" applyBorder="1" applyNumberFormat="1">
      <alignment horizontal="left" vertical="center" wrapText="1" indent="1"/>
      <protection locked="0"/>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53" fillId="37" borderId="29" xfId="0" applyFont="1" applyFill="1" applyBorder="1" applyNumberFormat="1">
      <alignment horizontal="left" vertical="center" wrapText="1"/>
    </xf>
    <xf numFmtId="0" fontId="22" fillId="39" borderId="12" xfId="0" applyFont="1" applyFill="1" applyBorder="1" applyNumberFormat="1">
      <alignment horizontal="left" vertical="top" wrapText="1" indent="1"/>
      <protection locked="0"/>
    </xf>
    <xf numFmtId="0" fontId="22" fillId="0" borderId="15" xfId="0" applyFont="1" applyBorder="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12" xfId="61" applyFont="1" applyBorder="1" applyNumberFormat="1">
      <alignment horizontal="center" vertical="center" wrapText="1"/>
    </xf>
    <xf numFmtId="0" fontId="22" fillId="0" borderId="12" xfId="0" applyFont="1" applyBorder="1" applyNumberFormat="1">
      <alignment horizontal="left" vertical="top"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12" xfId="0" applyFont="1" applyBorder="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0"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0" fontId="22" fillId="34" borderId="15" xfId="0" applyFont="1" applyFill="1" applyBorder="1" applyNumberFormat="1">
      <alignment horizontal="left" vertical="center" wrapText="1"/>
    </xf>
    <xf numFmtId="0" fontId="22" fillId="0" borderId="0" xfId="0" applyFont="1" applyNumberFormat="1">
      <alignment horizontal="left" vertical="top" wrapText="1"/>
    </xf>
    <xf numFmtId="0" fontId="48" fillId="0" borderId="0" xfId="0" applyFont="1" applyNumberFormat="1">
      <alignment horizontal="center" vertical="center" wrapText="1"/>
    </xf>
    <xf numFmtId="240" fontId="0" fillId="39" borderId="12" xfId="0" applyFont="1" applyFill="1" applyBorder="1" applyNumberFormat="1">
      <alignment horizontal="center" vertical="center" wrapText="1"/>
      <protection locked="0"/>
    </xf>
    <xf numFmtId="0" fontId="80" fillId="35" borderId="19" xfId="0" applyFont="1" applyFill="1" applyBorder="1" applyNumberFormat="1">
      <alignment horizontal="center"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35" borderId="23" xfId="0" applyFont="1" applyFill="1" applyBorder="1" applyNumberFormat="1">
      <alignment horizontal="center" vertical="center" wrapText="1"/>
    </xf>
    <xf numFmtId="0" fontId="48" fillId="0" borderId="15" xfId="0" applyFont="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22" fillId="35" borderId="17" xfId="0" applyFont="1" applyFill="1" applyBorder="1" applyNumberFormat="1">
      <alignment horizontal="left" vertical="center" wrapText="1"/>
    </xf>
    <xf numFmtId="4" fontId="22" fillId="39" borderId="12" xfId="0" applyFont="1" applyFill="1" applyBorder="1" applyNumberFormat="1">
      <alignment horizontal="left" vertical="center" wrapText="1" indent="1"/>
      <protection locked="0"/>
    </xf>
    <xf numFmtId="49" fontId="22" fillId="36" borderId="17" xfId="0" applyFont="1" applyFill="1" applyBorder="1" applyNumberFormat="1">
      <alignment horizontal="left" vertical="center" wrapText="1" indent="6"/>
      <protection locked="0"/>
    </xf>
    <xf numFmtId="49" fontId="22" fillId="0" borderId="0" xfId="0" applyFont="1" applyNumberFormat="1">
      <alignment vertical="center" wrapText="1"/>
    </xf>
    <xf numFmtId="49" fontId="48"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29" xfId="0" applyFont="1" applyFill="1" applyBorder="1" applyNumberFormat="1">
      <alignment horizontal="center" vertical="center" wrapText="1"/>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22" fillId="0" borderId="0" xfId="0" applyFont="1" applyNumberFormat="1">
      <alignment horizontal="left" vertical="center" indent="1"/>
    </xf>
    <xf numFmtId="49" fontId="22" fillId="0" borderId="0" xfId="0" applyFont="1" applyNumberFormat="1">
      <alignment horizontal="left" vertical="center"/>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5" borderId="0" xfId="0" applyFont="1" applyFill="1" applyNumberFormat="1">
      <alignment vertical="center" wrapText="1"/>
    </xf>
    <xf numFmtId="0" fontId="80" fillId="35" borderId="19"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49" fontId="22" fillId="36" borderId="12" xfId="0" applyFont="1" applyFill="1" applyBorder="1" applyNumberFormat="1">
      <alignment horizontal="left" vertical="center" indent="1"/>
      <protection locked="0"/>
    </xf>
    <xf numFmtId="49" fontId="22" fillId="35" borderId="12" xfId="59" applyFont="1" applyFill="1" applyBorder="1" applyNumberFormat="1">
      <alignment horizontal="center"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49" fontId="105" fillId="37" borderId="42" xfId="0" applyFont="1" applyFill="1" applyBorder="1" applyNumberFormat="1">
      <alignment horizontal="left" vertical="center" indent="1"/>
    </xf>
    <xf numFmtId="14" fontId="22" fillId="40" borderId="22" xfId="0" applyFont="1" applyFill="1" applyBorder="1" applyNumberFormat="1">
      <alignment horizontal="left" vertical="center" wrapText="1" indent="1"/>
    </xf>
    <xf numFmtId="0" fontId="22" fillId="0" borderId="22" xfId="0" applyFont="1" applyBorder="1" applyNumberFormat="1">
      <alignment vertical="center" wrapText="1"/>
    </xf>
    <xf numFmtId="0" fontId="0" fillId="0" borderId="13" xfId="0" applyFont="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240" fontId="0" fillId="39" borderId="12" xfId="0" applyFont="1" applyFill="1" applyBorder="1" applyNumberFormat="1">
      <alignment horizontal="center" vertical="center" wrapText="1"/>
      <protection locked="0"/>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48" fillId="0" borderId="24" xfId="0" applyFont="1" applyBorder="1" applyNumberFormat="1">
      <alignment horizontal="center" vertical="top"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32" fillId="47" borderId="0" xfId="0" applyFont="1" applyFill="1" applyNumberFormat="1">
      <alignment horizontal="center" vertical="center" wrapText="1"/>
    </xf>
    <xf numFmtId="0" fontId="48"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35" borderId="17"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45" fillId="0" borderId="13" xfId="0" applyFont="1" applyBorder="1" applyNumberFormat="1">
      <alignment vertical="top" wrapText="1"/>
    </xf>
    <xf numFmtId="0" fontId="48" fillId="0" borderId="13" xfId="0" applyFont="1" applyBorder="1" applyNumberFormat="1">
      <alignment vertical="top"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238" fontId="22" fillId="36" borderId="23" xfId="0" applyFont="1" applyFill="1" applyBorder="1" applyNumberFormat="1">
      <alignment horizontal="right" vertical="center" wrapText="1"/>
      <protection locked="0"/>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0" xfId="0" applyFont="1" applyNumberFormat="1">
      <alignment horizontal="center" vertical="center" wrapText="1"/>
    </xf>
    <xf numFmtId="0" fontId="22" fillId="0" borderId="12" xfId="0" applyFont="1" applyBorder="1" applyNumberFormat="1">
      <alignment horizontal="left" vertical="center" wrapText="1"/>
    </xf>
    <xf numFmtId="0" fontId="22" fillId="0" borderId="37" xfId="0" applyFont="1" applyBorder="1" applyNumberFormat="1">
      <alignment horizontal="center" vertical="center" wrapText="1"/>
    </xf>
    <xf numFmtId="49"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right" vertical="center" wrapText="1" indent="1"/>
    </xf>
    <xf numFmtId="0" fontId="22" fillId="0" borderId="0" xfId="0" applyFont="1" applyNumberFormat="1">
      <alignment horizontal="left" vertical="top" wrapText="1"/>
    </xf>
    <xf numFmtId="0" fontId="22" fillId="34" borderId="14" xfId="0" applyFont="1" applyFill="1" applyBorder="1" applyNumberFormat="1">
      <alignment horizontal="left" vertical="top" wrapText="1"/>
    </xf>
    <xf numFmtId="49" fontId="22" fillId="0" borderId="0" xfId="0" applyFont="1" applyNumberFormat="1">
      <alignment vertical="center" wrapText="1"/>
    </xf>
    <xf numFmtId="0" fontId="0" fillId="0" borderId="12" xfId="0" applyFont="1" applyBorder="1" applyNumberFormat="1">
      <alignment horizontal="lef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7" xfId="0" applyFont="1" applyBorder="1" applyNumberFormat="1">
      <alignment horizontal="left" vertical="center" wrapText="1"/>
    </xf>
    <xf numFmtId="49" fontId="94" fillId="0" borderId="43" xfId="0" applyFont="1" applyBorder="1" applyNumberFormat="1">
      <alignment horizontal="center" vertical="center"/>
    </xf>
    <xf numFmtId="49" fontId="94" fillId="0" borderId="43" xfId="0" applyFont="1" applyBorder="1" applyNumberFormat="1">
      <alignment horizontal="left" vertical="center" inden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40" borderId="36"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126" fillId="0" borderId="12"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54" borderId="12" xfId="60" applyFont="1" applyFill="1" applyBorder="1" applyNumberFormat="1">
      <alignment vertical="center"/>
    </xf>
    <xf numFmtId="0" fontId="47" fillId="55" borderId="12" xfId="0" applyFont="1" applyFill="1" applyBorder="1" applyNumberFormat="1">
      <alignment horizontal="left" vertical="center" wrapText="1"/>
    </xf>
    <xf numFmtId="0" fontId="91" fillId="0" borderId="0" xfId="0" applyFont="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left"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9" xfId="0" applyFont="1" applyBorder="1" applyNumberFormat="1">
      <alignment horizontal="right" vertical="center" wrapText="1" indent="1"/>
    </xf>
    <xf numFmtId="4" fontId="22" fillId="39" borderId="37"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indent="2"/>
    </xf>
    <xf numFmtId="0" fontId="102" fillId="0" borderId="0" xfId="0" applyFont="1" applyNumberFormat="1">
      <alignment vertical="center" wrapText="1"/>
    </xf>
    <xf numFmtId="0" fontId="102" fillId="0" borderId="0" xfId="0" applyFont="1" applyNumberFormat="1">
      <alignment vertical="center"/>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46" fillId="46" borderId="0" xfId="0" applyFont="1" applyFill="1" applyNumberFormat="1">
      <alignment horizontal="right" vertical="center" wrapText="1" indent="1"/>
    </xf>
    <xf numFmtId="0" fontId="120" fillId="0" borderId="38" xfId="0" applyFont="1" applyBorder="1" applyNumberFormat="1">
      <alignment vertical="center" wrapText="1"/>
    </xf>
    <xf numFmtId="0" fontId="120" fillId="0" borderId="0" xfId="0" applyFont="1" applyNumberFormat="1">
      <alignment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120" fillId="0" borderId="0" xfId="0" applyFont="1" applyNumberFormat="1">
      <alignment vertical="top" wrapText="1"/>
    </xf>
    <xf numFmtId="49" fontId="66" fillId="0" borderId="0" xfId="0" applyFont="1" applyNumberFormat="1">
      <alignment vertical="top"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96" fillId="0" borderId="0" xfId="0" applyFont="1" applyNumberFormat="1">
      <alignment horizontal="left" vertical="center" wrapText="1"/>
    </xf>
    <xf numFmtId="14" fontId="93" fillId="0" borderId="12" xfId="0" applyFont="1" applyBorder="1" applyNumberFormat="1">
      <alignment horizontal="center" vertical="center" wrapText="1"/>
    </xf>
    <xf numFmtId="0" fontId="22" fillId="0" borderId="0" xfId="0" applyFont="1" applyNumberFormat="1">
      <alignment horizontal="center" vertical="center" wrapText="1"/>
    </xf>
    <xf numFmtId="0" fontId="22" fillId="0" borderId="15" xfId="0" applyFont="1" applyBorder="1" applyNumberFormat="1">
      <alignment horizontal="left" vertical="center" wrapText="1" inden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1"/>
    </xf>
    <xf numFmtId="0" fontId="22" fillId="40" borderId="23"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22" fillId="0" borderId="0" xfId="0" applyFont="1" applyNumberFormat="1">
      <alignment horizontal="center" vertical="center" wrapText="1"/>
    </xf>
    <xf numFmtId="0" fontId="22" fillId="42" borderId="0" xfId="0" applyFont="1" applyFill="1" applyNumberFormat="1">
      <alignment horizontal="center"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75"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0" fillId="0" borderId="12" xfId="0" applyFont="1" applyBorder="1" applyNumberFormat="1">
      <alignment horizontal="center" vertical="top"/>
    </xf>
    <xf numFmtId="49" fontId="0" fillId="0" borderId="12" xfId="0" applyFont="1" applyBorder="1" applyNumberFormat="1">
      <alignment vertical="top"/>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0" fontId="0" fillId="0" borderId="19" xfId="0" applyFont="1" applyBorder="1" applyNumberFormat="1">
      <alignment horizontal="left"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19" xfId="0" applyFont="1" applyBorder="1" applyNumberFormat="1">
      <alignment horizontal="left" vertical="center" wrapText="1"/>
    </xf>
    <xf numFmtId="0" fontId="22" fillId="0" borderId="12" xfId="0" applyFont="1" applyBorder="1" applyNumberFormat="1">
      <alignment horizontal="left" vertical="top" wrapText="1"/>
    </xf>
    <xf numFmtId="49" fontId="0" fillId="0" borderId="12" xfId="0" applyFont="1" applyBorder="1" applyNumberFormat="1">
      <alignment horizontal="left" vertical="top"/>
    </xf>
    <xf numFmtId="0" fontId="22" fillId="40" borderId="17" xfId="0" applyFont="1" applyFill="1" applyBorder="1" applyNumberFormat="1">
      <alignment horizontal="center" vertical="top" wrapText="1"/>
    </xf>
    <xf numFmtId="0" fontId="22" fillId="40" borderId="36" xfId="0" applyFont="1" applyFill="1" applyBorder="1" applyNumberFormat="1">
      <alignment horizontal="center" vertical="top" wrapText="1"/>
    </xf>
    <xf numFmtId="0" fontId="22" fillId="40" borderId="23"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22" xfId="0" applyFont="1" applyBorder="1" applyNumberFormat="1">
      <alignment horizontal="center" vertical="center"/>
    </xf>
    <xf numFmtId="0" fontId="0" fillId="0" borderId="19" xfId="0" applyFont="1" applyBorder="1" applyNumberFormat="1">
      <alignment horizontal="center" vertical="center"/>
    </xf>
    <xf numFmtId="0" fontId="0" fillId="0" borderId="0" xfId="0" applyFont="1" applyNumberFormat="1">
      <alignment horizontal="center"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0" fillId="0" borderId="0" xfId="0" applyFont="1" applyNumberFormat="1">
      <alignment horizontal="left" vertical="top"/>
    </xf>
    <xf numFmtId="0" fontId="0" fillId="0" borderId="12" xfId="0" applyFont="1" applyBorder="1" applyNumberFormat="1">
      <alignment horizontal="center" vertical="center" wrapText="1"/>
    </xf>
    <xf numFmtId="49" fontId="48" fillId="35" borderId="27" xfId="0" applyFont="1" applyFill="1" applyBorder="1" applyNumberFormat="1">
      <alignment horizontal="center"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22" fillId="0" borderId="27" xfId="0" applyFont="1" applyBorder="1" applyNumberFormat="1">
      <alignment horizontal="left" vertical="center" indent="1"/>
    </xf>
    <xf numFmtId="0" fontId="22" fillId="39" borderId="12" xfId="0" applyFont="1" applyFill="1" applyBorder="1" applyNumberFormat="1">
      <alignment horizontal="left" vertical="top" wrapText="1"/>
      <protection locked="0"/>
    </xf>
    <xf numFmtId="0" fontId="0" fillId="39" borderId="12" xfId="0" applyFont="1" applyFill="1" applyBorder="1" applyNumberFormat="1">
      <alignment horizontal="left" vertical="top"/>
      <protection locked="0"/>
    </xf>
    <xf numFmtId="0" fontId="0" fillId="0" borderId="17" xfId="0" applyFont="1" applyBorder="1" applyNumberFormat="1">
      <alignment horizontal="center" vertical="top"/>
    </xf>
    <xf numFmtId="0" fontId="0" fillId="0" borderId="36" xfId="0" applyFont="1" applyBorder="1" applyNumberFormat="1">
      <alignment horizontal="center" vertical="top"/>
    </xf>
    <xf numFmtId="0" fontId="0" fillId="0" borderId="23" xfId="0" applyFont="1" applyBorder="1" applyNumberFormat="1">
      <alignment horizontal="center" vertical="top"/>
    </xf>
    <xf numFmtId="0" fontId="22" fillId="0" borderId="17" xfId="0" applyFont="1" applyBorder="1" applyNumberFormat="1">
      <alignment horizontal="left" vertical="top" wrapText="1"/>
    </xf>
    <xf numFmtId="0" fontId="22" fillId="0" borderId="36" xfId="0" applyFont="1" applyBorder="1" applyNumberFormat="1">
      <alignment horizontal="left" vertical="top" wrapText="1"/>
    </xf>
    <xf numFmtId="0" fontId="22" fillId="0" borderId="23" xfId="0" applyFont="1" applyBorder="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22" fillId="0" borderId="17" xfId="0" applyFont="1" applyBorder="1" applyNumberFormat="1">
      <alignment horizontal="center" vertical="center" wrapText="1"/>
    </xf>
    <xf numFmtId="0" fontId="22" fillId="0" borderId="27" xfId="0" applyFont="1" applyBorder="1" applyNumberFormat="1">
      <alignment horizontal="left" vertical="center" wrapText="1" indent="1"/>
    </xf>
    <xf numFmtId="0" fontId="40" fillId="0" borderId="0" xfId="0" applyFont="1" applyNumberFormat="1">
      <alignment horizontal="left" vertical="center"/>
    </xf>
    <xf numFmtId="0" fontId="40" fillId="0" borderId="24" xfId="0" applyFont="1" applyBorder="1" applyNumberFormat="1">
      <alignment horizontal="left" vertical="center"/>
    </xf>
    <xf numFmtId="0" fontId="22" fillId="0" borderId="12" xfId="0" applyFont="1" applyBorder="1" applyNumberFormat="1">
      <alignment horizontal="left" vertical="center" wrapText="1"/>
    </xf>
    <xf numFmtId="0" fontId="22" fillId="0" borderId="37" xfId="0" applyFont="1" applyBorder="1" applyNumberFormat="1">
      <alignment horizontal="left" vertical="center" wrapText="1"/>
    </xf>
    <xf numFmtId="0" fontId="22" fillId="0" borderId="19" xfId="0" applyFont="1" applyBorder="1" applyNumberFormat="1">
      <alignment horizontal="center" vertical="center"/>
    </xf>
    <xf numFmtId="0" fontId="22" fillId="0" borderId="0" xfId="0" applyFont="1" applyNumberFormat="1">
      <alignment horizontal="center" vertical="center"/>
    </xf>
    <xf numFmtId="49" fontId="22" fillId="0" borderId="12" xfId="0" applyFont="1" applyBorder="1" applyNumberFormat="1">
      <alignment horizontal="center" vertical="center"/>
    </xf>
    <xf numFmtId="0" fontId="22" fillId="0" borderId="14"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19" xfId="0" applyFont="1" applyBorder="1" applyNumberFormat="1">
      <alignment horizontal="left" vertical="center" wrapText="1" inden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49" fontId="22" fillId="35" borderId="0" xfId="0" applyFont="1" applyFill="1" applyNumberFormat="1">
      <alignment horizontal="center" vertical="center" wrapText="1"/>
    </xf>
    <xf numFmtId="0" fontId="45" fillId="0" borderId="0" xfId="0" applyFont="1" applyNumberFormat="1">
      <alignment horizontal="right" vertical="top"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45" fillId="0" borderId="0" xfId="0" applyFont="1" applyNumberFormat="1">
      <alignment horizontal="left" vertical="top" wrapText="1" indent="1"/>
    </xf>
    <xf numFmtId="0" fontId="93" fillId="35" borderId="0" xfId="0" applyFont="1" applyFill="1" applyNumberFormat="1">
      <alignment horizontal="left"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35" borderId="17" xfId="0" applyFont="1" applyFill="1" applyBorder="1" applyNumberFormat="1">
      <alignment horizontal="left" vertical="top" wrapText="1"/>
    </xf>
    <xf numFmtId="0" fontId="22" fillId="35" borderId="36" xfId="0" applyFont="1" applyFill="1" applyBorder="1" applyNumberFormat="1">
      <alignment horizontal="left" vertical="top" wrapText="1"/>
    </xf>
    <xf numFmtId="0" fontId="22" fillId="35" borderId="23" xfId="0" applyFont="1" applyFill="1" applyBorder="1" applyNumberFormat="1">
      <alignment horizontal="left" vertical="top" wrapText="1"/>
    </xf>
    <xf numFmtId="0" fontId="22" fillId="35" borderId="24" xfId="0" applyFont="1" applyFill="1" applyBorder="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47" fillId="0" borderId="0" xfId="0" applyFont="1" applyNumberFormat="1">
      <alignment horizontal="center"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7" xfId="0" applyFont="1" applyBorder="1" applyNumberFormat="1">
      <alignment horizontal="left" vertical="top" wrapText="1"/>
    </xf>
    <xf numFmtId="0" fontId="0" fillId="0" borderId="23" xfId="0" applyFont="1" applyBorder="1" applyNumberFormat="1">
      <alignment horizontal="left" vertical="top"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23" xfId="0" applyFont="1" applyBorder="1" applyNumberFormat="1">
      <alignment horizontal="center" vertical="center" wrapText="1"/>
    </xf>
    <xf numFmtId="49" fontId="0" fillId="0" borderId="37" xfId="0" applyFont="1" applyBorder="1" applyNumberFormat="1">
      <alignment horizontal="center" vertical="center" wrapText="1"/>
    </xf>
    <xf numFmtId="49" fontId="0" fillId="0" borderId="30" xfId="0" applyFont="1" applyBorder="1" applyNumberFormat="1">
      <alignment horizontal="center" vertical="center" wrapText="1"/>
    </xf>
    <xf numFmtId="0" fontId="22" fillId="40" borderId="19" xfId="0" applyFont="1" applyFill="1" applyBorder="1" applyNumberFormat="1">
      <alignment horizontal="left" vertical="center" wrapText="1"/>
    </xf>
    <xf numFmtId="0" fontId="22" fillId="40" borderId="27" xfId="0" applyFont="1" applyFill="1" applyBorder="1" applyNumberFormat="1">
      <alignment horizontal="left" vertical="center" wrapText="1"/>
    </xf>
    <xf numFmtId="0" fontId="22" fillId="0" borderId="19" xfId="0" applyFont="1" applyBorder="1" applyNumberFormat="1">
      <alignment horizontal="left" vertical="top" wrapText="1" inden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0" fillId="0" borderId="36" xfId="0" applyFont="1" applyBorder="1" applyNumberFormat="1">
      <alignment horizontal="left" vertical="top"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0" fillId="35" borderId="12" xfId="0" applyFont="1" applyFill="1" applyBorder="1" applyNumberFormat="1">
      <alignment horizontal="right" vertical="center" wrapText="1" indent="1"/>
    </xf>
    <xf numFmtId="0" fontId="22" fillId="34" borderId="12" xfId="0" applyFont="1" applyFill="1" applyBorder="1" applyNumberFormat="1">
      <alignment horizontal="left" vertical="center" wrapText="1" indent="1"/>
    </xf>
    <xf numFmtId="0" fontId="37" fillId="0" borderId="27" xfId="0" applyFont="1" applyBorder="1" applyNumberFormat="1">
      <alignment horizontal="center" vertical="center" wrapText="1"/>
    </xf>
    <xf numFmtId="0" fontId="45" fillId="0" borderId="17" xfId="0" applyFont="1" applyBorder="1" applyNumberFormat="1">
      <alignment horizontal="left" vertical="top" wrapText="1"/>
    </xf>
    <xf numFmtId="0" fontId="45" fillId="0" borderId="36" xfId="0" applyFont="1" applyBorder="1" applyNumberFormat="1">
      <alignment horizontal="left" vertical="top" wrapText="1"/>
    </xf>
    <xf numFmtId="0" fontId="45" fillId="0" borderId="23" xfId="0" applyFont="1" applyBorder="1" applyNumberFormat="1">
      <alignment horizontal="left" vertical="top" wrapText="1"/>
    </xf>
    <xf numFmtId="0" fontId="47" fillId="0" borderId="12" xfId="0" applyFont="1" applyBorder="1" applyNumberFormat="1">
      <alignment horizontal="center" vertical="center" wrapText="1"/>
    </xf>
    <xf numFmtId="0" fontId="48" fillId="0" borderId="0" xfId="0" applyFont="1" applyNumberFormat="1">
      <alignment horizontal="center" vertical="center" wrapText="1"/>
    </xf>
    <xf numFmtId="0" fontId="47" fillId="0" borderId="12" xfId="0" applyFont="1" applyBorder="1" applyNumberFormat="1">
      <alignment horizontal="center" vertical="center"/>
    </xf>
    <xf numFmtId="0" fontId="47" fillId="0" borderId="14" xfId="0" applyFont="1" applyBorder="1" applyNumberFormat="1">
      <alignment horizontal="center" vertical="center"/>
    </xf>
    <xf numFmtId="0" fontId="22" fillId="0" borderId="17" xfId="0" applyFont="1" applyBorder="1" applyNumberFormat="1">
      <alignment horizontal="center" vertical="center" wrapText="1"/>
    </xf>
    <xf numFmtId="0" fontId="22" fillId="0" borderId="23"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240" fontId="22" fillId="34" borderId="12" xfId="0" applyFont="1" applyFill="1" applyBorder="1" applyNumberFormat="1">
      <alignment horizontal="left" vertical="center" wrapText="1" indent="1"/>
    </xf>
    <xf numFmtId="240"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240"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22" fillId="35" borderId="36"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49" fontId="40" fillId="37" borderId="36" xfId="0" applyFont="1" applyFill="1" applyBorder="1" applyNumberFormat="1">
      <alignment horizontal="center" vertical="center" textRotation="90" wrapText="1"/>
    </xf>
    <xf numFmtId="49" fontId="40" fillId="37" borderId="23" xfId="0" applyFont="1" applyFill="1" applyBorder="1" applyNumberFormat="1">
      <alignment horizontal="center" vertical="center" textRotation="90" wrapText="1"/>
    </xf>
    <xf numFmtId="0" fontId="47" fillId="0" borderId="17" xfId="0" applyFont="1" applyBorder="1" applyNumberFormat="1">
      <alignment horizontal="center" vertical="center" wrapText="1"/>
    </xf>
    <xf numFmtId="0" fontId="47" fillId="0" borderId="23" xfId="0" applyFont="1" applyBorder="1" applyNumberFormat="1">
      <alignment horizontal="center" vertical="center" wrapText="1"/>
    </xf>
    <xf numFmtId="0" fontId="22" fillId="0" borderId="0" xfId="0" applyFont="1" applyNumberFormat="1">
      <alignment horizontal="left" vertical="top" wrapText="1"/>
    </xf>
    <xf numFmtId="0" fontId="47" fillId="0" borderId="14" xfId="0" applyFont="1" applyBorder="1" applyNumberFormat="1">
      <alignment horizontal="center" vertical="center" wrapText="1"/>
    </xf>
    <xf numFmtId="240" fontId="0" fillId="39" borderId="17"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48" fillId="0" borderId="23"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0" fillId="0" borderId="0" xfId="0" applyFont="1" applyNumberFormat="1">
      <alignment horizontal="left" vertical="top" wrapText="1"/>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8" fillId="0" borderId="12" xfId="0" applyFont="1" applyBorder="1" applyNumberFormat="1">
      <alignment horizontal="left" vertical="center" wrapText="1"/>
    </xf>
    <xf numFmtId="0" fontId="22" fillId="40" borderId="12" xfId="0" applyFont="1" applyFill="1" applyBorder="1" applyNumberFormat="1">
      <alignment horizontal="left" vertical="center" wrapText="1"/>
    </xf>
    <xf numFmtId="240"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40" borderId="20" xfId="0" applyFont="1" applyFill="1" applyBorder="1" applyNumberFormat="1">
      <alignment horizontal="left" vertical="center" wrapText="1"/>
    </xf>
    <xf numFmtId="49" fontId="0" fillId="39" borderId="12" xfId="0" applyFont="1" applyFill="1" applyBorder="1" applyNumberFormat="1">
      <alignment horizontal="center" vertical="center" wrapText="1"/>
      <protection locked="0"/>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22" xfId="0" applyFont="1" applyBorder="1" applyNumberFormat="1">
      <alignment horizontal="center" vertical="center" wrapText="1"/>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4" borderId="12" xfId="0" applyFont="1" applyFill="1" applyBorder="1" applyNumberFormat="1">
      <alignment horizontal="center" vertical="center" wrapText="1"/>
    </xf>
    <xf numFmtId="0" fontId="22" fillId="35" borderId="17" xfId="0" applyFont="1" applyFill="1" applyBorder="1" applyNumberFormat="1">
      <alignment horizontal="left" vertical="center" wrapText="1"/>
    </xf>
    <xf numFmtId="0" fontId="22" fillId="35" borderId="36"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9" borderId="36" xfId="0" applyFont="1" applyFill="1" applyBorder="1" applyNumberFormat="1">
      <alignment horizontal="left" vertical="center" wrapText="1" indent="6"/>
      <protection locked="0"/>
    </xf>
    <xf numFmtId="49" fontId="22" fillId="39" borderId="23" xfId="0" applyFont="1" applyFill="1" applyBorder="1" applyNumberFormat="1">
      <alignment horizontal="left" vertical="center" wrapText="1" indent="6"/>
      <protection locked="0"/>
    </xf>
    <xf numFmtId="0" fontId="48" fillId="0" borderId="24" xfId="0" applyFont="1" applyBorder="1" applyNumberFormat="1">
      <alignment horizontal="center" vertical="top" wrapText="1"/>
    </xf>
    <xf numFmtId="49" fontId="22" fillId="0" borderId="12" xfId="0" applyFont="1" applyBorder="1" applyNumberFormat="1">
      <alignment horizontal="left" vertical="center" wrapText="1" indent="1"/>
    </xf>
    <xf numFmtId="0" fontId="45" fillId="0" borderId="12" xfId="0" applyFont="1" applyBorder="1" applyNumberFormat="1">
      <alignment horizontal="left" vertical="top"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0" fontId="22" fillId="39" borderId="13" xfId="0" applyFont="1" applyFill="1" applyBorder="1" applyNumberFormat="1">
      <alignment horizontal="center" vertical="center" wrapTex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40" borderId="29"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9" fontId="22" fillId="36" borderId="36" xfId="0" applyFont="1" applyFill="1" applyBorder="1" applyNumberFormat="1">
      <alignment horizontal="left" vertical="center" wrapText="1" indent="6"/>
      <protection locked="0"/>
    </xf>
    <xf numFmtId="49" fontId="22" fillId="36" borderId="23"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48" fillId="0" borderId="19" xfId="0" applyFont="1" applyBorder="1" applyNumberFormat="1">
      <alignment horizontal="left" vertical="center" wrapText="1"/>
    </xf>
    <xf numFmtId="49" fontId="22" fillId="35" borderId="12" xfId="59"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91" fillId="46" borderId="0" xfId="0" applyFont="1" applyFill="1" applyNumberFormat="1">
      <alignment horizontal="center" vertical="center" textRotation="90" wrapText="1"/>
    </xf>
    <xf numFmtId="0" fontId="48" fillId="0" borderId="0" xfId="0" applyFont="1" applyNumberFormat="1">
      <alignment horizontal="center" vertical="center" wrapText="1"/>
    </xf>
    <xf numFmtId="0" fontId="47" fillId="0" borderId="0" xfId="0" applyFont="1" applyNumberFormat="1">
      <alignment horizontal="center" vertical="top"/>
    </xf>
    <xf numFmtId="0" fontId="22" fillId="0" borderId="23" xfId="0" applyFont="1" applyBorder="1" applyNumberFormat="1">
      <alignment horizontal="left"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49" fontId="48" fillId="0" borderId="17" xfId="0" applyFont="1" applyBorder="1" applyNumberFormat="1">
      <alignment horizontal="center" vertical="center" wrapText="1"/>
    </xf>
    <xf numFmtId="49" fontId="48" fillId="0" borderId="36" xfId="0" applyFont="1" applyBorder="1" applyNumberFormat="1">
      <alignment horizontal="center" vertical="center" wrapText="1"/>
    </xf>
    <xf numFmtId="49" fontId="48" fillId="0" borderId="23" xfId="0" applyFont="1" applyBorder="1" applyNumberFormat="1">
      <alignment horizontal="center" vertical="center" wrapText="1"/>
    </xf>
    <xf numFmtId="0" fontId="0" fillId="34" borderId="12" xfId="0" applyFont="1" applyFill="1" applyBorder="1" applyNumberFormat="1">
      <alignment horizontal="left" vertical="center" wrapText="1" indent="1"/>
    </xf>
    <xf numFmtId="0" fontId="45" fillId="0" borderId="0" xfId="0" applyFont="1" applyNumberFormat="1">
      <alignment horizontal="left" vertical="top" wrapText="1"/>
    </xf>
    <xf numFmtId="0" fontId="22" fillId="0" borderId="0" xfId="0" applyFont="1" applyNumberFormat="1">
      <alignment horizontal="left" vertical="top" wrapText="1"/>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49" fontId="22" fillId="57" borderId="0" xfId="0" applyFont="1" applyFill="1" applyNumberFormat="1">
      <alignment horizontal="center" vertical="center" textRotation="90"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49" fontId="0"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22" fillId="0" borderId="12" xfId="0" applyFont="1" applyBorder="1" applyNumberFormat="1">
      <alignment horizontal="left" vertical="center" wrapText="1"/>
    </xf>
    <xf numFmtId="49" fontId="22" fillId="0" borderId="14" xfId="0" applyFont="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0" fillId="0" borderId="12" xfId="0" applyFont="1" applyBorder="1" applyNumberFormat="1">
      <alignment horizontal="center"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49" fontId="0" fillId="0" borderId="12" xfId="0" applyFont="1" applyBorder="1" applyNumberFormat="1">
      <alignment vertical="center" wrapText="1"/>
    </xf>
    <xf numFmtId="49" fontId="0" fillId="0" borderId="12" xfId="0" applyFont="1" applyBorder="1" applyNumberFormat="1">
      <alignment horizontal="left" vertical="center" wrapText="1"/>
    </xf>
    <xf numFmtId="49" fontId="0" fillId="0" borderId="17" xfId="0" applyFont="1" applyBorder="1" applyNumberFormat="1">
      <alignment horizontal="center" vertical="center" wrapText="1"/>
    </xf>
    <xf numFmtId="49" fontId="0" fillId="0" borderId="36" xfId="0" applyFont="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12" xfId="0" applyFont="1" applyBorder="1" applyNumberFormat="1">
      <alignment horizontal="center" vertical="center"/>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0" fontId="22" fillId="0" borderId="20" xfId="0" applyFont="1" applyBorder="1" applyNumberFormat="1">
      <alignment horizontal="left" vertical="top" wrapText="1"/>
    </xf>
    <xf numFmtId="0" fontId="22" fillId="35" borderId="13"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41" borderId="27" xfId="0" applyFont="1" applyFill="1" applyBorder="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0"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22" fillId="0" borderId="15" xfId="0" applyFont="1" applyBorder="1" applyNumberFormat="1">
      <alignment horizontal="left" vertical="top" wrapText="1" indent="1"/>
    </xf>
    <xf numFmtId="0" fontId="39" fillId="35" borderId="0" xfId="0" applyFont="1" applyFill="1" applyNumberFormat="1">
      <alignment horizontal="center" vertical="top" wrapText="1"/>
    </xf>
    <xf numFmtId="49" fontId="36" fillId="35" borderId="19"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0" fillId="34" borderId="14" xfId="0" applyFont="1" applyFill="1" applyBorder="1" applyNumberFormat="1">
      <alignment horizontal="left" vertical="center" wrapText="1" indent="1"/>
    </xf>
    <xf numFmtId="0" fontId="0" fillId="35" borderId="17" xfId="0" applyFont="1" applyFill="1" applyBorder="1" applyNumberFormat="1">
      <alignment horizontal="left" vertical="top" wrapText="1"/>
    </xf>
    <xf numFmtId="0" fontId="0" fillId="35" borderId="36" xfId="0" applyFont="1" applyFill="1" applyBorder="1" applyNumberFormat="1">
      <alignment horizontal="left" vertical="top" wrapText="1"/>
    </xf>
    <xf numFmtId="0" fontId="0" fillId="35" borderId="23" xfId="0" applyFont="1" applyFill="1" applyBorder="1" applyNumberFormat="1">
      <alignment horizontal="left" vertical="top" wrapText="1"/>
    </xf>
    <xf numFmtId="4"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4" fontId="22" fillId="0" borderId="36" xfId="0" applyFont="1" applyBorder="1" applyNumberFormat="1">
      <alignment horizontal="center" vertical="center" wrapText="1"/>
    </xf>
    <xf numFmtId="0" fontId="22" fillId="0" borderId="29" xfId="0" applyFont="1" applyBorder="1" applyNumberFormat="1">
      <alignment horizontal="left" vertical="top" wrapText="1"/>
    </xf>
    <xf numFmtId="237" fontId="22" fillId="0" borderId="17" xfId="0" applyFont="1" applyBorder="1" applyNumberFormat="1">
      <alignment horizontal="center" vertical="center" wrapText="1"/>
    </xf>
    <xf numFmtId="237" fontId="22" fillId="0" borderId="23" xfId="0" applyFont="1" applyBorder="1" applyNumberFormat="1">
      <alignment horizontal="center" vertical="center" wrapText="1"/>
    </xf>
    <xf numFmtId="237" fontId="22" fillId="0" borderId="14" xfId="0" applyFont="1" applyBorder="1" applyNumberFormat="1">
      <alignment horizontal="center" vertical="center" wrapText="1"/>
    </xf>
    <xf numFmtId="237" fontId="22" fillId="0" borderId="15" xfId="0" applyFont="1" applyBorder="1" applyNumberFormat="1">
      <alignment horizontal="center" vertical="center" wrapText="1"/>
    </xf>
    <xf numFmtId="237" fontId="22" fillId="0" borderId="13" xfId="0" applyFont="1" applyBorder="1" applyNumberFormat="1">
      <alignment horizontal="center" vertical="center" wrapTex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0" borderId="12" xfId="0" applyFont="1" applyBorder="1" applyNumberFormat="1">
      <alignment horizontal="left" vertical="top" wrapText="1"/>
    </xf>
    <xf numFmtId="49" fontId="127" fillId="0" borderId="12" xfId="0" applyFont="1" applyBorder="1" applyNumberFormat="1">
      <alignment horizontal="left" vertical="top" wrapText="1"/>
    </xf>
    <xf numFmtId="0" fontId="22" fillId="0" borderId="15" xfId="0" applyFont="1" applyBorder="1" applyNumberFormat="1">
      <alignment horizontal="left" vertical="center" wrapText="1"/>
    </xf>
    <xf numFmtId="237" fontId="22" fillId="0" borderId="36" xfId="0" applyFont="1" applyBorder="1" applyNumberFormat="1">
      <alignment horizontal="center" vertical="center" wrapText="1"/>
    </xf>
    <xf numFmtId="237" fontId="22" fillId="0" borderId="12" xfId="0" applyFont="1" applyBorder="1" applyNumberFormat="1">
      <alignment horizontal="center" vertical="center" wrapText="1"/>
    </xf>
    <xf numFmtId="237" fontId="45" fillId="0" borderId="19" xfId="0" applyFont="1" applyBorder="1" applyNumberFormat="1">
      <alignment horizontal="center" vertical="center" wrapText="1"/>
    </xf>
    <xf numFmtId="49" fontId="22" fillId="40" borderId="30" xfId="0" applyFont="1" applyFill="1" applyBorder="1" applyNumberFormat="1">
      <alignment horizontal="left" vertical="center" wrapText="1"/>
    </xf>
    <xf numFmtId="49" fontId="22" fillId="40" borderId="23" xfId="0" applyFont="1" applyFill="1" applyBorder="1" applyNumberFormat="1">
      <alignment horizontal="left" vertical="center" wrapText="1"/>
    </xf>
    <xf numFmtId="49" fontId="22" fillId="0" borderId="0" xfId="0" applyFont="1" applyNumberFormat="1">
      <alignment horizontal="left" vertical="top" wrapText="1"/>
    </xf>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49" fontId="22" fillId="0" borderId="0" xfId="0" applyFont="1" applyNumberFormat="1">
      <alignment horizontal="left" vertical="top" wrapText="1"/>
    </xf>
    <xf numFmtId="49" fontId="0" fillId="0" borderId="15" xfId="0" applyFont="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vertical="top"/>
    </xf>
    <xf numFmtId="0" fontId="0" fillId="40" borderId="12" xfId="0" applyFont="1" applyFill="1" applyBorder="1" applyNumberFormat="1">
      <alignment horizontal="left" vertical="center" wrapText="1"/>
    </xf>
    <xf numFmtId="49" fontId="0" fillId="40" borderId="12" xfId="0" applyFont="1" applyFill="1" applyBorder="1" applyNumberFormat="1">
      <alignment horizontal="left" vertical="center" wrapTex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123" fillId="0" borderId="12" xfId="0" applyFont="1" applyBorder="1" applyNumberFormat="1">
      <alignment horizontal="center" vertical="center" wrapText="1"/>
    </xf>
    <xf numFmtId="0" fontId="45" fillId="0" borderId="13"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40" borderId="36"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22" fillId="0" borderId="13" xfId="0" applyFont="1" applyBorder="1" applyNumberFormat="1">
      <alignment horizontal="center" vertical="center" wrapText="1"/>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22" fillId="0" borderId="36" xfId="0" applyFont="1" applyBorder="1" applyNumberFormat="1">
      <alignment horizontal="center" vertical="center"/>
    </xf>
    <xf numFmtId="0" fontId="22" fillId="40" borderId="17" xfId="0" applyFont="1" applyFill="1" applyBorder="1" applyNumberFormat="1">
      <alignment horizontal="left" vertical="center" wrapText="1"/>
    </xf>
    <xf numFmtId="0" fontId="22" fillId="40" borderId="36" xfId="0" applyFont="1" applyFill="1" applyBorder="1" applyNumberFormat="1">
      <alignment horizontal="left" vertical="center" wrapText="1"/>
    </xf>
    <xf numFmtId="49" fontId="22" fillId="40" borderId="17" xfId="0" applyFont="1" applyFill="1" applyBorder="1" applyNumberFormat="1">
      <alignment horizontal="left" vertical="center" wrapText="1"/>
    </xf>
    <xf numFmtId="0" fontId="22" fillId="0" borderId="24" xfId="0" applyFont="1" applyBorder="1" applyNumberFormat="1">
      <alignment horizontal="center" vertical="center"/>
    </xf>
    <xf numFmtId="49" fontId="22" fillId="36" borderId="17" xfId="0" applyFont="1" applyFill="1" applyBorder="1" applyNumberFormat="1">
      <alignment horizontal="left" vertical="center" wrapText="1"/>
      <protection locked="0"/>
    </xf>
    <xf numFmtId="0" fontId="0" fillId="0" borderId="12" xfId="0" applyFont="1" applyBorder="1" applyNumberFormat="1">
      <alignment horizontal="center" vertical="center"/>
    </xf>
    <xf numFmtId="49" fontId="0" fillId="0" borderId="12" xfId="0" applyFont="1" applyBorder="1" applyNumberFormat="1">
      <alignment horizontal="left" vertical="top"/>
    </xf>
    <xf numFmtId="0" fontId="22" fillId="40" borderId="12" xfId="0" applyFont="1" applyFill="1" applyBorder="1" applyNumberFormat="1">
      <alignment horizontal="left" vertical="top" wrapText="1"/>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47" fillId="0" borderId="14" xfId="0" applyFont="1" applyBorder="1" applyNumberFormat="1">
      <alignment horizontal="center" vertical="center" wrapText="1"/>
    </xf>
    <xf numFmtId="49" fontId="40" fillId="37" borderId="51" xfId="0" applyFont="1" applyFill="1" applyBorder="1" applyNumberFormat="1">
      <alignment horizontal="left" vertical="center" indent="1"/>
    </xf>
    <xf numFmtId="49" fontId="22" fillId="34" borderId="12" xfId="0" applyFont="1" applyFill="1" applyBorder="1" applyNumberFormat="1">
      <alignment horizontal="center" vertical="center" wrapText="1"/>
    </xf>
    <xf numFmtId="49" fontId="22" fillId="34" borderId="74" xfId="0" applyFont="1" applyFill="1" applyBorder="1" applyNumberFormat="1">
      <alignment horizontal="center" vertical="center" wrapText="1"/>
    </xf>
    <xf numFmtId="3" fontId="47" fillId="0" borderId="12" xfId="0" applyFont="1" applyBorder="1" applyNumberFormat="1">
      <alignment horizontal="center" vertical="center" wrapText="1"/>
    </xf>
    <xf numFmtId="49" fontId="47" fillId="0" borderId="12" xfId="0" applyFont="1" applyBorder="1" applyNumberFormat="1">
      <alignment horizontal="left"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22" fillId="40" borderId="12" xfId="0" applyFont="1" applyFill="1" applyBorder="1" applyNumberFormat="1">
      <alignment horizontal="center" vertical="top" wrapText="1"/>
    </xf>
    <xf numFmtId="49" fontId="22" fillId="40" borderId="14"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240" fontId="0" fillId="36"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22" xfId="0" applyFont="1" applyBorder="1" applyNumberFormat="1">
      <alignment horizontal="center" vertical="center"/>
    </xf>
    <xf numFmtId="49" fontId="0" fillId="0" borderId="0" xfId="0" applyFont="1" applyNumberFormat="1">
      <alignment horizontal="left" vertical="top"/>
    </xf>
    <xf numFmtId="14" fontId="81" fillId="0" borderId="17" xfId="0" applyFont="1" applyBorder="1" applyNumberFormat="1">
      <alignment horizontal="center" vertical="center" wrapText="1"/>
    </xf>
    <xf numFmtId="14" fontId="81" fillId="0" borderId="36" xfId="0" applyFont="1" applyBorder="1" applyNumberFormat="1">
      <alignment horizontal="center" vertical="center" wrapText="1"/>
    </xf>
    <xf numFmtId="0" fontId="75" fillId="0" borderId="12" xfId="0" applyFont="1" applyBorder="1" applyNumberFormat="1">
      <alignment horizontal="left" vertical="center" wrapText="1" indent="1"/>
    </xf>
    <xf numFmtId="0" fontId="75" fillId="0" borderId="12" xfId="0" applyFont="1" applyBorder="1" applyNumberFormat="1">
      <alignment horizontal="left" vertical="top" indent="1"/>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49" fontId="0" fillId="0" borderId="19" xfId="0" applyFont="1" applyBorder="1" applyNumberFormat="1">
      <alignment horizontal="left" vertical="center" wrapText="1"/>
    </xf>
    <xf numFmtId="49" fontId="0" fillId="0" borderId="0" xfId="0" applyFont="1" applyNumberFormat="1">
      <alignment horizontal="left" vertical="center" wrapText="1"/>
    </xf>
    <xf numFmtId="0" fontId="0" fillId="0" borderId="19" xfId="0" applyFont="1" applyBorder="1" applyNumberFormat="1">
      <alignment horizontal="left" vertical="center" wrapText="1"/>
    </xf>
    <xf numFmtId="0" fontId="0" fillId="0" borderId="0" xfId="0" applyFont="1" applyNumberFormat="1">
      <alignment horizontal="left" vertical="center" wrapText="1"/>
    </xf>
    <xf numFmtId="0" fontId="0" fillId="0" borderId="19" xfId="0" applyFont="1" applyBorder="1" applyNumberFormat="1">
      <alignment horizontal="center" vertical="center"/>
    </xf>
    <xf numFmtId="0" fontId="0" fillId="0" borderId="0" xfId="0" applyFont="1" applyNumberFormat="1">
      <alignment horizontal="center" vertical="center"/>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37" fillId="0" borderId="17" xfId="0" applyFont="1" applyBorder="1" applyNumberFormat="1">
      <alignment horizontal="center" vertical="top" wrapText="1"/>
    </xf>
    <xf numFmtId="49" fontId="22" fillId="0" borderId="36" xfId="0" applyFont="1" applyBorder="1" applyNumberFormat="1">
      <alignment horizontal="center" vertical="top" wrapText="1"/>
    </xf>
    <xf numFmtId="49" fontId="22" fillId="0" borderId="23"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0" fillId="0" borderId="12" xfId="0" applyFont="1" applyBorder="1" applyNumberFormat="1">
      <alignment horizontal="center" vertical="center" wrapText="1"/>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49" fontId="22" fillId="0" borderId="23"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49" fontId="22" fillId="40" borderId="23" xfId="0" applyFont="1" applyFill="1" applyBorder="1" applyNumberFormat="1">
      <alignment horizontal="center" vertical="top" wrapText="1"/>
    </xf>
    <xf numFmtId="240" fontId="0" fillId="39" borderId="12" xfId="0" applyFont="1" applyFill="1" applyBorder="1" applyNumberFormat="1">
      <alignment horizontal="center" vertical="top" wrapText="1"/>
      <protection locked="0"/>
    </xf>
    <xf numFmtId="49" fontId="0" fillId="39"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47" fillId="0" borderId="17" xfId="0" applyFont="1" applyBorder="1" applyNumberFormat="1">
      <alignment horizontal="left" vertical="center" wrapText="1" indent="1"/>
    </xf>
    <xf numFmtId="49" fontId="47" fillId="0" borderId="36" xfId="0" applyFont="1" applyBorder="1" applyNumberFormat="1">
      <alignment horizontal="left" vertical="center" wrapText="1" indent="1"/>
    </xf>
    <xf numFmtId="49" fontId="47" fillId="0" borderId="23" xfId="0" applyFont="1" applyBorder="1" applyNumberFormat="1">
      <alignment horizontal="left" vertical="center" wrapText="1" indent="1"/>
    </xf>
    <xf numFmtId="0" fontId="45" fillId="0" borderId="12" xfId="0" applyFont="1" applyBorder="1" applyNumberFormat="1">
      <alignment horizontal="center" vertical="center"/>
    </xf>
    <xf numFmtId="49" fontId="95" fillId="0" borderId="12" xfId="0" applyFont="1" applyBorder="1" applyNumberFormat="1">
      <alignment horizontal="center" vertical="top" wrapText="1"/>
    </xf>
    <xf numFmtId="0" fontId="95" fillId="41" borderId="12" xfId="0" applyFont="1" applyFill="1" applyBorder="1" applyNumberFormat="1">
      <alignment horizontal="center" vertical="center" wrapText="1"/>
    </xf>
    <xf numFmtId="49" fontId="95" fillId="0" borderId="37"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23" xfId="0" applyFont="1" applyBorder="1" applyNumberFormat="1">
      <alignment horizontal="center" vertical="top" wrapText="1"/>
    </xf>
    <xf numFmtId="240" fontId="0" fillId="39" borderId="12" xfId="0" applyFont="1" applyFill="1" applyBorder="1" applyNumberFormat="1">
      <alignment horizontal="center" vertical="center" wrapText="1"/>
      <protection locked="0"/>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22" fillId="0" borderId="0" xfId="0" applyFont="1" applyNumberFormat="1">
      <alignment horizontal="right" vertical="center" wrapText="1"/>
    </xf>
    <xf numFmtId="4" fontId="22" fillId="34" borderId="12" xfId="0" applyFont="1" applyFill="1" applyBorder="1" applyNumberFormat="1">
      <alignment horizontal="left" vertical="center" wrapText="1"/>
    </xf>
    <xf numFmtId="0" fontId="47" fillId="0" borderId="0" xfId="0" applyFont="1" applyNumberFormat="1">
      <alignment horizontal="center" vertical="center" wrapText="1"/>
    </xf>
    <xf numFmtId="49" fontId="0" fillId="0" borderId="12" xfId="0" applyFont="1" applyBorder="1" applyNumberFormat="1">
      <alignment horizontal="center" vertical="top"/>
    </xf>
    <xf numFmtId="49" fontId="0" fillId="0" borderId="14" xfId="0" applyFont="1" applyBorder="1" applyNumberFormat="1">
      <alignment horizontal="center" vertical="top"/>
    </xf>
    <xf numFmtId="0" fontId="47" fillId="0" borderId="17"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7" xfId="0" applyFont="1" applyBorder="1" applyNumberFormat="1">
      <alignment horizontal="center" vertical="center" wrapText="1"/>
    </xf>
    <xf numFmtId="49" fontId="0" fillId="0" borderId="15" xfId="0" applyFont="1" applyBorder="1" applyNumberFormat="1">
      <alignment horizontal="left" vertical="center" indent="1"/>
    </xf>
    <xf numFmtId="49" fontId="0" fillId="0" borderId="25" xfId="0" applyFont="1" applyBorder="1" applyNumberFormat="1">
      <alignment horizontal="center" vertical="center"/>
    </xf>
    <xf numFmtId="49" fontId="0" fillId="0" borderId="12" xfId="61" applyFont="1" applyBorder="1" applyNumberFormat="1">
      <alignment vertical="top"/>
    </xf>
    <xf numFmtId="49" fontId="0" fillId="0" borderId="14" xfId="61" applyFont="1" applyBorder="1" applyNumberFormat="1">
      <alignment vertical="top"/>
    </xf>
    <xf numFmtId="49" fontId="0" fillId="0" borderId="12" xfId="61" applyFont="1" applyBorder="1" applyNumberFormat="1">
      <alignment horizontal="center" vertical="top"/>
    </xf>
    <xf numFmtId="49" fontId="0" fillId="0" borderId="14" xfId="61" applyFont="1" applyBorder="1" applyNumberFormat="1">
      <alignment horizontal="center" vertical="top"/>
    </xf>
    <xf numFmtId="49" fontId="0" fillId="43" borderId="17" xfId="61" applyFont="1" applyFill="1" applyBorder="1" applyNumberFormat="1">
      <alignment vertical="top"/>
    </xf>
    <xf numFmtId="49" fontId="0" fillId="44" borderId="12" xfId="61" applyFont="1" applyFill="1" applyBorder="1" applyNumberFormat="1">
      <alignment vertical="top"/>
    </xf>
    <xf numFmtId="49" fontId="0" fillId="0" borderId="15" xfId="61" applyFont="1" applyBorder="1" applyNumberFormat="1">
      <alignment horizontal="center" vertical="top"/>
    </xf>
    <xf numFmtId="49" fontId="0" fillId="3" borderId="12" xfId="61" applyFont="1" applyFill="1" applyBorder="1" applyNumberFormat="1">
      <alignment vertical="top"/>
    </xf>
    <xf numFmtId="49" fontId="0" fillId="45" borderId="12" xfId="61" applyFont="1" applyFill="1" applyBorder="1" applyNumberFormat="1">
      <alignment vertical="top"/>
    </xf>
    <xf numFmtId="49" fontId="0" fillId="16" borderId="17" xfId="61" applyFont="1" applyFill="1" applyBorder="1" applyNumberFormat="1">
      <alignment vertical="top"/>
    </xf>
    <xf numFmtId="49" fontId="0" fillId="5" borderId="14" xfId="61" applyFont="1" applyFill="1" applyBorder="1" applyNumberFormat="1">
      <alignment vertical="top"/>
    </xf>
    <xf numFmtId="49" fontId="0" fillId="5" borderId="12" xfId="61" applyFont="1" applyFill="1" applyBorder="1" applyNumberFormat="1">
      <alignment vertical="top"/>
    </xf>
    <xf numFmtId="49" fontId="0" fillId="16" borderId="12" xfId="61" applyFont="1" applyFill="1" applyBorder="1" applyNumberFormat="1">
      <alignment vertical="top"/>
    </xf>
    <xf numFmtId="0" fontId="29" fillId="0" borderId="0" xfId="0" applyFont="1" applyNumberFormat="1"/>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240"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240" fontId="0" fillId="39" borderId="12" xfId="0" applyFont="1" applyFill="1" applyBorder="1" applyNumberFormat="1">
      <alignment horizontal="left" vertical="center" wrapText="1" indent="1"/>
      <protection locked="0"/>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240" fontId="0" fillId="39" borderId="12" xfId="0" applyFont="1" applyFill="1" applyBorder="1" applyNumberFormat="1">
      <alignment horizontal="left" vertical="center" wrapText="1" indent="1"/>
      <protection locked="0"/>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240"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237" fontId="22" fillId="0" borderId="14" xfId="0" applyFont="1" applyBorder="1" applyNumberFormat="1">
      <alignment horizontal="center" vertical="center" wrapText="1"/>
    </xf>
    <xf numFmtId="237"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240" fontId="0" fillId="0" borderId="12" xfId="0" applyFont="1" applyBorder="1" applyNumberFormat="1">
      <alignment horizontal="left" vertical="center" wrapText="1" inden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47"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238" fontId="22" fillId="36" borderId="12" xfId="0" applyFont="1" applyFill="1" applyBorder="1" applyNumberFormat="1">
      <alignment horizontal="right" vertical="center" wrapText="1"/>
      <protection locked="0"/>
    </xf>
    <xf numFmtId="240"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238" fontId="47" fillId="0" borderId="12" xfId="0" applyFont="1" applyBorder="1" applyNumberFormat="1">
      <alignment horizontal="right" vertical="center" wrapText="1"/>
    </xf>
    <xf numFmtId="240"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47" fillId="0" borderId="0" xfId="0" applyFont="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240"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240"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48" fillId="0" borderId="0" xfId="0" applyFont="1" applyNumberFormat="1">
      <alignment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238"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238" fontId="22" fillId="36" borderId="23" xfId="0" applyFont="1" applyFill="1" applyBorder="1" applyNumberFormat="1">
      <alignment horizontal="right" vertical="center" wrapText="1"/>
      <protection locked="0"/>
    </xf>
    <xf numFmtId="240"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238"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24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238"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238"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238" fontId="48" fillId="0" borderId="12" xfId="0" applyFont="1" applyBorder="1" applyNumberFormat="1">
      <alignment horizontal="right" vertical="center" wrapText="1"/>
    </xf>
    <xf numFmtId="240"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24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24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239"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46" fillId="0" borderId="0" xfId="0" applyFont="1" applyNumberFormat="1">
      <alignment vertical="center" wrapText="1"/>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239" fontId="22" fillId="39" borderId="12" xfId="0" applyFont="1" applyFill="1" applyBorder="1" applyNumberFormat="1">
      <alignment horizontal="right" vertical="center" wrapText="1"/>
      <protection locked="0"/>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239"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239" fontId="22" fillId="34" borderId="13" xfId="0" applyFont="1" applyFill="1" applyBorder="1" applyNumberFormat="1">
      <alignment horizontal="right" vertical="center" wrapText="1"/>
    </xf>
    <xf numFmtId="239"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239"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8" fillId="0" borderId="17" xfId="0" applyFont="1" applyBorder="1" applyNumberFormat="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54" fillId="0" borderId="0" xfId="0" applyFont="1" applyNumberFormat="1">
      <alignment vertical="center"/>
    </xf>
    <xf numFmtId="0" fontId="91"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240"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49" fontId="94"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240"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240" fontId="0" fillId="39" borderId="13" xfId="0" applyFont="1" applyFill="1" applyBorder="1" applyNumberFormat="1">
      <alignment horizontal="left" vertical="center" wrapText="1"/>
      <protection locked="0"/>
    </xf>
    <xf numFmtId="240"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237" fontId="22" fillId="0" borderId="37" xfId="0" applyFont="1" applyBorder="1" applyNumberFormat="1">
      <alignment horizontal="center" vertical="center" wrapText="1"/>
    </xf>
    <xf numFmtId="237"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240" fontId="0" fillId="39" borderId="15" xfId="0" applyFont="1" applyFill="1" applyBorder="1" applyNumberFormat="1">
      <alignment horizontal="left" vertical="center" wrapText="1" indent="1"/>
      <protection locked="0"/>
    </xf>
    <xf numFmtId="241" fontId="22" fillId="39" borderId="12" xfId="0" applyFont="1" applyFill="1" applyBorder="1" applyNumberFormat="1">
      <alignment horizontal="left" vertical="center" wrapText="1" indent="1"/>
      <protection locked="0"/>
    </xf>
    <xf numFmtId="240" fontId="48" fillId="0" borderId="0" xfId="0" applyFont="1" applyNumberFormat="1">
      <alignment horizontal="center" vertical="center" wrapText="1"/>
    </xf>
    <xf numFmtId="237" fontId="22" fillId="0" borderId="17" xfId="0" applyFont="1" applyBorder="1" applyNumberFormat="1">
      <alignment horizontal="center" vertical="center" wrapText="1"/>
    </xf>
    <xf numFmtId="237" fontId="22" fillId="0" borderId="14" xfId="0" applyFont="1" applyBorder="1" applyNumberFormat="1">
      <alignment horizontal="center" vertical="center" wrapText="1"/>
    </xf>
    <xf numFmtId="237" fontId="22" fillId="0" borderId="15" xfId="0" applyFont="1" applyBorder="1" applyNumberFormat="1">
      <alignment horizontal="center" vertical="center" wrapText="1"/>
    </xf>
    <xf numFmtId="237"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237" fontId="22" fillId="0" borderId="23" xfId="0" applyFont="1" applyBorder="1" applyNumberFormat="1">
      <alignment horizontal="center" vertical="center" wrapText="1"/>
    </xf>
    <xf numFmtId="237"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237"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237" fontId="45" fillId="0" borderId="19" xfId="0" applyFont="1" applyBorder="1" applyNumberFormat="1">
      <alignment horizontal="center" vertical="center" wrapText="1"/>
    </xf>
    <xf numFmtId="237" fontId="45" fillId="0" borderId="19" xfId="0" applyFont="1" applyBorder="1" applyNumberFormat="1">
      <alignment horizontal="center" vertical="center" wrapText="1"/>
    </xf>
    <xf numFmtId="237" fontId="45" fillId="0" borderId="20" xfId="0" applyFont="1" applyBorder="1" applyNumberFormat="1">
      <alignment horizontal="center" vertical="center" wrapText="1"/>
    </xf>
    <xf numFmtId="0" fontId="48" fillId="0" borderId="0" xfId="0" applyFont="1" applyNumberFormat="1">
      <alignment horizontal="center" vertical="center"/>
    </xf>
    <xf numFmtId="237" fontId="22" fillId="0" borderId="12" xfId="0" applyFont="1" applyBorder="1" applyNumberFormat="1">
      <alignment horizontal="center" vertical="center" wrapText="1"/>
    </xf>
    <xf numFmtId="237" fontId="22" fillId="0" borderId="36" xfId="0" applyFont="1" applyBorder="1" applyNumberFormat="1">
      <alignment horizontal="center" vertical="center" wrapText="1"/>
    </xf>
    <xf numFmtId="237"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240"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240" fontId="0" fillId="39" borderId="12" xfId="0" applyFont="1" applyFill="1" applyBorder="1" applyNumberFormat="1">
      <alignment horizontal="center" vertical="top" wrapText="1"/>
      <protection locked="0"/>
    </xf>
    <xf numFmtId="240"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7" fillId="0" borderId="0" xfId="0" applyFont="1" applyNumberFormat="1">
      <alignment horizontal="center" vertical="top"/>
    </xf>
    <xf numFmtId="49" fontId="22" fillId="0" borderId="23" xfId="0" applyFont="1" applyBorder="1" applyNumberFormat="1">
      <alignment horizontal="center" vertical="center" wrapTex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240"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240"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240" fontId="0" fillId="39" borderId="12" xfId="0" applyFont="1" applyFill="1" applyBorder="1" applyNumberFormat="1">
      <alignment horizontal="left" vertical="center" wrapText="1" indent="1"/>
      <protection locked="0"/>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240" fontId="0" fillId="39" borderId="12" xfId="0" applyFont="1" applyFill="1" applyBorder="1" applyNumberFormat="1">
      <alignment horizontal="left" vertical="center" wrapText="1" indent="1"/>
      <protection locked="0"/>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240"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237" fontId="22" fillId="0" borderId="14" xfId="0" applyFont="1" applyBorder="1" applyNumberFormat="1">
      <alignment horizontal="center" vertical="center" wrapText="1"/>
    </xf>
    <xf numFmtId="237"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40" borderId="12" xfId="0" applyFont="1" applyFill="1" applyBorder="1" applyNumberFormat="1">
      <alignment horizontal="left" vertical="top" wrapText="1"/>
    </xf>
    <xf numFmtId="0" fontId="0"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49" fontId="22" fillId="40" borderId="36" xfId="0" applyFont="1" applyFill="1" applyBorder="1" applyNumberFormat="1">
      <alignment horizontal="center"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49" fontId="22" fillId="40" borderId="23"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29"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49" fontId="0" fillId="40" borderId="12" xfId="0" applyFont="1" applyFill="1" applyBorder="1" applyNumberFormat="1">
      <alignment horizontal="left" vertical="top"/>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240" fontId="0" fillId="0" borderId="12" xfId="0" applyFont="1" applyBorder="1" applyNumberFormat="1">
      <alignment horizontal="left" vertical="center" wrapText="1" inden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47"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48" fillId="0" borderId="0" xfId="0" applyFont="1" applyNumberFormat="1">
      <alignment vertical="center"/>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238" fontId="22" fillId="36" borderId="12" xfId="0" applyFont="1" applyFill="1" applyBorder="1" applyNumberFormat="1">
      <alignment horizontal="right" vertical="center" wrapText="1"/>
      <protection locked="0"/>
    </xf>
    <xf numFmtId="240"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238" fontId="47" fillId="0" borderId="12" xfId="0" applyFont="1" applyBorder="1" applyNumberFormat="1">
      <alignment horizontal="right" vertical="center" wrapText="1"/>
    </xf>
    <xf numFmtId="240"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47" fillId="0" borderId="0" xfId="0" applyFont="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240"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240"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238"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238" fontId="22" fillId="36" borderId="23" xfId="0" applyFont="1" applyFill="1" applyBorder="1" applyNumberFormat="1">
      <alignment horizontal="right" vertical="center" wrapText="1"/>
      <protection locked="0"/>
    </xf>
    <xf numFmtId="240"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238"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24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238"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238"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238" fontId="48" fillId="0" borderId="12" xfId="0" applyFont="1" applyBorder="1" applyNumberFormat="1">
      <alignment horizontal="right" vertical="center" wrapText="1"/>
    </xf>
    <xf numFmtId="240"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24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24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4" fontId="22" fillId="36" borderId="12" xfId="0" applyFont="1" applyFill="1" applyBorder="1" applyNumberFormat="1">
      <alignment horizontal="right" vertical="center" wrapText="1"/>
      <protection locked="0"/>
    </xf>
    <xf numFmtId="238" fontId="22" fillId="36" borderId="12" xfId="0" applyFont="1" applyFill="1" applyBorder="1" applyNumberFormat="1">
      <alignment horizontal="right" vertical="center" wrapText="1"/>
      <protection locked="0"/>
    </xf>
    <xf numFmtId="24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0" borderId="12" xfId="0" applyFont="1" applyBorder="1" applyNumberFormat="1">
      <alignment horizontal="left" vertical="center" wrapText="1"/>
    </xf>
    <xf numFmtId="4" fontId="22" fillId="0" borderId="12" xfId="0" applyFont="1" applyBorder="1" applyNumberFormat="1">
      <alignment horizontal="righ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48" fillId="0" borderId="0" xfId="0" applyFont="1" applyNumberFormat="1">
      <alignment horizontal="center" vertical="center"/>
    </xf>
    <xf numFmtId="49" fontId="48"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47" fillId="0" borderId="0" xfId="0" applyFont="1" applyNumberFormat="1">
      <alignment vertical="center"/>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22" fillId="34" borderId="12" xfId="0" applyFont="1" applyFill="1" applyBorder="1" applyNumberFormat="1">
      <alignment horizontal="left" vertical="center" wrapText="1" indent="1"/>
    </xf>
    <xf numFmtId="240" fontId="22" fillId="34" borderId="12" xfId="0" applyFont="1" applyFill="1" applyBorder="1" applyNumberFormat="1">
      <alignment horizontal="left" vertical="center" wrapText="1" indent="1"/>
    </xf>
    <xf numFmtId="0" fontId="22" fillId="0" borderId="0" xfId="0" applyFont="1" applyNumberFormat="1">
      <alignment horizontal="right" vertical="center" wrapText="1"/>
    </xf>
    <xf numFmtId="0" fontId="48" fillId="0" borderId="0" xfId="0" applyFont="1" applyNumberFormat="1">
      <alignment vertical="center" wrapText="1"/>
    </xf>
    <xf numFmtId="0" fontId="37" fillId="0" borderId="27" xfId="0" applyFont="1" applyBorder="1" applyNumberFormat="1">
      <alignment horizontal="center" vertical="center" wrapText="1"/>
    </xf>
    <xf numFmtId="0" fontId="22" fillId="0" borderId="12" xfId="0" applyFont="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240" fontId="0" fillId="39" borderId="17"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0" fontId="47" fillId="0" borderId="0" xfId="0" applyFont="1" applyNumberFormat="1">
      <alignment horizontal="left" vertical="center" indent="1"/>
    </xf>
    <xf numFmtId="0" fontId="47" fillId="0" borderId="14" xfId="0" applyFont="1" applyBorder="1" applyNumberFormat="1">
      <alignment horizontal="center" vertical="center"/>
    </xf>
    <xf numFmtId="0" fontId="47" fillId="0" borderId="14" xfId="0" applyFont="1" applyBorder="1" applyNumberFormat="1">
      <alignment horizontal="center" vertical="center" wrapText="1"/>
    </xf>
    <xf numFmtId="0" fontId="47" fillId="0" borderId="12" xfId="0" applyFont="1" applyBorder="1" applyNumberFormat="1">
      <alignment horizontal="center" vertical="center" wrapText="1"/>
    </xf>
    <xf numFmtId="0" fontId="47" fillId="0" borderId="0" xfId="0" applyFont="1" applyNumberFormat="1">
      <alignment horizontal="center" vertical="center"/>
    </xf>
    <xf numFmtId="49" fontId="47" fillId="0" borderId="0" xfId="0" applyFont="1" applyNumberFormat="1">
      <alignment vertical="center" wrapText="1"/>
    </xf>
    <xf numFmtId="0" fontId="48" fillId="0" borderId="0" xfId="0" applyFont="1" applyNumberFormat="1">
      <alignment horizontal="center" vertical="center" wrapText="1"/>
    </xf>
    <xf numFmtId="0" fontId="36" fillId="0" borderId="0" xfId="0" applyFont="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xf>
    <xf numFmtId="0" fontId="22" fillId="35" borderId="12" xfId="0" applyFont="1" applyFill="1" applyBorder="1" applyNumberFormat="1">
      <alignment horizontal="left" vertical="center" wrapText="1" indent="5"/>
    </xf>
    <xf numFmtId="0" fontId="22" fillId="0" borderId="12" xfId="0" applyFont="1" applyBorder="1" applyNumberFormat="1">
      <alignment horizontal="left" vertical="center" wrapText="1" indent="6"/>
    </xf>
    <xf numFmtId="0" fontId="45" fillId="0" borderId="17" xfId="0" applyFont="1" applyBorder="1" applyNumberFormat="1">
      <alignment vertical="top" wrapText="1"/>
    </xf>
    <xf numFmtId="0" fontId="48" fillId="0" borderId="0" xfId="0" applyFont="1" applyNumberFormat="1">
      <alignment vertical="center"/>
    </xf>
    <xf numFmtId="49" fontId="0" fillId="0" borderId="0" xfId="0" applyFont="1" applyNumberFormat="1">
      <alignment vertical="top"/>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0" borderId="0" xfId="0" applyFont="1" applyNumberFormat="1">
      <alignment vertical="top"/>
    </xf>
    <xf numFmtId="0" fontId="48" fillId="0" borderId="24" xfId="0" applyFont="1" applyBorder="1" applyNumberFormat="1">
      <alignment horizontal="center" vertical="center"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5" fillId="0" borderId="12" xfId="0" applyFont="1" applyBorder="1" applyNumberFormat="1">
      <alignment vertical="top"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239"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46" fillId="0" borderId="0" xfId="0" applyFont="1" applyNumberFormat="1">
      <alignment vertical="center" wrapText="1"/>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239"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239"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239" fontId="22" fillId="34" borderId="13" xfId="0" applyFont="1" applyFill="1" applyBorder="1" applyNumberFormat="1">
      <alignment horizontal="right" vertical="center" wrapText="1"/>
    </xf>
    <xf numFmtId="239"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239"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8" fillId="0" borderId="17" xfId="0" applyFont="1" applyBorder="1" applyNumberFormat="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54" fillId="0" borderId="0" xfId="0" applyFont="1" applyNumberFormat="1">
      <alignment vertical="center"/>
    </xf>
    <xf numFmtId="0" fontId="91" fillId="0" borderId="0" xfId="0" applyFont="1" applyNumberFormat="1">
      <alignment vertical="center" wrapText="1"/>
    </xf>
    <xf numFmtId="49" fontId="91" fillId="0" borderId="0" xfId="0" applyFont="1" applyNumberFormat="1">
      <alignment horizontal="center"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240"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240" fontId="0" fillId="39" borderId="12" xfId="0" applyFont="1" applyFill="1" applyBorder="1" applyNumberFormat="1">
      <alignment horizontal="left" vertical="center" wrapText="1"/>
      <protection locked="0"/>
    </xf>
    <xf numFmtId="0" fontId="27" fillId="39" borderId="12" xfId="0" applyFont="1" applyFill="1" applyBorder="1" applyNumberFormat="1">
      <alignment horizontal="left" vertical="center" wrapText="1"/>
      <protection locked="0"/>
    </xf>
    <xf numFmtId="49" fontId="27"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240" fontId="0" fillId="39" borderId="13" xfId="0" applyFont="1" applyFill="1" applyBorder="1" applyNumberFormat="1">
      <alignment horizontal="left" vertical="center" wrapText="1"/>
      <protection locked="0"/>
    </xf>
    <xf numFmtId="240"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237" fontId="22" fillId="0" borderId="37" xfId="0" applyFont="1" applyBorder="1" applyNumberFormat="1">
      <alignment horizontal="center" vertical="center" wrapText="1"/>
    </xf>
    <xf numFmtId="237"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240" fontId="0" fillId="39" borderId="15" xfId="0" applyFont="1" applyFill="1" applyBorder="1" applyNumberFormat="1">
      <alignment horizontal="left" vertical="center" wrapText="1" indent="1"/>
      <protection locked="0"/>
    </xf>
    <xf numFmtId="241" fontId="22" fillId="39" borderId="12" xfId="0" applyFont="1" applyFill="1" applyBorder="1" applyNumberFormat="1">
      <alignment horizontal="left" vertical="center" wrapText="1" indent="1"/>
      <protection locked="0"/>
    </xf>
    <xf numFmtId="240" fontId="48" fillId="0" borderId="0" xfId="0" applyFont="1" applyNumberFormat="1">
      <alignment horizontal="center" vertical="center" wrapText="1"/>
    </xf>
    <xf numFmtId="237" fontId="22" fillId="0" borderId="17" xfId="0" applyFont="1" applyBorder="1" applyNumberFormat="1">
      <alignment horizontal="center" vertical="center" wrapText="1"/>
    </xf>
    <xf numFmtId="237" fontId="22" fillId="0" borderId="14" xfId="0" applyFont="1" applyBorder="1" applyNumberFormat="1">
      <alignment horizontal="center" vertical="center" wrapText="1"/>
    </xf>
    <xf numFmtId="237" fontId="22" fillId="0" borderId="15" xfId="0" applyFont="1" applyBorder="1" applyNumberFormat="1">
      <alignment horizontal="center" vertical="center" wrapText="1"/>
    </xf>
    <xf numFmtId="237"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237" fontId="22" fillId="0" borderId="23" xfId="0" applyFont="1" applyBorder="1" applyNumberFormat="1">
      <alignment horizontal="center" vertical="center" wrapText="1"/>
    </xf>
    <xf numFmtId="237"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237"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237" fontId="45" fillId="0" borderId="19" xfId="0" applyFont="1" applyBorder="1" applyNumberFormat="1">
      <alignment horizontal="center" vertical="center" wrapText="1"/>
    </xf>
    <xf numFmtId="237" fontId="45" fillId="0" borderId="19" xfId="0" applyFont="1" applyBorder="1" applyNumberFormat="1">
      <alignment horizontal="center" vertical="center" wrapText="1"/>
    </xf>
    <xf numFmtId="237"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237" fontId="22" fillId="0" borderId="12" xfId="0" applyFont="1" applyBorder="1" applyNumberFormat="1">
      <alignment horizontal="center" vertical="center" wrapText="1"/>
    </xf>
    <xf numFmtId="237" fontId="22" fillId="0" borderId="36" xfId="0" applyFont="1" applyBorder="1" applyNumberFormat="1">
      <alignment horizontal="center" vertical="center" wrapText="1"/>
    </xf>
    <xf numFmtId="237"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240"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240" fontId="0" fillId="39" borderId="12" xfId="0" applyFont="1" applyFill="1" applyBorder="1" applyNumberFormat="1">
      <alignment horizontal="center" vertical="top" wrapText="1"/>
      <protection locked="0"/>
    </xf>
    <xf numFmtId="240"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7" fillId="0" borderId="0" xfId="0" applyFont="1" applyNumberFormat="1">
      <alignment horizontal="center" vertical="top"/>
    </xf>
    <xf numFmtId="49" fontId="22" fillId="0" borderId="23" xfId="0" applyFont="1" applyBorder="1" applyNumberFormat="1">
      <alignment horizontal="center" vertical="center" wrapTex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240"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240"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240" fontId="0" fillId="39" borderId="12" xfId="0" applyFont="1" applyFill="1" applyBorder="1" applyNumberFormat="1">
      <alignment horizontal="left" vertical="center" wrapText="1" indent="1"/>
      <protection locked="0"/>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240" fontId="0" fillId="39" borderId="12" xfId="0" applyFont="1" applyFill="1" applyBorder="1" applyNumberFormat="1">
      <alignment horizontal="left" vertical="center" wrapText="1" indent="1"/>
      <protection locked="0"/>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240"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237" fontId="22" fillId="0" borderId="14" xfId="0" applyFont="1" applyBorder="1" applyNumberFormat="1">
      <alignment horizontal="center" vertical="center" wrapText="1"/>
    </xf>
    <xf numFmtId="237"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40" borderId="12" xfId="0" applyFont="1" applyFill="1" applyBorder="1" applyNumberFormat="1">
      <alignment horizontal="left" vertical="top" wrapText="1"/>
    </xf>
    <xf numFmtId="0" fontId="0"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49" fontId="22" fillId="40" borderId="36" xfId="0" applyFont="1" applyFill="1" applyBorder="1" applyNumberFormat="1">
      <alignment horizontal="center"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49" fontId="22" fillId="40" borderId="23"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29"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49" fontId="0" fillId="40" borderId="12" xfId="0" applyFont="1" applyFill="1" applyBorder="1" applyNumberFormat="1">
      <alignment horizontal="left" vertical="top"/>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240" fontId="0" fillId="0" borderId="12" xfId="0" applyFont="1" applyBorder="1" applyNumberFormat="1">
      <alignment horizontal="left" vertical="center" wrapText="1" inden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47"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48" fillId="0" borderId="0" xfId="0" applyFont="1" applyNumberFormat="1">
      <alignment vertical="center"/>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238" fontId="22" fillId="36" borderId="12" xfId="0" applyFont="1" applyFill="1" applyBorder="1" applyNumberFormat="1">
      <alignment horizontal="right" vertical="center" wrapText="1"/>
      <protection locked="0"/>
    </xf>
    <xf numFmtId="240"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238" fontId="47" fillId="0" borderId="12" xfId="0" applyFont="1" applyBorder="1" applyNumberFormat="1">
      <alignment horizontal="right" vertical="center" wrapText="1"/>
    </xf>
    <xf numFmtId="240"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47" fillId="0" borderId="0" xfId="0" applyFont="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240"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240"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238"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238" fontId="22" fillId="36" borderId="23" xfId="0" applyFont="1" applyFill="1" applyBorder="1" applyNumberFormat="1">
      <alignment horizontal="right" vertical="center" wrapText="1"/>
      <protection locked="0"/>
    </xf>
    <xf numFmtId="240"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238"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24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238"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238"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238" fontId="48" fillId="0" borderId="12" xfId="0" applyFont="1" applyBorder="1" applyNumberFormat="1">
      <alignment horizontal="right" vertical="center" wrapText="1"/>
    </xf>
    <xf numFmtId="240"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24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24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4" fontId="22" fillId="36" borderId="12" xfId="0" applyFont="1" applyFill="1" applyBorder="1" applyNumberFormat="1">
      <alignment horizontal="right" vertical="center" wrapText="1"/>
      <protection locked="0"/>
    </xf>
    <xf numFmtId="238" fontId="22" fillId="36" borderId="12" xfId="0" applyFont="1" applyFill="1" applyBorder="1" applyNumberFormat="1">
      <alignment horizontal="right" vertical="center" wrapText="1"/>
      <protection locked="0"/>
    </xf>
    <xf numFmtId="24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0" borderId="12" xfId="0" applyFont="1" applyBorder="1" applyNumberFormat="1">
      <alignment horizontal="left" vertical="center" wrapText="1"/>
    </xf>
    <xf numFmtId="4" fontId="22" fillId="0" borderId="12" xfId="0" applyFont="1" applyBorder="1" applyNumberFormat="1">
      <alignment horizontal="righ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48" fillId="0" borderId="0" xfId="0" applyFont="1" applyNumberFormat="1">
      <alignment horizontal="center" vertical="center"/>
    </xf>
    <xf numFmtId="49" fontId="48"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47" fillId="0" borderId="0" xfId="0" applyFont="1" applyNumberFormat="1">
      <alignment vertical="center"/>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22" fillId="34" borderId="12" xfId="0" applyFont="1" applyFill="1" applyBorder="1" applyNumberFormat="1">
      <alignment horizontal="left" vertical="center" wrapText="1" indent="1"/>
    </xf>
    <xf numFmtId="240" fontId="22" fillId="34" borderId="12" xfId="0" applyFont="1" applyFill="1" applyBorder="1" applyNumberFormat="1">
      <alignment horizontal="left" vertical="center" wrapText="1" indent="1"/>
    </xf>
    <xf numFmtId="0" fontId="22" fillId="0" borderId="0" xfId="0" applyFont="1" applyNumberFormat="1">
      <alignment horizontal="right" vertical="center" wrapText="1"/>
    </xf>
    <xf numFmtId="0" fontId="48" fillId="0" borderId="0" xfId="0" applyFont="1" applyNumberFormat="1">
      <alignment vertical="center" wrapText="1"/>
    </xf>
    <xf numFmtId="0" fontId="37" fillId="0" borderId="27" xfId="0" applyFont="1" applyBorder="1" applyNumberFormat="1">
      <alignment horizontal="center" vertical="center" wrapText="1"/>
    </xf>
    <xf numFmtId="0" fontId="22" fillId="0" borderId="12" xfId="0" applyFont="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240" fontId="0" fillId="39" borderId="17"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0" fontId="47" fillId="0" borderId="0" xfId="0" applyFont="1" applyNumberFormat="1">
      <alignment horizontal="left" vertical="center" indent="1"/>
    </xf>
    <xf numFmtId="0" fontId="47" fillId="0" borderId="14" xfId="0" applyFont="1" applyBorder="1" applyNumberFormat="1">
      <alignment horizontal="center" vertical="center"/>
    </xf>
    <xf numFmtId="0" fontId="47" fillId="0" borderId="14" xfId="0" applyFont="1" applyBorder="1" applyNumberFormat="1">
      <alignment horizontal="center" vertical="center" wrapText="1"/>
    </xf>
    <xf numFmtId="0" fontId="47" fillId="0" borderId="12" xfId="0" applyFont="1" applyBorder="1" applyNumberFormat="1">
      <alignment horizontal="center" vertical="center" wrapText="1"/>
    </xf>
    <xf numFmtId="0" fontId="47" fillId="0" borderId="0" xfId="0" applyFont="1" applyNumberFormat="1">
      <alignment horizontal="center" vertical="center"/>
    </xf>
    <xf numFmtId="49" fontId="47" fillId="0" borderId="0" xfId="0" applyFont="1" applyNumberFormat="1">
      <alignment vertical="center" wrapText="1"/>
    </xf>
    <xf numFmtId="0" fontId="48" fillId="0" borderId="0" xfId="0" applyFont="1" applyNumberFormat="1">
      <alignment horizontal="center" vertical="center" wrapText="1"/>
    </xf>
    <xf numFmtId="0" fontId="36" fillId="0" borderId="0" xfId="0" applyFont="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xf>
    <xf numFmtId="0" fontId="22" fillId="35" borderId="12" xfId="0" applyFont="1" applyFill="1" applyBorder="1" applyNumberFormat="1">
      <alignment horizontal="left" vertical="center" wrapText="1" indent="5"/>
    </xf>
    <xf numFmtId="0" fontId="22" fillId="0" borderId="12" xfId="0" applyFont="1" applyBorder="1" applyNumberFormat="1">
      <alignment horizontal="left" vertical="center" wrapText="1" indent="6"/>
    </xf>
    <xf numFmtId="0" fontId="45" fillId="0" borderId="17" xfId="0" applyFont="1" applyBorder="1" applyNumberFormat="1">
      <alignment vertical="top" wrapText="1"/>
    </xf>
    <xf numFmtId="0" fontId="48" fillId="0" borderId="0" xfId="0" applyFont="1" applyNumberFormat="1">
      <alignment vertical="center"/>
    </xf>
    <xf numFmtId="49" fontId="0" fillId="0" borderId="0" xfId="0" applyFont="1" applyNumberFormat="1">
      <alignment vertical="top"/>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0" borderId="0" xfId="0" applyFont="1" applyNumberFormat="1">
      <alignment vertical="top"/>
    </xf>
    <xf numFmtId="0" fontId="48" fillId="0" borderId="24" xfId="0" applyFont="1" applyBorder="1" applyNumberFormat="1">
      <alignment horizontal="center" vertical="center"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5" fillId="0" borderId="12" xfId="0" applyFont="1" applyBorder="1" applyNumberFormat="1">
      <alignment vertical="top"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239"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46" fillId="0" borderId="0" xfId="0" applyFont="1" applyNumberFormat="1">
      <alignment vertical="center" wrapText="1"/>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239"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239"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239" fontId="22" fillId="34" borderId="13" xfId="0" applyFont="1" applyFill="1" applyBorder="1" applyNumberFormat="1">
      <alignment horizontal="right" vertical="center" wrapText="1"/>
    </xf>
    <xf numFmtId="239"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239"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8" fillId="0" borderId="17" xfId="0" applyFont="1" applyBorder="1" applyNumberFormat="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54" fillId="0" borderId="0" xfId="0" applyFont="1" applyNumberFormat="1">
      <alignment vertical="center"/>
    </xf>
    <xf numFmtId="0" fontId="91" fillId="0" borderId="0" xfId="0" applyFont="1" applyNumberFormat="1">
      <alignment vertical="center" wrapText="1"/>
    </xf>
    <xf numFmtId="49" fontId="91" fillId="0" borderId="0" xfId="0" applyFont="1" applyNumberFormat="1">
      <alignment horizontal="center"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240"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240" fontId="0" fillId="39" borderId="12" xfId="0" applyFont="1" applyFill="1" applyBorder="1" applyNumberFormat="1">
      <alignment horizontal="left" vertical="center" wrapText="1"/>
      <protection locked="0"/>
    </xf>
    <xf numFmtId="0" fontId="27" fillId="39" borderId="12" xfId="0" applyFont="1" applyFill="1" applyBorder="1" applyNumberFormat="1">
      <alignment horizontal="left" vertical="center" wrapText="1"/>
      <protection locked="0"/>
    </xf>
    <xf numFmtId="49" fontId="27"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240" fontId="0" fillId="39" borderId="13" xfId="0" applyFont="1" applyFill="1" applyBorder="1" applyNumberFormat="1">
      <alignment horizontal="left" vertical="center" wrapText="1"/>
      <protection locked="0"/>
    </xf>
    <xf numFmtId="240"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237" fontId="22" fillId="0" borderId="37" xfId="0" applyFont="1" applyBorder="1" applyNumberFormat="1">
      <alignment horizontal="center" vertical="center" wrapText="1"/>
    </xf>
    <xf numFmtId="237"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240" fontId="0" fillId="39" borderId="15" xfId="0" applyFont="1" applyFill="1" applyBorder="1" applyNumberFormat="1">
      <alignment horizontal="left" vertical="center" wrapText="1" indent="1"/>
      <protection locked="0"/>
    </xf>
    <xf numFmtId="241" fontId="22" fillId="39" borderId="12" xfId="0" applyFont="1" applyFill="1" applyBorder="1" applyNumberFormat="1">
      <alignment horizontal="left" vertical="center" wrapText="1" indent="1"/>
      <protection locked="0"/>
    </xf>
    <xf numFmtId="240" fontId="48" fillId="0" borderId="0" xfId="0" applyFont="1" applyNumberFormat="1">
      <alignment horizontal="center" vertical="center" wrapText="1"/>
    </xf>
    <xf numFmtId="237" fontId="22" fillId="0" borderId="17" xfId="0" applyFont="1" applyBorder="1" applyNumberFormat="1">
      <alignment horizontal="center" vertical="center" wrapText="1"/>
    </xf>
    <xf numFmtId="237" fontId="22" fillId="0" borderId="14" xfId="0" applyFont="1" applyBorder="1" applyNumberFormat="1">
      <alignment horizontal="center" vertical="center" wrapText="1"/>
    </xf>
    <xf numFmtId="237" fontId="22" fillId="0" borderId="15" xfId="0" applyFont="1" applyBorder="1" applyNumberFormat="1">
      <alignment horizontal="center" vertical="center" wrapText="1"/>
    </xf>
    <xf numFmtId="237"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237" fontId="22" fillId="0" borderId="23" xfId="0" applyFont="1" applyBorder="1" applyNumberFormat="1">
      <alignment horizontal="center" vertical="center" wrapText="1"/>
    </xf>
    <xf numFmtId="237"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237"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237" fontId="45" fillId="0" borderId="19" xfId="0" applyFont="1" applyBorder="1" applyNumberFormat="1">
      <alignment horizontal="center" vertical="center" wrapText="1"/>
    </xf>
    <xf numFmtId="237" fontId="45" fillId="0" borderId="19" xfId="0" applyFont="1" applyBorder="1" applyNumberFormat="1">
      <alignment horizontal="center" vertical="center" wrapText="1"/>
    </xf>
    <xf numFmtId="237"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237" fontId="22" fillId="0" borderId="12" xfId="0" applyFont="1" applyBorder="1" applyNumberFormat="1">
      <alignment horizontal="center" vertical="center" wrapText="1"/>
    </xf>
    <xf numFmtId="237" fontId="22" fillId="0" borderId="36" xfId="0" applyFont="1" applyBorder="1" applyNumberFormat="1">
      <alignment horizontal="center" vertical="center" wrapText="1"/>
    </xf>
    <xf numFmtId="237"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240"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240" fontId="0" fillId="39" borderId="12" xfId="0" applyFont="1" applyFill="1" applyBorder="1" applyNumberFormat="1">
      <alignment horizontal="center" vertical="top" wrapText="1"/>
      <protection locked="0"/>
    </xf>
    <xf numFmtId="240"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7" fillId="0" borderId="0" xfId="0" applyFont="1" applyNumberFormat="1">
      <alignment horizontal="center" vertical="top"/>
    </xf>
    <xf numFmtId="49" fontId="22" fillId="0" borderId="23" xfId="0" applyFont="1" applyBorder="1" applyNumberFormat="1">
      <alignment horizontal="center" vertical="center" wrapTex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240"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240"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240" fontId="0" fillId="39" borderId="12" xfId="0" applyFont="1" applyFill="1" applyBorder="1" applyNumberFormat="1">
      <alignment horizontal="left" vertical="center" wrapText="1" indent="1"/>
      <protection locked="0"/>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24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240"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237" fontId="22" fillId="0" borderId="14" xfId="0" applyFont="1" applyBorder="1" applyNumberFormat="1">
      <alignment horizontal="center" vertical="center" wrapText="1"/>
    </xf>
    <xf numFmtId="237"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40" borderId="12" xfId="0" applyFont="1" applyFill="1" applyBorder="1" applyNumberFormat="1">
      <alignment horizontal="left" vertical="top" wrapText="1"/>
    </xf>
    <xf numFmtId="0" fontId="0"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49" fontId="22" fillId="40" borderId="36" xfId="0" applyFont="1" applyFill="1" applyBorder="1" applyNumberFormat="1">
      <alignment horizontal="center"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49" fontId="22" fillId="40" borderId="23"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29"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49" fontId="0" fillId="40" borderId="12" xfId="0" applyFont="1" applyFill="1" applyBorder="1" applyNumberFormat="1">
      <alignment horizontal="left" vertical="top"/>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240" fontId="0" fillId="0" borderId="12" xfId="0" applyFont="1" applyBorder="1" applyNumberFormat="1">
      <alignment horizontal="left" vertical="center" wrapText="1" inden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238" fontId="22" fillId="36" borderId="12" xfId="0" applyFont="1" applyFill="1" applyBorder="1" applyNumberFormat="1">
      <alignment horizontal="right" vertical="center" wrapText="1"/>
      <protection locked="0"/>
    </xf>
    <xf numFmtId="240"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238" fontId="47" fillId="0" borderId="12" xfId="0" applyFont="1" applyBorder="1" applyNumberFormat="1">
      <alignment horizontal="right" vertical="center" wrapText="1"/>
    </xf>
    <xf numFmtId="240"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240"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240"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238"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238" fontId="22" fillId="36" borderId="23" xfId="0" applyFont="1" applyFill="1" applyBorder="1" applyNumberFormat="1">
      <alignment horizontal="right" vertical="center" wrapText="1"/>
      <protection locked="0"/>
    </xf>
    <xf numFmtId="240"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238"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24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238"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238"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238" fontId="48" fillId="0" borderId="12" xfId="0" applyFont="1" applyBorder="1" applyNumberFormat="1">
      <alignment horizontal="right" vertical="center" wrapText="1"/>
    </xf>
    <xf numFmtId="240"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24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24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4" fontId="22" fillId="36" borderId="12" xfId="0" applyFont="1" applyFill="1" applyBorder="1" applyNumberFormat="1">
      <alignment horizontal="right" vertical="center" wrapText="1"/>
      <protection locked="0"/>
    </xf>
    <xf numFmtId="238" fontId="22" fillId="36" borderId="12" xfId="0" applyFont="1" applyFill="1" applyBorder="1" applyNumberFormat="1">
      <alignment horizontal="right" vertical="center" wrapText="1"/>
      <protection locked="0"/>
    </xf>
    <xf numFmtId="24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0" borderId="12" xfId="0" applyFont="1" applyBorder="1" applyNumberFormat="1">
      <alignment horizontal="left" vertical="center" wrapText="1"/>
    </xf>
    <xf numFmtId="4" fontId="22" fillId="0" borderId="12" xfId="0" applyFont="1" applyBorder="1" applyNumberFormat="1">
      <alignment horizontal="righ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48" fillId="0" borderId="0" xfId="0" applyFont="1" applyNumberFormat="1">
      <alignment horizontal="center" vertical="center"/>
    </xf>
    <xf numFmtId="49" fontId="48"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47" fillId="0" borderId="0" xfId="0" applyFont="1" applyNumberFormat="1">
      <alignment vertical="center"/>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22" fillId="34" borderId="12" xfId="0" applyFont="1" applyFill="1" applyBorder="1" applyNumberFormat="1">
      <alignment horizontal="left" vertical="center" wrapText="1" indent="1"/>
    </xf>
    <xf numFmtId="240" fontId="22" fillId="34" borderId="12" xfId="0" applyFont="1" applyFill="1" applyBorder="1" applyNumberFormat="1">
      <alignment horizontal="left" vertical="center" wrapText="1" indent="1"/>
    </xf>
    <xf numFmtId="0" fontId="22" fillId="0" borderId="0" xfId="0" applyFont="1" applyNumberFormat="1">
      <alignment horizontal="right" vertical="center" wrapText="1"/>
    </xf>
    <xf numFmtId="0" fontId="48" fillId="0" borderId="0" xfId="0" applyFont="1" applyNumberFormat="1">
      <alignment vertical="center" wrapText="1"/>
    </xf>
    <xf numFmtId="0" fontId="37" fillId="0" borderId="27" xfId="0" applyFont="1" applyBorder="1" applyNumberFormat="1">
      <alignment horizontal="center" vertical="center" wrapText="1"/>
    </xf>
    <xf numFmtId="0" fontId="22" fillId="0" borderId="12" xfId="0" applyFont="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240" fontId="0" fillId="39" borderId="17"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0" fontId="47" fillId="0" borderId="0" xfId="0" applyFont="1" applyNumberFormat="1">
      <alignment horizontal="left" vertical="center" indent="1"/>
    </xf>
    <xf numFmtId="0" fontId="47" fillId="0" borderId="14" xfId="0" applyFont="1" applyBorder="1" applyNumberFormat="1">
      <alignment horizontal="center" vertical="center"/>
    </xf>
    <xf numFmtId="0" fontId="47" fillId="0" borderId="14" xfId="0" applyFont="1" applyBorder="1" applyNumberFormat="1">
      <alignment horizontal="center" vertical="center" wrapText="1"/>
    </xf>
    <xf numFmtId="0" fontId="47" fillId="0" borderId="12" xfId="0" applyFont="1" applyBorder="1" applyNumberFormat="1">
      <alignment horizontal="center" vertical="center" wrapText="1"/>
    </xf>
    <xf numFmtId="0" fontId="47" fillId="0" borderId="0" xfId="0" applyFont="1" applyNumberFormat="1">
      <alignment horizontal="center" vertical="center"/>
    </xf>
    <xf numFmtId="49" fontId="47" fillId="0" borderId="0" xfId="0" applyFont="1" applyNumberFormat="1">
      <alignment vertical="center" wrapText="1"/>
    </xf>
    <xf numFmtId="0" fontId="48" fillId="0" borderId="0" xfId="0" applyFont="1" applyNumberFormat="1">
      <alignment horizontal="center" vertical="center" wrapText="1"/>
    </xf>
    <xf numFmtId="0" fontId="36" fillId="0" borderId="0" xfId="0" applyFont="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xf>
    <xf numFmtId="0" fontId="22" fillId="35" borderId="12" xfId="0" applyFont="1" applyFill="1" applyBorder="1" applyNumberFormat="1">
      <alignment horizontal="left" vertical="center" wrapText="1" indent="5"/>
    </xf>
    <xf numFmtId="0" fontId="22" fillId="0" borderId="12" xfId="0" applyFont="1" applyBorder="1" applyNumberFormat="1">
      <alignment horizontal="left" vertical="center" wrapText="1" indent="6"/>
    </xf>
    <xf numFmtId="0" fontId="45" fillId="0" borderId="17" xfId="0" applyFont="1" applyBorder="1" applyNumberFormat="1">
      <alignment vertical="top" wrapText="1"/>
    </xf>
    <xf numFmtId="0" fontId="48" fillId="0" borderId="0" xfId="0" applyFont="1" applyNumberFormat="1">
      <alignment vertical="center"/>
    </xf>
    <xf numFmtId="49" fontId="0" fillId="0" borderId="0" xfId="0" applyFont="1" applyNumberFormat="1">
      <alignment vertical="top"/>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0" borderId="0" xfId="0" applyFont="1" applyNumberFormat="1">
      <alignment vertical="top"/>
    </xf>
    <xf numFmtId="0" fontId="48" fillId="0" borderId="24" xfId="0" applyFont="1" applyBorder="1" applyNumberFormat="1">
      <alignment horizontal="center" vertical="center"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5" fillId="0" borderId="12" xfId="0" applyFont="1" applyBorder="1" applyNumberFormat="1">
      <alignment vertical="top"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239"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46" fillId="0" borderId="0" xfId="0" applyFont="1" applyNumberFormat="1">
      <alignment vertical="center" wrapText="1"/>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239"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239"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239" fontId="22" fillId="34" borderId="13" xfId="0" applyFont="1" applyFill="1" applyBorder="1" applyNumberFormat="1">
      <alignment horizontal="right" vertical="center" wrapText="1"/>
    </xf>
    <xf numFmtId="239"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239"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8" fillId="0" borderId="17" xfId="0" applyFont="1" applyBorder="1" applyNumberFormat="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54" fillId="0" borderId="0" xfId="0" applyFont="1" applyNumberFormat="1">
      <alignment vertical="center"/>
    </xf>
    <xf numFmtId="0" fontId="91" fillId="0" borderId="0" xfId="0" applyFont="1" applyNumberFormat="1">
      <alignment vertical="center" wrapText="1"/>
    </xf>
    <xf numFmtId="49" fontId="91" fillId="0" borderId="0" xfId="0" applyFont="1" applyNumberFormat="1">
      <alignment horizontal="center"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240"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240" fontId="0" fillId="39" borderId="12" xfId="0" applyFont="1" applyFill="1" applyBorder="1" applyNumberFormat="1">
      <alignment horizontal="left" vertical="center" wrapText="1"/>
      <protection locked="0"/>
    </xf>
    <xf numFmtId="0" fontId="27" fillId="39" borderId="12" xfId="0" applyFont="1" applyFill="1" applyBorder="1" applyNumberFormat="1">
      <alignment horizontal="left" vertical="center" wrapText="1"/>
      <protection locked="0"/>
    </xf>
    <xf numFmtId="49" fontId="27"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240" fontId="0" fillId="39" borderId="13" xfId="0" applyFont="1" applyFill="1" applyBorder="1" applyNumberFormat="1">
      <alignment horizontal="left" vertical="center" wrapText="1"/>
      <protection locked="0"/>
    </xf>
    <xf numFmtId="240"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237" fontId="22" fillId="0" borderId="37" xfId="0" applyFont="1" applyBorder="1" applyNumberFormat="1">
      <alignment horizontal="center" vertical="center" wrapText="1"/>
    </xf>
    <xf numFmtId="237"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240" fontId="0" fillId="39" borderId="15" xfId="0" applyFont="1" applyFill="1" applyBorder="1" applyNumberFormat="1">
      <alignment horizontal="left" vertical="center" wrapText="1" indent="1"/>
      <protection locked="0"/>
    </xf>
    <xf numFmtId="241" fontId="22" fillId="39" borderId="12" xfId="0" applyFont="1" applyFill="1" applyBorder="1" applyNumberFormat="1">
      <alignment horizontal="left" vertical="center" wrapText="1" indent="1"/>
      <protection locked="0"/>
    </xf>
    <xf numFmtId="240" fontId="48" fillId="0" borderId="0" xfId="0" applyFont="1" applyNumberFormat="1">
      <alignment horizontal="center" vertical="center" wrapText="1"/>
    </xf>
    <xf numFmtId="237" fontId="22" fillId="0" borderId="17" xfId="0" applyFont="1" applyBorder="1" applyNumberFormat="1">
      <alignment horizontal="center" vertical="center" wrapText="1"/>
    </xf>
    <xf numFmtId="237" fontId="22" fillId="0" borderId="14" xfId="0" applyFont="1" applyBorder="1" applyNumberFormat="1">
      <alignment horizontal="center" vertical="center" wrapText="1"/>
    </xf>
    <xf numFmtId="237" fontId="22" fillId="0" borderId="15" xfId="0" applyFont="1" applyBorder="1" applyNumberFormat="1">
      <alignment horizontal="center" vertical="center" wrapText="1"/>
    </xf>
    <xf numFmtId="237"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237" fontId="22" fillId="0" borderId="23" xfId="0" applyFont="1" applyBorder="1" applyNumberFormat="1">
      <alignment horizontal="center" vertical="center" wrapText="1"/>
    </xf>
    <xf numFmtId="237"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237"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237" fontId="45" fillId="0" borderId="19" xfId="0" applyFont="1" applyBorder="1" applyNumberFormat="1">
      <alignment horizontal="center" vertical="center" wrapText="1"/>
    </xf>
    <xf numFmtId="237" fontId="45" fillId="0" borderId="19" xfId="0" applyFont="1" applyBorder="1" applyNumberFormat="1">
      <alignment horizontal="center" vertical="center" wrapText="1"/>
    </xf>
    <xf numFmtId="237"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237" fontId="22" fillId="0" borderId="12" xfId="0" applyFont="1" applyBorder="1" applyNumberFormat="1">
      <alignment horizontal="center" vertical="center" wrapText="1"/>
    </xf>
    <xf numFmtId="237" fontId="22" fillId="0" borderId="36" xfId="0" applyFont="1" applyBorder="1" applyNumberFormat="1">
      <alignment horizontal="center" vertical="center" wrapText="1"/>
    </xf>
    <xf numFmtId="237"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240"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240" fontId="0" fillId="39" borderId="12" xfId="0" applyFont="1" applyFill="1" applyBorder="1" applyNumberFormat="1">
      <alignment horizontal="center" vertical="top" wrapText="1"/>
      <protection locked="0"/>
    </xf>
    <xf numFmtId="240"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7" fillId="0" borderId="0" xfId="0" applyFont="1" applyNumberFormat="1">
      <alignment horizontal="center" vertical="top"/>
    </xf>
    <xf numFmtId="49" fontId="22" fillId="0" borderId="23" xfId="0" applyFont="1" applyBorder="1" applyNumberFormat="1">
      <alignment horizontal="center" vertical="center" wrapTex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240"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240"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240" fontId="0" fillId="39" borderId="12" xfId="0" applyFont="1" applyFill="1" applyBorder="1" applyNumberFormat="1">
      <alignment horizontal="left" vertical="center" wrapText="1" indent="1"/>
      <protection locked="0"/>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24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240"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237" fontId="22" fillId="0" borderId="14" xfId="0" applyFont="1" applyBorder="1" applyNumberFormat="1">
      <alignment horizontal="center" vertical="center" wrapText="1"/>
    </xf>
    <xf numFmtId="237"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40" borderId="12" xfId="0" applyFont="1" applyFill="1" applyBorder="1" applyNumberFormat="1">
      <alignment horizontal="left" vertical="top" wrapText="1"/>
    </xf>
    <xf numFmtId="0" fontId="0"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49" fontId="22" fillId="40" borderId="36" xfId="0" applyFont="1" applyFill="1" applyBorder="1" applyNumberFormat="1">
      <alignment horizontal="center"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49" fontId="22" fillId="40" borderId="23"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29" xfId="0" applyFont="1" applyFill="1" applyBorder="1" applyNumberFormat="1">
      <alignment horizontal="left" vertical="center"/>
    </xf>
    <xf numFmtId="49" fontId="0" fillId="0" borderId="0" xfId="0" applyFont="1" applyNumberFormat="1">
      <alignment vertical="center"/>
    </xf>
    <xf numFmtId="0" fontId="0" fillId="0" borderId="0" xfId="0" applyFont="1" applyNumberFormat="1">
      <alignment vertical="center"/>
    </xf>
    <xf numFmtId="0" fontId="37" fillId="0" borderId="0" xfId="0" applyFont="1" applyNumberFormat="1">
      <alignment horizontal="center" vertical="center" wrapText="1"/>
    </xf>
    <xf numFmtId="49" fontId="0" fillId="0" borderId="36" xfId="0" applyFont="1" applyBorder="1" applyNumberFormat="1">
      <alignment vertical="top"/>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vertical="top"/>
      <protection locked="0"/>
    </xf>
    <xf numFmtId="0" fontId="0" fillId="40" borderId="12" xfId="0" applyFont="1" applyFill="1" applyBorder="1" applyNumberFormat="1">
      <alignment horizontal="left" vertical="center" wrapText="1"/>
    </xf>
    <xf numFmtId="49" fontId="22" fillId="40" borderId="17" xfId="0" applyFont="1" applyFill="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49" fontId="22" fillId="36" borderId="12" xfId="0" applyFont="1" applyFill="1" applyBorder="1" applyNumberFormat="1">
      <alignment horizontal="left" vertical="center" wrapText="1"/>
      <protection locked="0"/>
    </xf>
    <xf numFmtId="0" fontId="22" fillId="0" borderId="0" xfId="0" applyFont="1" applyNumberFormat="1">
      <alignment horizontal="left" vertical="center" indent="1"/>
    </xf>
    <xf numFmtId="0" fontId="0" fillId="0" borderId="0" xfId="0" applyFont="1" applyNumberFormat="1">
      <alignment horizontal="left" vertical="center" indent="1"/>
    </xf>
    <xf numFmtId="0" fontId="0" fillId="0" borderId="0" xfId="0" applyFont="1" applyNumberFormat="1">
      <alignment vertical="center"/>
    </xf>
    <xf numFmtId="49" fontId="22" fillId="40" borderId="36" xfId="0" applyFont="1" applyFill="1" applyBorder="1" applyNumberFormat="1">
      <alignment horizontal="center"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49" fontId="0" fillId="0" borderId="12" xfId="0" applyFont="1" applyBorder="1" applyNumberFormat="1">
      <alignment vertical="top"/>
    </xf>
    <xf numFmtId="49" fontId="0" fillId="40" borderId="12" xfId="0" applyFont="1" applyFill="1" applyBorder="1" applyNumberFormat="1">
      <alignment horizontal="left"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40" fillId="37" borderId="29" xfId="0" applyFont="1" applyFill="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49" fontId="0" fillId="40" borderId="12" xfId="0" applyFont="1" applyFill="1" applyBorder="1" applyNumberFormat="1">
      <alignment horizontal="left" vertical="top"/>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240" fontId="0" fillId="0" borderId="12" xfId="0" applyFont="1" applyBorder="1" applyNumberFormat="1">
      <alignment horizontal="left" vertical="center" wrapText="1" inden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238" fontId="22" fillId="36" borderId="12" xfId="0" applyFont="1" applyFill="1" applyBorder="1" applyNumberFormat="1">
      <alignment horizontal="right" vertical="center" wrapText="1"/>
      <protection locked="0"/>
    </xf>
    <xf numFmtId="240"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238" fontId="47" fillId="0" borderId="12" xfId="0" applyFont="1" applyBorder="1" applyNumberFormat="1">
      <alignment horizontal="right" vertical="center" wrapText="1"/>
    </xf>
    <xf numFmtId="240"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240"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240"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238"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238" fontId="22" fillId="36" borderId="23" xfId="0" applyFont="1" applyFill="1" applyBorder="1" applyNumberFormat="1">
      <alignment horizontal="right" vertical="center" wrapText="1"/>
      <protection locked="0"/>
    </xf>
    <xf numFmtId="240"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238"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24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238"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238"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238" fontId="48" fillId="0" borderId="12" xfId="0" applyFont="1" applyBorder="1" applyNumberFormat="1">
      <alignment horizontal="right" vertical="center" wrapText="1"/>
    </xf>
    <xf numFmtId="240"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24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24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4" fontId="22" fillId="36" borderId="12" xfId="0" applyFont="1" applyFill="1" applyBorder="1" applyNumberFormat="1">
      <alignment horizontal="right" vertical="center" wrapText="1"/>
      <protection locked="0"/>
    </xf>
    <xf numFmtId="238" fontId="22" fillId="36" borderId="12" xfId="0" applyFont="1" applyFill="1" applyBorder="1" applyNumberFormat="1">
      <alignment horizontal="right" vertical="center" wrapText="1"/>
      <protection locked="0"/>
    </xf>
    <xf numFmtId="24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0" borderId="12" xfId="0" applyFont="1" applyBorder="1" applyNumberFormat="1">
      <alignment horizontal="left" vertical="center" wrapText="1"/>
    </xf>
    <xf numFmtId="4" fontId="22" fillId="0" borderId="12" xfId="0" applyFont="1" applyBorder="1" applyNumberFormat="1">
      <alignment horizontal="righ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48" fillId="0" borderId="0" xfId="0" applyFont="1" applyNumberFormat="1">
      <alignment horizontal="center" vertical="center"/>
    </xf>
    <xf numFmtId="49" fontId="48"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47" fillId="0" borderId="0" xfId="0" applyFont="1" applyNumberFormat="1">
      <alignment vertical="center"/>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22" fillId="34" borderId="12" xfId="0" applyFont="1" applyFill="1" applyBorder="1" applyNumberFormat="1">
      <alignment horizontal="left" vertical="center" wrapText="1" indent="1"/>
    </xf>
    <xf numFmtId="240" fontId="22" fillId="34" borderId="12" xfId="0" applyFont="1" applyFill="1" applyBorder="1" applyNumberFormat="1">
      <alignment horizontal="left" vertical="center" wrapText="1" indent="1"/>
    </xf>
    <xf numFmtId="0" fontId="22" fillId="0" borderId="0" xfId="0" applyFont="1" applyNumberFormat="1">
      <alignment horizontal="right" vertical="center" wrapText="1"/>
    </xf>
    <xf numFmtId="0" fontId="48" fillId="0" borderId="0" xfId="0" applyFont="1" applyNumberFormat="1">
      <alignment vertical="center" wrapText="1"/>
    </xf>
    <xf numFmtId="0" fontId="37" fillId="0" borderId="27" xfId="0" applyFont="1" applyBorder="1" applyNumberFormat="1">
      <alignment horizontal="center" vertical="center" wrapText="1"/>
    </xf>
    <xf numFmtId="0" fontId="22" fillId="0" borderId="12" xfId="0" applyFont="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240" fontId="0" fillId="39" borderId="17" xfId="0" applyFont="1" applyFill="1" applyBorder="1" applyNumberFormat="1">
      <alignment horizontal="center" vertical="center" wrapText="1"/>
      <protection locked="0"/>
    </xf>
    <xf numFmtId="240" fontId="0" fillId="39" borderId="12" xfId="0" applyFont="1" applyFill="1" applyBorder="1" applyNumberFormat="1">
      <alignment horizontal="center" vertical="center" wrapText="1"/>
      <protection locked="0"/>
    </xf>
    <xf numFmtId="240" fontId="0" fillId="39" borderId="17"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0" fontId="47" fillId="0" borderId="0" xfId="0" applyFont="1" applyNumberFormat="1">
      <alignment horizontal="left" vertical="center" indent="1"/>
    </xf>
    <xf numFmtId="0" fontId="47" fillId="0" borderId="14" xfId="0" applyFont="1" applyBorder="1" applyNumberFormat="1">
      <alignment horizontal="center" vertical="center"/>
    </xf>
    <xf numFmtId="0" fontId="47" fillId="0" borderId="14" xfId="0" applyFont="1" applyBorder="1" applyNumberFormat="1">
      <alignment horizontal="center" vertical="center" wrapText="1"/>
    </xf>
    <xf numFmtId="0" fontId="47" fillId="0" borderId="12" xfId="0" applyFont="1" applyBorder="1" applyNumberFormat="1">
      <alignment horizontal="center" vertical="center" wrapText="1"/>
    </xf>
    <xf numFmtId="0" fontId="47" fillId="0" borderId="0" xfId="0" applyFont="1" applyNumberFormat="1">
      <alignment horizontal="center" vertical="center"/>
    </xf>
    <xf numFmtId="49" fontId="47" fillId="0" borderId="0" xfId="0" applyFont="1" applyNumberFormat="1">
      <alignment vertical="center" wrapText="1"/>
    </xf>
    <xf numFmtId="0" fontId="48" fillId="0" borderId="0" xfId="0" applyFont="1" applyNumberFormat="1">
      <alignment horizontal="center" vertical="center" wrapText="1"/>
    </xf>
    <xf numFmtId="0" fontId="36" fillId="0" borderId="0" xfId="0" applyFont="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xf>
    <xf numFmtId="0" fontId="22" fillId="35" borderId="12" xfId="0" applyFont="1" applyFill="1" applyBorder="1" applyNumberFormat="1">
      <alignment horizontal="left" vertical="center" wrapText="1" indent="5"/>
    </xf>
    <xf numFmtId="0" fontId="22" fillId="0" borderId="12" xfId="0" applyFont="1" applyBorder="1" applyNumberFormat="1">
      <alignment horizontal="left" vertical="center" wrapText="1" indent="6"/>
    </xf>
    <xf numFmtId="0" fontId="45" fillId="0" borderId="17" xfId="0" applyFont="1" applyBorder="1" applyNumberFormat="1">
      <alignment vertical="top" wrapText="1"/>
    </xf>
    <xf numFmtId="0" fontId="48" fillId="0" borderId="0" xfId="0" applyFont="1" applyNumberFormat="1">
      <alignment vertical="center"/>
    </xf>
    <xf numFmtId="49" fontId="0" fillId="0" borderId="0" xfId="0" applyFont="1" applyNumberFormat="1">
      <alignment vertical="top"/>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0" borderId="0" xfId="0" applyFont="1" applyNumberFormat="1">
      <alignment vertical="top"/>
    </xf>
    <xf numFmtId="0" fontId="48" fillId="0" borderId="24" xfId="0" applyFont="1" applyBorder="1" applyNumberFormat="1">
      <alignment horizontal="center" vertical="center"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5" fillId="0" borderId="12" xfId="0" applyFont="1" applyBorder="1" applyNumberFormat="1">
      <alignment vertical="top"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0" borderId="0" xfId="0" applyFont="1" applyNumberFormat="1">
      <alignment vertical="top"/>
    </xf>
    <xf numFmtId="0" fontId="47" fillId="0" borderId="0" xfId="0" applyFont="1" applyNumberFormat="1">
      <alignment horizontal="left" vertical="center" indent="1"/>
    </xf>
    <xf numFmtId="0" fontId="47" fillId="0" borderId="14" xfId="0" applyFont="1" applyBorder="1" applyNumberFormat="1">
      <alignment horizontal="center" vertical="center"/>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xf>
    <xf numFmtId="0" fontId="22" fillId="35" borderId="12" xfId="0" applyFont="1" applyFill="1" applyBorder="1" applyNumberFormat="1">
      <alignment horizontal="left" vertical="center" wrapText="1" inden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8" fillId="0" borderId="0" xfId="0" applyFont="1" applyNumberFormat="1">
      <alignment vertical="center" wrapText="1"/>
    </xf>
    <xf numFmtId="0" fontId="48" fillId="0" borderId="0" xfId="0" applyFont="1" applyNumberFormat="1">
      <alignment vertical="center"/>
    </xf>
    <xf numFmtId="0" fontId="22"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49" fontId="0" fillId="0" borderId="0" xfId="0" applyFont="1" applyNumberFormat="1">
      <alignment vertical="top"/>
    </xf>
    <xf numFmtId="0" fontId="47" fillId="0" borderId="12" xfId="0" applyFont="1" applyBorder="1" applyNumberFormat="1">
      <alignment horizontal="center" vertical="center" wrapText="1"/>
    </xf>
    <xf numFmtId="49" fontId="47" fillId="0" borderId="0" xfId="0" applyFont="1" applyNumberFormat="1">
      <alignment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0" fillId="0" borderId="0" xfId="0" applyFont="1" applyNumberFormat="1">
      <alignment vertical="top"/>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5" fillId="0" borderId="17" xfId="0" applyFont="1" applyBorder="1" applyNumberFormat="1">
      <alignment vertical="top" wrapText="1"/>
    </xf>
    <xf numFmtId="49" fontId="0" fillId="0" borderId="0" xfId="0" applyFont="1" applyNumberFormat="1">
      <alignment vertical="top"/>
    </xf>
    <xf numFmtId="49" fontId="22" fillId="36" borderId="12" xfId="0" applyFont="1" applyFill="1" applyBorder="1" applyNumberFormat="1">
      <alignment horizontal="left" vertical="center" wrapText="1" indent="6"/>
      <protection locked="0"/>
    </xf>
    <xf numFmtId="4" fontId="22" fillId="36" borderId="12" xfId="0" applyFont="1" applyFill="1" applyBorder="1" applyNumberFormat="1">
      <alignment horizontal="right" vertical="center" wrapText="1"/>
      <protection locked="0"/>
    </xf>
    <xf numFmtId="238" fontId="22" fillId="36" borderId="12" xfId="0" applyFont="1" applyFill="1" applyBorder="1" applyNumberFormat="1">
      <alignment horizontal="right" vertical="center" wrapText="1"/>
      <protection locked="0"/>
    </xf>
    <xf numFmtId="49" fontId="22" fillId="40" borderId="12" xfId="0" applyFont="1" applyFill="1" applyBorder="1" applyNumberFormat="1">
      <alignment horizontal="center" vertical="center" wrapText="1"/>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22" fillId="0" borderId="12" xfId="0" applyFont="1" applyBorder="1" applyNumberFormat="1">
      <alignment horizontal="righ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4" fontId="22" fillId="0" borderId="30" xfId="0" applyFont="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0" fontId="47" fillId="0" borderId="0" xfId="0" applyFont="1" applyNumberFormat="1">
      <alignment vertical="center" wrapText="1"/>
    </xf>
    <xf numFmtId="49" fontId="22" fillId="0" borderId="0" xfId="0" applyFont="1" applyNumberFormat="1">
      <alignment vertical="top"/>
    </xf>
    <xf numFmtId="49" fontId="39" fillId="0" borderId="0" xfId="0" applyFont="1" applyNumberFormat="1">
      <alignment vertical="top"/>
    </xf>
    <xf numFmtId="49" fontId="22" fillId="0" borderId="24" xfId="0" applyFont="1" applyBorder="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horizontal="left" vertical="center"/>
    </xf>
    <xf numFmtId="49" fontId="48" fillId="0" borderId="0" xfId="0" applyFont="1" applyNumberFormat="1">
      <alignment vertical="top"/>
    </xf>
    <xf numFmtId="49" fontId="107" fillId="0" borderId="0" xfId="0" applyFont="1" applyNumberFormat="1">
      <alignment vertical="top"/>
    </xf>
    <xf numFmtId="49" fontId="97" fillId="0" borderId="0" xfId="0" applyFont="1" applyNumberFormat="1">
      <alignment horizontal="left" vertical="center"/>
    </xf>
    <xf numFmtId="49" fontId="48" fillId="0" borderId="0" xfId="0" applyFont="1" applyNumberFormat="1">
      <alignment horizontal="left" vertical="center" indent="1"/>
    </xf>
    <xf numFmtId="49" fontId="48" fillId="0" borderId="0" xfId="0" applyFont="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239"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46" fillId="0" borderId="0" xfId="0" applyFont="1" applyNumberFormat="1">
      <alignment vertical="center" wrapText="1"/>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239"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239"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239" fontId="22" fillId="34" borderId="13" xfId="0" applyFont="1" applyFill="1" applyBorder="1" applyNumberFormat="1">
      <alignment horizontal="right" vertical="center" wrapText="1"/>
    </xf>
    <xf numFmtId="239"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239"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8" fillId="0" borderId="17" xfId="0" applyFont="1" applyBorder="1" applyNumberFormat="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54" fillId="0" borderId="0" xfId="0" applyFont="1" applyNumberFormat="1">
      <alignment vertical="center"/>
    </xf>
    <xf numFmtId="0" fontId="91" fillId="0" borderId="0" xfId="0" applyFont="1" applyNumberFormat="1">
      <alignment vertical="center" wrapText="1"/>
    </xf>
    <xf numFmtId="49" fontId="91" fillId="0" borderId="0" xfId="0" applyFont="1" applyNumberFormat="1">
      <alignment horizontal="center"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240"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240" fontId="0" fillId="39" borderId="12" xfId="0" applyFont="1" applyFill="1" applyBorder="1" applyNumberFormat="1">
      <alignment horizontal="left" vertical="center" wrapText="1"/>
      <protection locked="0"/>
    </xf>
    <xf numFmtId="0" fontId="27" fillId="39" borderId="12" xfId="0" applyFont="1" applyFill="1" applyBorder="1" applyNumberFormat="1">
      <alignment horizontal="left" vertical="center" wrapText="1"/>
      <protection locked="0"/>
    </xf>
    <xf numFmtId="49" fontId="27"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240" fontId="0" fillId="39" borderId="13" xfId="0" applyFont="1" applyFill="1" applyBorder="1" applyNumberFormat="1">
      <alignment horizontal="left" vertical="center" wrapText="1"/>
      <protection locked="0"/>
    </xf>
    <xf numFmtId="240"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237" fontId="22" fillId="0" borderId="37" xfId="0" applyFont="1" applyBorder="1" applyNumberFormat="1">
      <alignment horizontal="center" vertical="center" wrapText="1"/>
    </xf>
    <xf numFmtId="237"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240" fontId="0" fillId="39" borderId="15" xfId="0" applyFont="1" applyFill="1" applyBorder="1" applyNumberFormat="1">
      <alignment horizontal="left" vertical="center" wrapText="1" indent="1"/>
      <protection locked="0"/>
    </xf>
    <xf numFmtId="241" fontId="22" fillId="39" borderId="12" xfId="0" applyFont="1" applyFill="1" applyBorder="1" applyNumberFormat="1">
      <alignment horizontal="left" vertical="center" wrapText="1" indent="1"/>
      <protection locked="0"/>
    </xf>
    <xf numFmtId="240" fontId="48" fillId="0" borderId="0" xfId="0" applyFont="1" applyNumberFormat="1">
      <alignment horizontal="center" vertical="center" wrapText="1"/>
    </xf>
    <xf numFmtId="237" fontId="22" fillId="0" borderId="17" xfId="0" applyFont="1" applyBorder="1" applyNumberFormat="1">
      <alignment horizontal="center" vertical="center" wrapText="1"/>
    </xf>
    <xf numFmtId="237" fontId="22" fillId="0" borderId="14" xfId="0" applyFont="1" applyBorder="1" applyNumberFormat="1">
      <alignment horizontal="center" vertical="center" wrapText="1"/>
    </xf>
    <xf numFmtId="237" fontId="22" fillId="0" borderId="15" xfId="0" applyFont="1" applyBorder="1" applyNumberFormat="1">
      <alignment horizontal="center" vertical="center" wrapText="1"/>
    </xf>
    <xf numFmtId="237"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237" fontId="22" fillId="0" borderId="23" xfId="0" applyFont="1" applyBorder="1" applyNumberFormat="1">
      <alignment horizontal="center" vertical="center" wrapText="1"/>
    </xf>
    <xf numFmtId="237"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237"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237" fontId="45" fillId="0" borderId="19" xfId="0" applyFont="1" applyBorder="1" applyNumberFormat="1">
      <alignment horizontal="center" vertical="center" wrapText="1"/>
    </xf>
    <xf numFmtId="237" fontId="45" fillId="0" borderId="19" xfId="0" applyFont="1" applyBorder="1" applyNumberFormat="1">
      <alignment horizontal="center" vertical="center" wrapText="1"/>
    </xf>
    <xf numFmtId="237"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237" fontId="22" fillId="0" borderId="12" xfId="0" applyFont="1" applyBorder="1" applyNumberFormat="1">
      <alignment horizontal="center" vertical="center" wrapText="1"/>
    </xf>
    <xf numFmtId="237" fontId="22" fillId="0" borderId="36" xfId="0" applyFont="1" applyBorder="1" applyNumberFormat="1">
      <alignment horizontal="center" vertical="center" wrapText="1"/>
    </xf>
    <xf numFmtId="237"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240"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240" fontId="0" fillId="39" borderId="12" xfId="0" applyFont="1" applyFill="1" applyBorder="1" applyNumberFormat="1">
      <alignment horizontal="center" vertical="top" wrapText="1"/>
      <protection locked="0"/>
    </xf>
    <xf numFmtId="240"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7" fillId="0" borderId="0" xfId="0" applyFont="1" applyNumberFormat="1">
      <alignment horizontal="center" vertical="top"/>
    </xf>
    <xf numFmtId="49" fontId="22" fillId="0" borderId="23" xfId="0" applyFont="1" applyBorder="1" applyNumberFormat="1">
      <alignment horizontal="center" vertical="center" wrapTex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40" fillId="37" borderId="13" xfId="0" applyFont="1" applyFill="1" applyBorder="1" applyNumberFormat="1">
      <alignment horizontal="left" vertical="center"/>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0" fillId="0" borderId="0" xfId="0" applyFont="1" applyNumberFormat="1">
      <alignment vertical="top"/>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240"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240"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240" fontId="0" fillId="39" borderId="12" xfId="0" applyFont="1" applyFill="1" applyBorder="1" applyNumberFormat="1">
      <alignment horizontal="left" vertical="center" wrapText="1" indent="1"/>
      <protection locked="0"/>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24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240"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237" fontId="22" fillId="0" borderId="14" xfId="0" applyFont="1" applyBorder="1" applyNumberFormat="1">
      <alignment horizontal="center" vertical="center" wrapText="1"/>
    </xf>
    <xf numFmtId="237"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40" borderId="12" xfId="0" applyFont="1" applyFill="1" applyBorder="1" applyNumberFormat="1">
      <alignment horizontal="left" vertical="top" wrapText="1"/>
    </xf>
    <xf numFmtId="0" fontId="0"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49" fontId="22" fillId="40" borderId="36" xfId="0" applyFont="1" applyFill="1" applyBorder="1" applyNumberFormat="1">
      <alignment horizontal="center"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49" fontId="22" fillId="40" borderId="23"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29" xfId="0" applyFont="1" applyFill="1" applyBorder="1" applyNumberFormat="1">
      <alignment horizontal="left" vertical="center"/>
    </xf>
    <xf numFmtId="49" fontId="0" fillId="0" borderId="0" xfId="0" applyFont="1" applyNumberFormat="1">
      <alignment vertical="center"/>
    </xf>
    <xf numFmtId="0" fontId="0" fillId="0" borderId="0" xfId="0" applyFont="1" applyNumberFormat="1">
      <alignment vertical="center"/>
    </xf>
    <xf numFmtId="0" fontId="37" fillId="0" borderId="0" xfId="0" applyFont="1" applyNumberFormat="1">
      <alignment horizontal="center" vertical="center" wrapText="1"/>
    </xf>
    <xf numFmtId="49" fontId="0" fillId="0" borderId="36" xfId="0" applyFont="1" applyBorder="1" applyNumberFormat="1">
      <alignment vertical="top"/>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vertical="top"/>
      <protection locked="0"/>
    </xf>
    <xf numFmtId="0" fontId="0" fillId="40" borderId="12" xfId="0" applyFont="1" applyFill="1" applyBorder="1" applyNumberFormat="1">
      <alignment horizontal="left" vertical="center" wrapText="1"/>
    </xf>
    <xf numFmtId="49" fontId="22" fillId="40" borderId="17" xfId="0" applyFont="1" applyFill="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49" fontId="22" fillId="36" borderId="12" xfId="0" applyFont="1" applyFill="1" applyBorder="1" applyNumberFormat="1">
      <alignment horizontal="left" vertical="center" wrapText="1"/>
      <protection locked="0"/>
    </xf>
    <xf numFmtId="0" fontId="22" fillId="0" borderId="0" xfId="0" applyFont="1" applyNumberFormat="1">
      <alignment horizontal="left" vertical="center" indent="1"/>
    </xf>
    <xf numFmtId="0" fontId="0" fillId="0" borderId="0" xfId="0" applyFont="1" applyNumberFormat="1">
      <alignment horizontal="left" vertical="center" indent="1"/>
    </xf>
    <xf numFmtId="0" fontId="0" fillId="0" borderId="0" xfId="0" applyFont="1" applyNumberFormat="1">
      <alignment vertical="center"/>
    </xf>
    <xf numFmtId="49" fontId="22" fillId="40" borderId="36" xfId="0" applyFont="1" applyFill="1" applyBorder="1" applyNumberFormat="1">
      <alignment horizontal="center"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49" fontId="0" fillId="0" borderId="12" xfId="0" applyFont="1" applyBorder="1" applyNumberFormat="1">
      <alignment vertical="top"/>
    </xf>
    <xf numFmtId="49" fontId="0" fillId="40" borderId="12" xfId="0" applyFont="1" applyFill="1" applyBorder="1" applyNumberFormat="1">
      <alignment horizontal="left"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40" fillId="37" borderId="29" xfId="0" applyFont="1" applyFill="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49" fontId="0" fillId="40" borderId="12" xfId="0" applyFont="1" applyFill="1" applyBorder="1" applyNumberFormat="1">
      <alignment horizontal="left" vertical="top"/>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240" fontId="0" fillId="0" borderId="12" xfId="0" applyFont="1" applyBorder="1" applyNumberFormat="1">
      <alignment horizontal="left" vertical="center" wrapText="1" inden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238" fontId="22" fillId="36" borderId="12" xfId="0" applyFont="1" applyFill="1" applyBorder="1" applyNumberFormat="1">
      <alignment horizontal="right" vertical="center" wrapText="1"/>
      <protection locked="0"/>
    </xf>
    <xf numFmtId="240"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238" fontId="47" fillId="0" borderId="12" xfId="0" applyFont="1" applyBorder="1" applyNumberFormat="1">
      <alignment horizontal="right" vertical="center" wrapText="1"/>
    </xf>
    <xf numFmtId="240"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240"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240"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238"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238" fontId="22" fillId="36" borderId="23" xfId="0" applyFont="1" applyFill="1" applyBorder="1" applyNumberFormat="1">
      <alignment horizontal="right" vertical="center" wrapText="1"/>
      <protection locked="0"/>
    </xf>
    <xf numFmtId="240"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238"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24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238"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238"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238" fontId="48" fillId="0" borderId="12" xfId="0" applyFont="1" applyBorder="1" applyNumberFormat="1">
      <alignment horizontal="right" vertical="center" wrapText="1"/>
    </xf>
    <xf numFmtId="240"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24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24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4" fontId="22" fillId="36" borderId="12" xfId="0" applyFont="1" applyFill="1" applyBorder="1" applyNumberFormat="1">
      <alignment horizontal="right" vertical="center" wrapText="1"/>
      <protection locked="0"/>
    </xf>
    <xf numFmtId="238" fontId="22" fillId="36" borderId="12" xfId="0" applyFont="1" applyFill="1" applyBorder="1" applyNumberFormat="1">
      <alignment horizontal="right" vertical="center" wrapText="1"/>
      <protection locked="0"/>
    </xf>
    <xf numFmtId="24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 fontId="22" fillId="36" borderId="12" xfId="0" applyFont="1" applyFill="1" applyBorder="1" applyNumberFormat="1">
      <alignment horizontal="right" vertical="center" wrapText="1"/>
      <protection locked="0"/>
    </xf>
    <xf numFmtId="238" fontId="22" fillId="36" borderId="12" xfId="0" applyFont="1" applyFill="1" applyBorder="1" applyNumberFormat="1">
      <alignment horizontal="right" vertical="center" wrapText="1"/>
      <protection locked="0"/>
    </xf>
    <xf numFmtId="24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0" borderId="12" xfId="0" applyFont="1" applyBorder="1" applyNumberFormat="1">
      <alignment horizontal="left" vertical="center" wrapText="1"/>
    </xf>
    <xf numFmtId="4" fontId="22" fillId="0" borderId="12" xfId="0" applyFont="1" applyBorder="1" applyNumberFormat="1">
      <alignment horizontal="righ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 fontId="22" fillId="0" borderId="12" xfId="0" applyFont="1" applyBorder="1" applyNumberFormat="1">
      <alignment horizontal="righ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48" fillId="0" borderId="0" xfId="0" applyFont="1" applyNumberFormat="1">
      <alignment horizontal="center" vertical="center"/>
    </xf>
    <xf numFmtId="49" fontId="48" fillId="0" borderId="0" xfId="0" applyFont="1" applyNumberFormat="1">
      <alignment horizontal="center" vertical="center" wrapText="1"/>
    </xf>
    <xf numFmtId="49" fontId="48"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47" fillId="0" borderId="0" xfId="0" applyFont="1" applyNumberFormat="1">
      <alignment vertical="center"/>
    </xf>
    <xf numFmtId="0" fontId="47" fillId="0" borderId="0" xfId="0" applyFont="1" applyNumberFormat="1">
      <alignment vertical="center"/>
    </xf>
    <xf numFmtId="0" fontId="22" fillId="0" borderId="19" xfId="0" applyFont="1" applyBorder="1" applyNumberFormat="1">
      <alignment horizontal="left" vertical="top" wrapText="1" indent="1"/>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50" fillId="35" borderId="0" xfId="0" applyFont="1" applyFill="1" applyNumberFormat="1">
      <alignment horizontal="center" vertical="center" wrapText="1"/>
    </xf>
    <xf numFmtId="0" fontId="22" fillId="34" borderId="12" xfId="0" applyFont="1" applyFill="1" applyBorder="1" applyNumberFormat="1">
      <alignment horizontal="left" vertical="center" wrapText="1" indent="1"/>
    </xf>
    <xf numFmtId="0" fontId="22" fillId="34" borderId="12" xfId="0" applyFont="1" applyFill="1" applyBorder="1" applyNumberFormat="1">
      <alignment horizontal="left" vertical="center" wrapText="1" indent="1"/>
    </xf>
    <xf numFmtId="240" fontId="22" fillId="34" borderId="12" xfId="0" applyFont="1" applyFill="1" applyBorder="1" applyNumberFormat="1">
      <alignment horizontal="left" vertical="center" wrapText="1" indent="1"/>
    </xf>
    <xf numFmtId="240" fontId="22" fillId="34" borderId="12" xfId="0" applyFont="1" applyFill="1" applyBorder="1" applyNumberFormat="1">
      <alignment horizontal="left" vertical="center" wrapText="1" indent="1"/>
    </xf>
    <xf numFmtId="0" fontId="22" fillId="0" borderId="0" xfId="0" applyFont="1" applyNumberFormat="1">
      <alignment horizontal="right" vertical="center" wrapText="1"/>
    </xf>
    <xf numFmtId="0" fontId="48" fillId="0" borderId="0" xfId="0" applyFont="1" applyNumberFormat="1">
      <alignment vertical="center" wrapText="1"/>
    </xf>
    <xf numFmtId="0" fontId="48" fillId="0" borderId="0" xfId="0" applyFont="1" applyNumberFormat="1">
      <alignment vertical="center" wrapText="1"/>
    </xf>
    <xf numFmtId="0" fontId="37" fillId="0" borderId="27" xfId="0" applyFont="1" applyBorder="1" applyNumberFormat="1">
      <alignment horizontal="center" vertical="center" wrapText="1"/>
    </xf>
    <xf numFmtId="0" fontId="37" fillId="0" borderId="27"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240" fontId="0" fillId="39" borderId="17" xfId="0" applyFont="1" applyFill="1" applyBorder="1" applyNumberFormat="1">
      <alignment horizontal="center" vertical="center" wrapText="1"/>
      <protection locked="0"/>
    </xf>
    <xf numFmtId="240" fontId="0" fillId="39" borderId="12" xfId="0" applyFont="1" applyFill="1" applyBorder="1" applyNumberFormat="1">
      <alignment horizontal="center" vertical="center" wrapText="1"/>
      <protection locked="0"/>
    </xf>
    <xf numFmtId="240" fontId="0" fillId="39" borderId="17" xfId="0" applyFont="1" applyFill="1" applyBorder="1" applyNumberFormat="1">
      <alignment horizontal="center" vertical="center" wrapText="1"/>
      <protection locked="0"/>
    </xf>
    <xf numFmtId="240" fontId="0" fillId="39" borderId="17"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0" fontId="47" fillId="0" borderId="0" xfId="0" applyFont="1" applyNumberFormat="1">
      <alignment horizontal="left" vertical="center" indent="1"/>
    </xf>
    <xf numFmtId="0" fontId="47" fillId="0" borderId="14" xfId="0" applyFont="1" applyBorder="1" applyNumberFormat="1">
      <alignment horizontal="center" vertical="center"/>
    </xf>
    <xf numFmtId="0" fontId="47" fillId="0" borderId="14" xfId="0" applyFont="1" applyBorder="1" applyNumberFormat="1">
      <alignment horizontal="center" vertical="center" wrapText="1"/>
    </xf>
    <xf numFmtId="0" fontId="47" fillId="0" borderId="12" xfId="0" applyFont="1" applyBorder="1" applyNumberFormat="1">
      <alignment horizontal="center" vertical="center" wrapText="1"/>
    </xf>
    <xf numFmtId="0" fontId="47" fillId="0" borderId="0" xfId="0" applyFont="1" applyNumberFormat="1">
      <alignment horizontal="center" vertical="center"/>
    </xf>
    <xf numFmtId="49" fontId="47" fillId="0" borderId="0" xfId="0" applyFont="1" applyNumberFormat="1">
      <alignment vertical="center" wrapText="1"/>
    </xf>
    <xf numFmtId="0" fontId="48" fillId="0" borderId="0" xfId="0" applyFont="1" applyNumberFormat="1">
      <alignment horizontal="center" vertical="center" wrapText="1"/>
    </xf>
    <xf numFmtId="0" fontId="36" fillId="0" borderId="0" xfId="0" applyFont="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xf>
    <xf numFmtId="0" fontId="22" fillId="35" borderId="12" xfId="0" applyFont="1" applyFill="1" applyBorder="1" applyNumberFormat="1">
      <alignment horizontal="left" vertical="center" wrapText="1" indent="5"/>
    </xf>
    <xf numFmtId="0" fontId="22" fillId="0" borderId="12" xfId="0" applyFont="1" applyBorder="1" applyNumberFormat="1">
      <alignment horizontal="left" vertical="center" wrapText="1" indent="6"/>
    </xf>
    <xf numFmtId="0" fontId="45" fillId="0" borderId="17" xfId="0" applyFont="1" applyBorder="1" applyNumberFormat="1">
      <alignment vertical="top" wrapText="1"/>
    </xf>
    <xf numFmtId="0" fontId="48" fillId="0" borderId="0" xfId="0" applyFont="1" applyNumberFormat="1">
      <alignment vertical="center"/>
    </xf>
    <xf numFmtId="49" fontId="0" fillId="0" borderId="0" xfId="0" applyFont="1" applyNumberFormat="1">
      <alignment vertical="top"/>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0" borderId="0" xfId="0" applyFont="1" applyNumberFormat="1">
      <alignment vertical="top"/>
    </xf>
    <xf numFmtId="0" fontId="48" fillId="0" borderId="24" xfId="0" applyFont="1" applyBorder="1" applyNumberFormat="1">
      <alignment horizontal="center" vertical="center"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5" fillId="0" borderId="12" xfId="0" applyFont="1" applyBorder="1" applyNumberFormat="1">
      <alignment vertical="top"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0" borderId="0" xfId="0" applyFont="1" applyNumberFormat="1">
      <alignment vertical="top"/>
    </xf>
    <xf numFmtId="0" fontId="47" fillId="0" borderId="0" xfId="0" applyFont="1" applyNumberFormat="1">
      <alignment horizontal="left" vertical="center" indent="1"/>
    </xf>
    <xf numFmtId="0" fontId="47" fillId="0" borderId="14" xfId="0" applyFont="1" applyBorder="1" applyNumberFormat="1">
      <alignment horizontal="center" vertical="center"/>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xf>
    <xf numFmtId="0" fontId="22" fillId="35" borderId="12" xfId="0" applyFont="1" applyFill="1" applyBorder="1" applyNumberFormat="1">
      <alignment horizontal="left" vertical="center" wrapText="1" inden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8" fillId="0" borderId="0" xfId="0" applyFont="1" applyNumberFormat="1">
      <alignment vertical="center" wrapText="1"/>
    </xf>
    <xf numFmtId="0" fontId="48" fillId="0" borderId="0" xfId="0" applyFont="1" applyNumberFormat="1">
      <alignment vertical="center"/>
    </xf>
    <xf numFmtId="0" fontId="22"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49" fontId="0" fillId="0" borderId="0" xfId="0" applyFont="1" applyNumberFormat="1">
      <alignment vertical="top"/>
    </xf>
    <xf numFmtId="0" fontId="47" fillId="0" borderId="12" xfId="0" applyFont="1" applyBorder="1" applyNumberFormat="1">
      <alignment horizontal="center" vertical="center" wrapText="1"/>
    </xf>
    <xf numFmtId="49" fontId="47" fillId="0" borderId="0" xfId="0" applyFont="1" applyNumberFormat="1">
      <alignment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0" fillId="0" borderId="0" xfId="0" applyFont="1" applyNumberFormat="1">
      <alignment vertical="top"/>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5" fillId="0" borderId="17" xfId="0" applyFont="1" applyBorder="1" applyNumberFormat="1">
      <alignment vertical="top" wrapText="1"/>
    </xf>
    <xf numFmtId="49" fontId="0" fillId="0" borderId="0" xfId="0" applyFont="1" applyNumberFormat="1">
      <alignment vertical="top"/>
    </xf>
    <xf numFmtId="49" fontId="22" fillId="36" borderId="12" xfId="0" applyFont="1" applyFill="1" applyBorder="1" applyNumberFormat="1">
      <alignment horizontal="left" vertical="center" wrapText="1" indent="6"/>
      <protection locked="0"/>
    </xf>
    <xf numFmtId="4" fontId="22" fillId="36" borderId="12" xfId="0" applyFont="1" applyFill="1" applyBorder="1" applyNumberFormat="1">
      <alignment horizontal="right" vertical="center" wrapText="1"/>
      <protection locked="0"/>
    </xf>
    <xf numFmtId="238" fontId="22" fillId="36" borderId="12" xfId="0" applyFont="1" applyFill="1" applyBorder="1" applyNumberFormat="1">
      <alignment horizontal="right" vertical="center" wrapText="1"/>
      <protection locked="0"/>
    </xf>
    <xf numFmtId="49" fontId="22" fillId="40" borderId="12" xfId="0" applyFont="1" applyFill="1" applyBorder="1" applyNumberFormat="1">
      <alignment horizontal="center" vertical="center" wrapText="1"/>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22" fillId="0" borderId="12" xfId="0" applyFont="1" applyBorder="1" applyNumberFormat="1">
      <alignment horizontal="righ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4" fontId="22" fillId="0" borderId="30" xfId="0" applyFont="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0" fontId="47" fillId="0" borderId="0" xfId="0" applyFont="1" applyNumberFormat="1">
      <alignment vertical="center" wrapText="1"/>
    </xf>
    <xf numFmtId="49" fontId="22" fillId="0" borderId="0" xfId="0" applyFont="1" applyNumberFormat="1">
      <alignment vertical="top"/>
    </xf>
    <xf numFmtId="49" fontId="39" fillId="0" borderId="0" xfId="0" applyFont="1" applyNumberFormat="1">
      <alignment vertical="top"/>
    </xf>
    <xf numFmtId="49" fontId="22" fillId="0" borderId="24" xfId="0" applyFont="1" applyBorder="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horizontal="left" vertical="center"/>
    </xf>
    <xf numFmtId="49" fontId="48" fillId="0" borderId="0" xfId="0" applyFont="1" applyNumberFormat="1">
      <alignment vertical="top"/>
    </xf>
    <xf numFmtId="49" fontId="107" fillId="0" borderId="0" xfId="0" applyFont="1" applyNumberFormat="1">
      <alignment vertical="top"/>
    </xf>
    <xf numFmtId="49" fontId="97" fillId="0" borderId="0" xfId="0" applyFont="1" applyNumberFormat="1">
      <alignment horizontal="left" vertical="center"/>
    </xf>
    <xf numFmtId="49" fontId="48" fillId="0" borderId="0" xfId="0" applyFont="1" applyNumberFormat="1">
      <alignment horizontal="left" vertical="center" indent="1"/>
    </xf>
    <xf numFmtId="49" fontId="48" fillId="0" borderId="0" xfId="0" applyFont="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0" fontId="22" fillId="0" borderId="0" xfId="0" applyFont="1" applyNumberFormat="1">
      <alignment horizontal="lef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239"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46" fillId="0" borderId="0" xfId="0" applyFont="1" applyNumberFormat="1">
      <alignment vertical="center" wrapText="1"/>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239"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239"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239" fontId="22" fillId="34" borderId="13" xfId="0" applyFont="1" applyFill="1" applyBorder="1" applyNumberFormat="1">
      <alignment horizontal="right" vertical="center" wrapText="1"/>
    </xf>
    <xf numFmtId="239"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239"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8" fillId="0" borderId="17" xfId="0" applyFont="1" applyBorder="1" applyNumberFormat="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54" fillId="0" borderId="0" xfId="0" applyFont="1" applyNumberFormat="1">
      <alignment vertical="center"/>
    </xf>
    <xf numFmtId="0" fontId="91" fillId="0" borderId="0" xfId="0" applyFont="1" applyNumberFormat="1">
      <alignment vertical="center" wrapText="1"/>
    </xf>
    <xf numFmtId="49" fontId="91" fillId="0" borderId="0" xfId="0" applyFont="1" applyNumberFormat="1">
      <alignment horizontal="center"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240"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240" fontId="0" fillId="39" borderId="12" xfId="0" applyFont="1" applyFill="1" applyBorder="1" applyNumberFormat="1">
      <alignment horizontal="left" vertical="center" wrapText="1"/>
      <protection locked="0"/>
    </xf>
    <xf numFmtId="0" fontId="27" fillId="39" borderId="12" xfId="0" applyFont="1" applyFill="1" applyBorder="1" applyNumberFormat="1">
      <alignment horizontal="left" vertical="center" wrapText="1"/>
      <protection locked="0"/>
    </xf>
    <xf numFmtId="49" fontId="27"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240" fontId="0" fillId="39" borderId="13" xfId="0" applyFont="1" applyFill="1" applyBorder="1" applyNumberFormat="1">
      <alignment horizontal="left" vertical="center" wrapText="1"/>
      <protection locked="0"/>
    </xf>
    <xf numFmtId="240"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237" fontId="22" fillId="0" borderId="37" xfId="0" applyFont="1" applyBorder="1" applyNumberFormat="1">
      <alignment horizontal="center" vertical="center" wrapText="1"/>
    </xf>
    <xf numFmtId="237"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240" fontId="0" fillId="39" borderId="15" xfId="0" applyFont="1" applyFill="1" applyBorder="1" applyNumberFormat="1">
      <alignment horizontal="left" vertical="center" wrapText="1" indent="1"/>
      <protection locked="0"/>
    </xf>
    <xf numFmtId="241" fontId="22" fillId="39" borderId="12" xfId="0" applyFont="1" applyFill="1" applyBorder="1" applyNumberFormat="1">
      <alignment horizontal="left" vertical="center" wrapText="1" indent="1"/>
      <protection locked="0"/>
    </xf>
    <xf numFmtId="240" fontId="48" fillId="0" borderId="0" xfId="0" applyFont="1" applyNumberFormat="1">
      <alignment horizontal="center" vertical="center" wrapText="1"/>
    </xf>
    <xf numFmtId="237" fontId="22" fillId="0" borderId="17" xfId="0" applyFont="1" applyBorder="1" applyNumberFormat="1">
      <alignment horizontal="center" vertical="center" wrapText="1"/>
    </xf>
    <xf numFmtId="237" fontId="22" fillId="0" borderId="14" xfId="0" applyFont="1" applyBorder="1" applyNumberFormat="1">
      <alignment horizontal="center" vertical="center" wrapText="1"/>
    </xf>
    <xf numFmtId="237" fontId="22" fillId="0" borderId="15" xfId="0" applyFont="1" applyBorder="1" applyNumberFormat="1">
      <alignment horizontal="center" vertical="center" wrapText="1"/>
    </xf>
    <xf numFmtId="237"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237" fontId="22" fillId="0" borderId="23" xfId="0" applyFont="1" applyBorder="1" applyNumberFormat="1">
      <alignment horizontal="center" vertical="center" wrapText="1"/>
    </xf>
    <xf numFmtId="237"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237"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237" fontId="45" fillId="0" borderId="19" xfId="0" applyFont="1" applyBorder="1" applyNumberFormat="1">
      <alignment horizontal="center" vertical="center" wrapText="1"/>
    </xf>
    <xf numFmtId="237" fontId="45" fillId="0" borderId="19" xfId="0" applyFont="1" applyBorder="1" applyNumberFormat="1">
      <alignment horizontal="center" vertical="center" wrapText="1"/>
    </xf>
    <xf numFmtId="237"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237" fontId="22" fillId="0" borderId="12" xfId="0" applyFont="1" applyBorder="1" applyNumberFormat="1">
      <alignment horizontal="center" vertical="center" wrapText="1"/>
    </xf>
    <xf numFmtId="237" fontId="22" fillId="0" borderId="36" xfId="0" applyFont="1" applyBorder="1" applyNumberFormat="1">
      <alignment horizontal="center" vertical="center" wrapText="1"/>
    </xf>
    <xf numFmtId="237"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240"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240" fontId="0" fillId="39" borderId="12" xfId="0" applyFont="1" applyFill="1" applyBorder="1" applyNumberFormat="1">
      <alignment horizontal="center" vertical="top" wrapText="1"/>
      <protection locked="0"/>
    </xf>
    <xf numFmtId="240"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7" fillId="0" borderId="0" xfId="0" applyFont="1" applyNumberFormat="1">
      <alignment horizontal="center" vertical="top"/>
    </xf>
    <xf numFmtId="49" fontId="22" fillId="0" borderId="23" xfId="0" applyFont="1" applyBorder="1" applyNumberFormat="1">
      <alignment horizontal="center" vertical="center" wrapTex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40" fillId="37" borderId="13" xfId="0" applyFont="1" applyFill="1" applyBorder="1" applyNumberFormat="1">
      <alignment horizontal="left" vertical="center"/>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0" fillId="0" borderId="0" xfId="0" applyFont="1" applyNumberFormat="1">
      <alignment vertical="top"/>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240"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240"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240" fontId="0" fillId="39" borderId="12" xfId="0" applyFont="1" applyFill="1" applyBorder="1" applyNumberFormat="1">
      <alignment horizontal="left" vertical="center" wrapText="1" indent="1"/>
      <protection locked="0"/>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24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240"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237" fontId="22" fillId="0" borderId="14" xfId="0" applyFont="1" applyBorder="1" applyNumberFormat="1">
      <alignment horizontal="center" vertical="center" wrapText="1"/>
    </xf>
    <xf numFmtId="237"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40" borderId="12" xfId="0" applyFont="1" applyFill="1" applyBorder="1" applyNumberFormat="1">
      <alignment horizontal="left" vertical="top" wrapText="1"/>
    </xf>
    <xf numFmtId="0" fontId="0"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49" fontId="22" fillId="40" borderId="36" xfId="0" applyFont="1" applyFill="1" applyBorder="1" applyNumberFormat="1">
      <alignment horizontal="center"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49" fontId="22" fillId="40" borderId="23"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29" xfId="0" applyFont="1" applyFill="1" applyBorder="1" applyNumberFormat="1">
      <alignment horizontal="left" vertical="center"/>
    </xf>
    <xf numFmtId="49" fontId="0" fillId="0" borderId="0" xfId="0" applyFont="1" applyNumberFormat="1">
      <alignment vertical="center"/>
    </xf>
    <xf numFmtId="0" fontId="0" fillId="0" borderId="0" xfId="0" applyFont="1" applyNumberFormat="1">
      <alignment vertical="center"/>
    </xf>
    <xf numFmtId="0" fontId="37" fillId="0" borderId="0" xfId="0" applyFont="1" applyNumberFormat="1">
      <alignment horizontal="center" vertical="center" wrapText="1"/>
    </xf>
    <xf numFmtId="49" fontId="0" fillId="0" borderId="36" xfId="0" applyFont="1" applyBorder="1" applyNumberFormat="1">
      <alignment vertical="top"/>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vertical="top"/>
      <protection locked="0"/>
    </xf>
    <xf numFmtId="0" fontId="0" fillId="40" borderId="12" xfId="0" applyFont="1" applyFill="1" applyBorder="1" applyNumberFormat="1">
      <alignment horizontal="left" vertical="center" wrapText="1"/>
    </xf>
    <xf numFmtId="49" fontId="22" fillId="40" borderId="17" xfId="0" applyFont="1" applyFill="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49" fontId="22" fillId="36" borderId="12" xfId="0" applyFont="1" applyFill="1" applyBorder="1" applyNumberFormat="1">
      <alignment horizontal="left" vertical="center" wrapText="1"/>
      <protection locked="0"/>
    </xf>
    <xf numFmtId="0" fontId="22" fillId="0" borderId="0" xfId="0" applyFont="1" applyNumberFormat="1">
      <alignment horizontal="left" vertical="center" indent="1"/>
    </xf>
    <xf numFmtId="0" fontId="0" fillId="0" borderId="0" xfId="0" applyFont="1" applyNumberFormat="1">
      <alignment horizontal="left" vertical="center" indent="1"/>
    </xf>
    <xf numFmtId="0" fontId="0" fillId="0" borderId="0" xfId="0" applyFont="1" applyNumberFormat="1">
      <alignment vertical="center"/>
    </xf>
    <xf numFmtId="49" fontId="22" fillId="40" borderId="36" xfId="0" applyFont="1" applyFill="1" applyBorder="1" applyNumberFormat="1">
      <alignment horizontal="center"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49" fontId="0" fillId="0" borderId="12" xfId="0" applyFont="1" applyBorder="1" applyNumberFormat="1">
      <alignment vertical="top"/>
    </xf>
    <xf numFmtId="49" fontId="0" fillId="40" borderId="12" xfId="0" applyFont="1" applyFill="1" applyBorder="1" applyNumberFormat="1">
      <alignment horizontal="left"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40" fillId="37" borderId="29" xfId="0" applyFont="1" applyFill="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49" fontId="0" fillId="40" borderId="12" xfId="0" applyFont="1" applyFill="1" applyBorder="1" applyNumberFormat="1">
      <alignment horizontal="left" vertical="top"/>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240" fontId="0" fillId="0" borderId="12" xfId="0" applyFont="1" applyBorder="1" applyNumberFormat="1">
      <alignment horizontal="left" vertical="center" wrapText="1" inden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238" fontId="22" fillId="36" borderId="12" xfId="0" applyFont="1" applyFill="1" applyBorder="1" applyNumberFormat="1">
      <alignment horizontal="right" vertical="center" wrapText="1"/>
      <protection locked="0"/>
    </xf>
    <xf numFmtId="240"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238" fontId="47" fillId="0" borderId="12" xfId="0" applyFont="1" applyBorder="1" applyNumberFormat="1">
      <alignment horizontal="right" vertical="center" wrapText="1"/>
    </xf>
    <xf numFmtId="240"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240"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240"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238"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238" fontId="22" fillId="36" borderId="23" xfId="0" applyFont="1" applyFill="1" applyBorder="1" applyNumberFormat="1">
      <alignment horizontal="right" vertical="center" wrapText="1"/>
      <protection locked="0"/>
    </xf>
    <xf numFmtId="240"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238"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24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238"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238"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238" fontId="48" fillId="0" borderId="12" xfId="0" applyFont="1" applyBorder="1" applyNumberFormat="1">
      <alignment horizontal="right" vertical="center" wrapText="1"/>
    </xf>
    <xf numFmtId="240"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24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24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4" fontId="22" fillId="36" borderId="12" xfId="0" applyFont="1" applyFill="1" applyBorder="1" applyNumberFormat="1">
      <alignment horizontal="right" vertical="center" wrapText="1"/>
      <protection locked="0"/>
    </xf>
    <xf numFmtId="238" fontId="22" fillId="36" borderId="12" xfId="0" applyFont="1" applyFill="1" applyBorder="1" applyNumberFormat="1">
      <alignment horizontal="right" vertical="center" wrapText="1"/>
      <protection locked="0"/>
    </xf>
    <xf numFmtId="24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 fontId="22" fillId="36" borderId="12" xfId="0" applyFont="1" applyFill="1" applyBorder="1" applyNumberFormat="1">
      <alignment horizontal="right" vertical="center" wrapText="1"/>
      <protection locked="0"/>
    </xf>
    <xf numFmtId="238" fontId="22" fillId="36" borderId="12" xfId="0" applyFont="1" applyFill="1" applyBorder="1" applyNumberFormat="1">
      <alignment horizontal="right" vertical="center" wrapText="1"/>
      <protection locked="0"/>
    </xf>
    <xf numFmtId="24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0" borderId="12" xfId="0" applyFont="1" applyBorder="1" applyNumberFormat="1">
      <alignment horizontal="left" vertical="center" wrapText="1"/>
    </xf>
    <xf numFmtId="4" fontId="22" fillId="0" borderId="12" xfId="0" applyFont="1" applyBorder="1" applyNumberFormat="1">
      <alignment horizontal="righ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 fontId="22" fillId="0" borderId="12" xfId="0" applyFont="1" applyBorder="1" applyNumberFormat="1">
      <alignment horizontal="righ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48" fillId="0" borderId="0" xfId="0" applyFont="1" applyNumberFormat="1">
      <alignment horizontal="center" vertical="center"/>
    </xf>
    <xf numFmtId="49" fontId="48" fillId="0" borderId="0" xfId="0" applyFont="1" applyNumberFormat="1">
      <alignment horizontal="center" vertical="center" wrapText="1"/>
    </xf>
    <xf numFmtId="49" fontId="48"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47" fillId="0" borderId="0" xfId="0" applyFont="1" applyNumberFormat="1">
      <alignment vertical="center"/>
    </xf>
    <xf numFmtId="0" fontId="47" fillId="0" borderId="0" xfId="0" applyFont="1" applyNumberFormat="1">
      <alignment vertical="center"/>
    </xf>
    <xf numFmtId="0" fontId="22" fillId="0" borderId="19" xfId="0" applyFont="1" applyBorder="1" applyNumberFormat="1">
      <alignment horizontal="left" vertical="top" wrapText="1" indent="1"/>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50" fillId="35" borderId="0" xfId="0" applyFont="1" applyFill="1" applyNumberFormat="1">
      <alignment horizontal="center" vertical="center" wrapText="1"/>
    </xf>
    <xf numFmtId="0" fontId="22" fillId="34" borderId="12" xfId="0" applyFont="1" applyFill="1" applyBorder="1" applyNumberFormat="1">
      <alignment horizontal="left" vertical="center" wrapText="1" indent="1"/>
    </xf>
    <xf numFmtId="0" fontId="22" fillId="34" borderId="12" xfId="0" applyFont="1" applyFill="1" applyBorder="1" applyNumberFormat="1">
      <alignment horizontal="left" vertical="center" wrapText="1" indent="1"/>
    </xf>
    <xf numFmtId="240" fontId="22" fillId="34" borderId="12" xfId="0" applyFont="1" applyFill="1" applyBorder="1" applyNumberFormat="1">
      <alignment horizontal="left" vertical="center" wrapText="1" indent="1"/>
    </xf>
    <xf numFmtId="240" fontId="22" fillId="34" borderId="12" xfId="0" applyFont="1" applyFill="1" applyBorder="1" applyNumberFormat="1">
      <alignment horizontal="left" vertical="center" wrapText="1" indent="1"/>
    </xf>
    <xf numFmtId="0" fontId="22" fillId="0" borderId="0" xfId="0" applyFont="1" applyNumberFormat="1">
      <alignment horizontal="right" vertical="center" wrapText="1"/>
    </xf>
    <xf numFmtId="0" fontId="48" fillId="0" borderId="0" xfId="0" applyFont="1" applyNumberFormat="1">
      <alignment vertical="center" wrapText="1"/>
    </xf>
    <xf numFmtId="0" fontId="48" fillId="0" borderId="0" xfId="0" applyFont="1" applyNumberFormat="1">
      <alignment vertical="center" wrapText="1"/>
    </xf>
    <xf numFmtId="0" fontId="37" fillId="0" borderId="27" xfId="0" applyFont="1" applyBorder="1" applyNumberFormat="1">
      <alignment horizontal="center" vertical="center" wrapText="1"/>
    </xf>
    <xf numFmtId="0" fontId="37" fillId="0" borderId="27"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240" fontId="0" fillId="39" borderId="17" xfId="0" applyFont="1" applyFill="1" applyBorder="1" applyNumberFormat="1">
      <alignment horizontal="center" vertical="center" wrapText="1"/>
      <protection locked="0"/>
    </xf>
    <xf numFmtId="240" fontId="0" fillId="39" borderId="12" xfId="0" applyFont="1" applyFill="1" applyBorder="1" applyNumberFormat="1">
      <alignment horizontal="center" vertical="center" wrapText="1"/>
      <protection locked="0"/>
    </xf>
    <xf numFmtId="240" fontId="0" fillId="39" borderId="17" xfId="0" applyFont="1" applyFill="1" applyBorder="1" applyNumberFormat="1">
      <alignment horizontal="center" vertical="center" wrapText="1"/>
      <protection locked="0"/>
    </xf>
    <xf numFmtId="240" fontId="0" fillId="39" borderId="17"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0" fontId="47" fillId="0" borderId="0" xfId="0" applyFont="1" applyNumberFormat="1">
      <alignment horizontal="left" vertical="center" indent="1"/>
    </xf>
    <xf numFmtId="0" fontId="47" fillId="0" borderId="14" xfId="0" applyFont="1" applyBorder="1" applyNumberFormat="1">
      <alignment horizontal="center" vertical="center"/>
    </xf>
    <xf numFmtId="0" fontId="47" fillId="0" borderId="14" xfId="0" applyFont="1" applyBorder="1" applyNumberFormat="1">
      <alignment horizontal="center" vertical="center" wrapText="1"/>
    </xf>
    <xf numFmtId="0" fontId="47" fillId="0" borderId="12" xfId="0" applyFont="1" applyBorder="1" applyNumberFormat="1">
      <alignment horizontal="center" vertical="center" wrapText="1"/>
    </xf>
    <xf numFmtId="0" fontId="47" fillId="0" borderId="0" xfId="0" applyFont="1" applyNumberFormat="1">
      <alignment horizontal="center" vertical="center"/>
    </xf>
    <xf numFmtId="49" fontId="47" fillId="0" borderId="0" xfId="0" applyFont="1" applyNumberFormat="1">
      <alignment vertical="center" wrapText="1"/>
    </xf>
    <xf numFmtId="0" fontId="48" fillId="0" borderId="0" xfId="0" applyFont="1" applyNumberFormat="1">
      <alignment horizontal="center" vertical="center" wrapText="1"/>
    </xf>
    <xf numFmtId="0" fontId="36" fillId="0" borderId="0" xfId="0" applyFont="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xf>
    <xf numFmtId="0" fontId="22" fillId="35" borderId="12" xfId="0" applyFont="1" applyFill="1" applyBorder="1" applyNumberFormat="1">
      <alignment horizontal="left" vertical="center" wrapText="1" indent="5"/>
    </xf>
    <xf numFmtId="0" fontId="22" fillId="0" borderId="12" xfId="0" applyFont="1" applyBorder="1" applyNumberFormat="1">
      <alignment horizontal="left" vertical="center" wrapText="1" indent="6"/>
    </xf>
    <xf numFmtId="0" fontId="45" fillId="0" borderId="17" xfId="0" applyFont="1" applyBorder="1" applyNumberFormat="1">
      <alignment vertical="top" wrapText="1"/>
    </xf>
    <xf numFmtId="0" fontId="48" fillId="0" borderId="0" xfId="0" applyFont="1" applyNumberFormat="1">
      <alignment vertical="center"/>
    </xf>
    <xf numFmtId="49" fontId="0" fillId="0" borderId="0" xfId="0" applyFont="1" applyNumberFormat="1">
      <alignment vertical="top"/>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0" borderId="0" xfId="0" applyFont="1" applyNumberFormat="1">
      <alignment vertical="top"/>
    </xf>
    <xf numFmtId="0" fontId="48" fillId="0" borderId="24" xfId="0" applyFont="1" applyBorder="1" applyNumberFormat="1">
      <alignment horizontal="center" vertical="center"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5" fillId="0" borderId="12" xfId="0" applyFont="1" applyBorder="1" applyNumberFormat="1">
      <alignment vertical="top"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0" borderId="0" xfId="0" applyFont="1" applyNumberFormat="1">
      <alignment vertical="top"/>
    </xf>
    <xf numFmtId="0" fontId="47" fillId="0" borderId="0" xfId="0" applyFont="1" applyNumberFormat="1">
      <alignment horizontal="left" vertical="center" indent="1"/>
    </xf>
    <xf numFmtId="0" fontId="47" fillId="0" borderId="14" xfId="0" applyFont="1" applyBorder="1" applyNumberFormat="1">
      <alignment horizontal="center" vertical="center"/>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xf>
    <xf numFmtId="0" fontId="22" fillId="35" borderId="12" xfId="0" applyFont="1" applyFill="1" applyBorder="1" applyNumberFormat="1">
      <alignment horizontal="left" vertical="center" wrapText="1" inden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8" fillId="0" borderId="0" xfId="0" applyFont="1" applyNumberFormat="1">
      <alignment vertical="center" wrapText="1"/>
    </xf>
    <xf numFmtId="0" fontId="48" fillId="0" borderId="0" xfId="0" applyFont="1" applyNumberFormat="1">
      <alignment vertical="center"/>
    </xf>
    <xf numFmtId="0" fontId="22"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49" fontId="0" fillId="0" borderId="0" xfId="0" applyFont="1" applyNumberFormat="1">
      <alignment vertical="top"/>
    </xf>
    <xf numFmtId="0" fontId="47" fillId="0" borderId="12" xfId="0" applyFont="1" applyBorder="1" applyNumberFormat="1">
      <alignment horizontal="center" vertical="center" wrapText="1"/>
    </xf>
    <xf numFmtId="49" fontId="47" fillId="0" borderId="0" xfId="0" applyFont="1" applyNumberFormat="1">
      <alignment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0" fillId="0" borderId="0" xfId="0" applyFont="1" applyNumberFormat="1">
      <alignment vertical="top"/>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5" fillId="0" borderId="17" xfId="0" applyFont="1" applyBorder="1" applyNumberFormat="1">
      <alignment vertical="top" wrapText="1"/>
    </xf>
    <xf numFmtId="49" fontId="0" fillId="0" borderId="0" xfId="0" applyFont="1" applyNumberFormat="1">
      <alignment vertical="top"/>
    </xf>
    <xf numFmtId="49" fontId="22" fillId="36" borderId="12" xfId="0" applyFont="1" applyFill="1" applyBorder="1" applyNumberFormat="1">
      <alignment horizontal="left" vertical="center" wrapText="1" indent="6"/>
      <protection locked="0"/>
    </xf>
    <xf numFmtId="4" fontId="22" fillId="36" borderId="12" xfId="0" applyFont="1" applyFill="1" applyBorder="1" applyNumberFormat="1">
      <alignment horizontal="right" vertical="center" wrapText="1"/>
      <protection locked="0"/>
    </xf>
    <xf numFmtId="238" fontId="22" fillId="36" borderId="12" xfId="0" applyFont="1" applyFill="1" applyBorder="1" applyNumberFormat="1">
      <alignment horizontal="right" vertical="center" wrapText="1"/>
      <protection locked="0"/>
    </xf>
    <xf numFmtId="49" fontId="22" fillId="40" borderId="12" xfId="0" applyFont="1" applyFill="1" applyBorder="1" applyNumberFormat="1">
      <alignment horizontal="center" vertical="center" wrapText="1"/>
    </xf>
    <xf numFmtId="240" fontId="0" fillId="39" borderId="12" xfId="0" applyFont="1" applyFill="1" applyBorder="1" applyNumberFormat="1">
      <alignment horizontal="center" vertical="center" wrapText="1"/>
      <protection locked="0"/>
    </xf>
    <xf numFmtId="240" fontId="0" fillId="39" borderId="17" xfId="0" applyFont="1" applyFill="1" applyBorder="1" applyNumberFormat="1">
      <alignment horizontal="center" vertical="center" wrapText="1"/>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22" fillId="0" borderId="12" xfId="0" applyFont="1" applyBorder="1" applyNumberFormat="1">
      <alignment horizontal="righ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4" fontId="22" fillId="0" borderId="30" xfId="0" applyFont="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0" fontId="47" fillId="0" borderId="0" xfId="0" applyFont="1" applyNumberFormat="1">
      <alignment horizontal="left" vertical="center" indent="1"/>
    </xf>
    <xf numFmtId="0" fontId="47" fillId="0" borderId="14" xfId="0" applyFont="1" applyBorder="1" applyNumberFormat="1">
      <alignment horizontal="center" vertical="center"/>
    </xf>
    <xf numFmtId="0" fontId="47" fillId="0" borderId="14" xfId="0" applyFont="1" applyBorder="1" applyNumberFormat="1">
      <alignment horizontal="center" vertical="center" wrapText="1"/>
    </xf>
    <xf numFmtId="0" fontId="47" fillId="0" borderId="12" xfId="0" applyFont="1" applyBorder="1" applyNumberFormat="1">
      <alignment horizontal="center" vertical="center" wrapText="1"/>
    </xf>
    <xf numFmtId="0" fontId="47" fillId="0" borderId="0" xfId="0" applyFont="1" applyNumberFormat="1">
      <alignment horizontal="center" vertical="center"/>
    </xf>
    <xf numFmtId="49" fontId="47" fillId="0" borderId="0" xfId="0" applyFont="1" applyNumberFormat="1">
      <alignment vertical="center" wrapText="1"/>
    </xf>
    <xf numFmtId="0" fontId="48" fillId="0" borderId="0" xfId="0" applyFont="1" applyNumberFormat="1">
      <alignment horizontal="center" vertical="center" wrapText="1"/>
    </xf>
    <xf numFmtId="0" fontId="36" fillId="0" borderId="0" xfId="0" applyFont="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xf>
    <xf numFmtId="0" fontId="22" fillId="35" borderId="12" xfId="0" applyFont="1" applyFill="1" applyBorder="1" applyNumberFormat="1">
      <alignment horizontal="left" vertical="center" wrapText="1" indent="5"/>
    </xf>
    <xf numFmtId="0" fontId="22" fillId="0" borderId="12" xfId="0" applyFont="1" applyBorder="1" applyNumberFormat="1">
      <alignment horizontal="left" vertical="center" wrapText="1" indent="6"/>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22" fillId="40" borderId="13" xfId="61" applyFont="1" applyFill="1" applyBorder="1" applyNumberFormat="1">
      <alignment horizontal="left" vertical="center" wrapText="1"/>
    </xf>
    <xf numFmtId="0" fontId="45" fillId="0" borderId="17" xfId="0" applyFont="1" applyBorder="1" applyNumberFormat="1">
      <alignment vertical="top" wrapText="1"/>
    </xf>
    <xf numFmtId="0" fontId="48" fillId="0" borderId="0" xfId="0" applyFont="1" applyNumberFormat="1">
      <alignment vertical="center" wrapText="1"/>
    </xf>
    <xf numFmtId="0" fontId="48" fillId="0" borderId="0" xfId="0" applyFont="1" applyNumberFormat="1">
      <alignment vertical="center"/>
    </xf>
    <xf numFmtId="0" fontId="22" fillId="0" borderId="0" xfId="0" applyFont="1" applyNumberFormat="1">
      <alignment vertical="center" wrapText="1"/>
    </xf>
    <xf numFmtId="49" fontId="0" fillId="0" borderId="0" xfId="0" applyFont="1" applyNumberFormat="1">
      <alignment vertical="top"/>
    </xf>
    <xf numFmtId="49" fontId="22" fillId="36" borderId="12" xfId="0" applyFont="1" applyFill="1" applyBorder="1" applyNumberFormat="1">
      <alignment horizontal="left" vertical="center" wrapText="1" indent="6"/>
      <protection locked="0"/>
    </xf>
    <xf numFmtId="4" fontId="22" fillId="36" borderId="12" xfId="0" applyFont="1" applyFill="1" applyBorder="1" applyNumberFormat="1">
      <alignment horizontal="right" vertical="center" wrapText="1"/>
      <protection locked="0"/>
    </xf>
    <xf numFmtId="238" fontId="22" fillId="36" borderId="12" xfId="0" applyFont="1" applyFill="1" applyBorder="1" applyNumberFormat="1">
      <alignment horizontal="right" vertical="center" wrapText="1"/>
      <protection locked="0"/>
    </xf>
    <xf numFmtId="49" fontId="22" fillId="40" borderId="12" xfId="0" applyFont="1" applyFill="1" applyBorder="1" applyNumberFormat="1">
      <alignment horizontal="center" vertical="center" wrapText="1"/>
    </xf>
    <xf numFmtId="49" fontId="22" fillId="40" borderId="12" xfId="61" applyFont="1" applyFill="1" applyBorder="1" applyNumberFormat="1">
      <alignment horizontal="center" vertical="center" wrapText="1"/>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22" fillId="0" borderId="12" xfId="0" applyFont="1" applyBorder="1" applyNumberFormat="1">
      <alignment horizontal="righ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4" fontId="22" fillId="0" borderId="30" xfId="0" applyFont="1" applyBorder="1" applyNumberFormat="1">
      <alignment horizontal="right" vertical="center" wrapText="1"/>
    </xf>
    <xf numFmtId="49" fontId="0" fillId="0" borderId="0" xfId="0" applyFont="1" applyNumberFormat="1">
      <alignment vertical="top"/>
    </xf>
    <xf numFmtId="0" fontId="48" fillId="0" borderId="24" xfId="0" applyFont="1" applyBorder="1" applyNumberFormat="1">
      <alignment horizontal="center" vertical="center"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5" fillId="0" borderId="12" xfId="0" applyFont="1" applyBorder="1" applyNumberFormat="1">
      <alignmen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0" fontId="47" fillId="0" borderId="0" xfId="0" applyFont="1" applyNumberFormat="1">
      <alignment vertical="center" wrapText="1"/>
    </xf>
    <xf numFmtId="49" fontId="22" fillId="0" borderId="0" xfId="0" applyFont="1" applyNumberFormat="1">
      <alignment vertical="top"/>
    </xf>
    <xf numFmtId="49" fontId="39" fillId="0" borderId="0" xfId="0" applyFont="1" applyNumberFormat="1">
      <alignment vertical="top"/>
    </xf>
    <xf numFmtId="49" fontId="22" fillId="0" borderId="24" xfId="0" applyFont="1" applyBorder="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horizontal="left" vertical="center"/>
    </xf>
    <xf numFmtId="49" fontId="48" fillId="0" borderId="0" xfId="0" applyFont="1" applyNumberFormat="1">
      <alignment vertical="top"/>
    </xf>
    <xf numFmtId="49" fontId="107" fillId="0" borderId="0" xfId="0" applyFont="1" applyNumberFormat="1">
      <alignment vertical="top"/>
    </xf>
    <xf numFmtId="49" fontId="97" fillId="0" borderId="0" xfId="0" applyFont="1" applyNumberFormat="1">
      <alignment horizontal="left" vertical="center"/>
    </xf>
    <xf numFmtId="49" fontId="48" fillId="0" borderId="0" xfId="0" applyFont="1" applyNumberFormat="1">
      <alignment horizontal="left" vertical="center" indent="1"/>
    </xf>
    <xf numFmtId="49" fontId="48" fillId="0" borderId="0" xfId="0" applyFont="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0" fontId="22" fillId="0" borderId="0" xfId="0" applyFont="1" applyNumberFormat="1">
      <alignment horizontal="lef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239"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46" fillId="0" borderId="0" xfId="0" applyFont="1" applyNumberFormat="1">
      <alignment vertical="center" wrapText="1"/>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239"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239"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239" fontId="22" fillId="34" borderId="13" xfId="0" applyFont="1" applyFill="1" applyBorder="1" applyNumberFormat="1">
      <alignment horizontal="right" vertical="center" wrapText="1"/>
    </xf>
    <xf numFmtId="239"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239"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8" fillId="0" borderId="17" xfId="0" applyFont="1" applyBorder="1" applyNumberFormat="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54" fillId="0" borderId="0" xfId="0" applyFont="1" applyNumberFormat="1">
      <alignment vertical="center"/>
    </xf>
    <xf numFmtId="0" fontId="91" fillId="0" borderId="0" xfId="0" applyFont="1" applyNumberFormat="1">
      <alignment vertical="center" wrapText="1"/>
    </xf>
    <xf numFmtId="49" fontId="91" fillId="0" borderId="0" xfId="0" applyFont="1" applyNumberFormat="1">
      <alignment horizontal="center"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240"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240" fontId="0" fillId="39" borderId="12" xfId="0" applyFont="1" applyFill="1" applyBorder="1" applyNumberFormat="1">
      <alignment horizontal="left" vertical="center" wrapText="1"/>
      <protection locked="0"/>
    </xf>
    <xf numFmtId="0" fontId="27" fillId="39" borderId="12" xfId="0" applyFont="1" applyFill="1" applyBorder="1" applyNumberFormat="1">
      <alignment horizontal="left" vertical="center" wrapText="1"/>
      <protection locked="0"/>
    </xf>
    <xf numFmtId="49" fontId="27"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240" fontId="0" fillId="39" borderId="13" xfId="0" applyFont="1" applyFill="1" applyBorder="1" applyNumberFormat="1">
      <alignment horizontal="left" vertical="center" wrapText="1"/>
      <protection locked="0"/>
    </xf>
    <xf numFmtId="240"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237" fontId="22" fillId="0" borderId="37" xfId="0" applyFont="1" applyBorder="1" applyNumberFormat="1">
      <alignment horizontal="center" vertical="center" wrapText="1"/>
    </xf>
    <xf numFmtId="237"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240" fontId="0" fillId="39" borderId="15" xfId="0" applyFont="1" applyFill="1" applyBorder="1" applyNumberFormat="1">
      <alignment horizontal="left" vertical="center" wrapText="1" indent="1"/>
      <protection locked="0"/>
    </xf>
    <xf numFmtId="241" fontId="22" fillId="39" borderId="12" xfId="0" applyFont="1" applyFill="1" applyBorder="1" applyNumberFormat="1">
      <alignment horizontal="left" vertical="center" wrapText="1" indent="1"/>
      <protection locked="0"/>
    </xf>
    <xf numFmtId="240" fontId="48" fillId="0" borderId="0" xfId="0" applyFont="1" applyNumberFormat="1">
      <alignment horizontal="center" vertical="center" wrapText="1"/>
    </xf>
    <xf numFmtId="237" fontId="22" fillId="0" borderId="17" xfId="0" applyFont="1" applyBorder="1" applyNumberFormat="1">
      <alignment horizontal="center" vertical="center" wrapText="1"/>
    </xf>
    <xf numFmtId="237" fontId="22" fillId="0" borderId="14" xfId="0" applyFont="1" applyBorder="1" applyNumberFormat="1">
      <alignment horizontal="center" vertical="center" wrapText="1"/>
    </xf>
    <xf numFmtId="237" fontId="22" fillId="0" borderId="15" xfId="0" applyFont="1" applyBorder="1" applyNumberFormat="1">
      <alignment horizontal="center" vertical="center" wrapText="1"/>
    </xf>
    <xf numFmtId="237"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237" fontId="22" fillId="0" borderId="23" xfId="0" applyFont="1" applyBorder="1" applyNumberFormat="1">
      <alignment horizontal="center" vertical="center" wrapText="1"/>
    </xf>
    <xf numFmtId="237"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237"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237" fontId="45" fillId="0" borderId="19" xfId="0" applyFont="1" applyBorder="1" applyNumberFormat="1">
      <alignment horizontal="center" vertical="center" wrapText="1"/>
    </xf>
    <xf numFmtId="237" fontId="45" fillId="0" borderId="19" xfId="0" applyFont="1" applyBorder="1" applyNumberFormat="1">
      <alignment horizontal="center" vertical="center" wrapText="1"/>
    </xf>
    <xf numFmtId="237"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237" fontId="22" fillId="0" borderId="12" xfId="0" applyFont="1" applyBorder="1" applyNumberFormat="1">
      <alignment horizontal="center" vertical="center" wrapText="1"/>
    </xf>
    <xf numFmtId="237" fontId="22" fillId="0" borderId="36" xfId="0" applyFont="1" applyBorder="1" applyNumberFormat="1">
      <alignment horizontal="center" vertical="center" wrapText="1"/>
    </xf>
    <xf numFmtId="237"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240"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240" fontId="0" fillId="39" borderId="12" xfId="0" applyFont="1" applyFill="1" applyBorder="1" applyNumberFormat="1">
      <alignment horizontal="center" vertical="top" wrapText="1"/>
      <protection locked="0"/>
    </xf>
    <xf numFmtId="240"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7" fillId="0" borderId="0" xfId="0" applyFont="1" applyNumberFormat="1">
      <alignment horizontal="center" vertical="top"/>
    </xf>
    <xf numFmtId="49" fontId="22" fillId="0" borderId="23" xfId="0" applyFont="1" applyBorder="1" applyNumberFormat="1">
      <alignment horizontal="center" vertical="center" wrapTex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40" fillId="37" borderId="13" xfId="0" applyFont="1" applyFill="1" applyBorder="1" applyNumberFormat="1">
      <alignment horizontal="left" vertical="center"/>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0" fillId="0" borderId="0" xfId="0" applyFont="1" applyNumberFormat="1">
      <alignment vertical="top"/>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240"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240"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240" fontId="0" fillId="39" borderId="12" xfId="0" applyFont="1" applyFill="1" applyBorder="1" applyNumberFormat="1">
      <alignment horizontal="left" vertical="center" wrapText="1" indent="1"/>
      <protection locked="0"/>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24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240"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237" fontId="22" fillId="0" borderId="14" xfId="0" applyFont="1" applyBorder="1" applyNumberFormat="1">
      <alignment horizontal="center" vertical="center" wrapText="1"/>
    </xf>
    <xf numFmtId="237"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40" borderId="12" xfId="0" applyFont="1" applyFill="1" applyBorder="1" applyNumberFormat="1">
      <alignment horizontal="left" vertical="top" wrapText="1"/>
    </xf>
    <xf numFmtId="0" fontId="0"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49" fontId="22" fillId="40" borderId="36" xfId="0" applyFont="1" applyFill="1" applyBorder="1" applyNumberFormat="1">
      <alignment horizontal="center"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49" fontId="22" fillId="40" borderId="23"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29" xfId="0" applyFont="1" applyFill="1" applyBorder="1" applyNumberFormat="1">
      <alignment horizontal="left" vertical="center"/>
    </xf>
    <xf numFmtId="49" fontId="0" fillId="0" borderId="0" xfId="0" applyFont="1" applyNumberFormat="1">
      <alignment vertical="center"/>
    </xf>
    <xf numFmtId="0" fontId="0" fillId="0" borderId="0" xfId="0" applyFont="1" applyNumberFormat="1">
      <alignment vertical="center"/>
    </xf>
    <xf numFmtId="0" fontId="37" fillId="0" borderId="0" xfId="0" applyFont="1" applyNumberFormat="1">
      <alignment horizontal="center" vertical="center" wrapText="1"/>
    </xf>
    <xf numFmtId="49" fontId="0" fillId="0" borderId="36" xfId="0" applyFont="1" applyBorder="1" applyNumberFormat="1">
      <alignment vertical="top"/>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vertical="top"/>
      <protection locked="0"/>
    </xf>
    <xf numFmtId="0" fontId="0" fillId="40" borderId="12" xfId="0" applyFont="1" applyFill="1" applyBorder="1" applyNumberFormat="1">
      <alignment horizontal="left" vertical="center" wrapText="1"/>
    </xf>
    <xf numFmtId="49" fontId="22" fillId="40" borderId="17" xfId="0" applyFont="1" applyFill="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49" fontId="22" fillId="36" borderId="12" xfId="0" applyFont="1" applyFill="1" applyBorder="1" applyNumberFormat="1">
      <alignment horizontal="left" vertical="center" wrapText="1"/>
      <protection locked="0"/>
    </xf>
    <xf numFmtId="0" fontId="22" fillId="0" borderId="0" xfId="0" applyFont="1" applyNumberFormat="1">
      <alignment horizontal="left" vertical="center" indent="1"/>
    </xf>
    <xf numFmtId="0" fontId="0" fillId="0" borderId="0" xfId="0" applyFont="1" applyNumberFormat="1">
      <alignment horizontal="left" vertical="center" indent="1"/>
    </xf>
    <xf numFmtId="0" fontId="0" fillId="0" borderId="0" xfId="0" applyFont="1" applyNumberFormat="1">
      <alignment vertical="center"/>
    </xf>
    <xf numFmtId="49" fontId="22" fillId="40" borderId="36" xfId="0" applyFont="1" applyFill="1" applyBorder="1" applyNumberFormat="1">
      <alignment horizontal="center"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49" fontId="0" fillId="0" borderId="12" xfId="0" applyFont="1" applyBorder="1" applyNumberFormat="1">
      <alignment vertical="top"/>
    </xf>
    <xf numFmtId="49" fontId="0" fillId="40" borderId="12" xfId="0" applyFont="1" applyFill="1" applyBorder="1" applyNumberFormat="1">
      <alignment horizontal="left"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40" fillId="37" borderId="29" xfId="0" applyFont="1" applyFill="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49" fontId="0" fillId="40" borderId="12" xfId="0" applyFont="1" applyFill="1" applyBorder="1" applyNumberFormat="1">
      <alignment horizontal="left" vertical="top"/>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240" fontId="0" fillId="0" borderId="12" xfId="0" applyFont="1" applyBorder="1" applyNumberFormat="1">
      <alignment horizontal="left" vertical="center" wrapText="1" inden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238" fontId="22" fillId="36" borderId="12" xfId="0" applyFont="1" applyFill="1" applyBorder="1" applyNumberFormat="1">
      <alignment horizontal="right" vertical="center" wrapText="1"/>
      <protection locked="0"/>
    </xf>
    <xf numFmtId="240"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238" fontId="47" fillId="0" borderId="12" xfId="0" applyFont="1" applyBorder="1" applyNumberFormat="1">
      <alignment horizontal="right" vertical="center" wrapText="1"/>
    </xf>
    <xf numFmtId="240"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240"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240"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238"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238" fontId="22" fillId="36" borderId="23" xfId="0" applyFont="1" applyFill="1" applyBorder="1" applyNumberFormat="1">
      <alignment horizontal="right" vertical="center" wrapText="1"/>
      <protection locked="0"/>
    </xf>
    <xf numFmtId="240"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238"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24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238"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238"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238" fontId="48" fillId="0" borderId="12" xfId="0" applyFont="1" applyBorder="1" applyNumberFormat="1">
      <alignment horizontal="right" vertical="center" wrapText="1"/>
    </xf>
    <xf numFmtId="240"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24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24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4" fontId="22" fillId="36" borderId="12" xfId="0" applyFont="1" applyFill="1" applyBorder="1" applyNumberFormat="1">
      <alignment horizontal="right" vertical="center" wrapText="1"/>
      <protection locked="0"/>
    </xf>
    <xf numFmtId="238" fontId="22" fillId="36" borderId="12" xfId="0" applyFont="1" applyFill="1" applyBorder="1" applyNumberFormat="1">
      <alignment horizontal="right" vertical="center" wrapText="1"/>
      <protection locked="0"/>
    </xf>
    <xf numFmtId="24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 fontId="22" fillId="36" borderId="12" xfId="0" applyFont="1" applyFill="1" applyBorder="1" applyNumberFormat="1">
      <alignment horizontal="right" vertical="center" wrapText="1"/>
      <protection locked="0"/>
    </xf>
    <xf numFmtId="238" fontId="22" fillId="36" borderId="12" xfId="0" applyFont="1" applyFill="1" applyBorder="1" applyNumberFormat="1">
      <alignment horizontal="right" vertical="center" wrapText="1"/>
      <protection locked="0"/>
    </xf>
    <xf numFmtId="24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0" borderId="12" xfId="0" applyFont="1" applyBorder="1" applyNumberFormat="1">
      <alignment horizontal="left" vertical="center" wrapText="1"/>
    </xf>
    <xf numFmtId="4" fontId="22" fillId="0" borderId="12" xfId="0" applyFont="1" applyBorder="1" applyNumberFormat="1">
      <alignment horizontal="righ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 fontId="22" fillId="0" borderId="12" xfId="0" applyFont="1" applyBorder="1" applyNumberFormat="1">
      <alignment horizontal="righ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48" fillId="0" borderId="0" xfId="0" applyFont="1" applyNumberFormat="1">
      <alignment horizontal="center" vertical="center"/>
    </xf>
    <xf numFmtId="49" fontId="48" fillId="0" borderId="0" xfId="0" applyFont="1" applyNumberFormat="1">
      <alignment horizontal="center" vertical="center" wrapText="1"/>
    </xf>
    <xf numFmtId="49" fontId="48"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47" fillId="0" borderId="0" xfId="0" applyFont="1" applyNumberFormat="1">
      <alignment vertical="center"/>
    </xf>
    <xf numFmtId="0" fontId="47" fillId="0" borderId="0" xfId="0" applyFont="1" applyNumberFormat="1">
      <alignment vertical="center"/>
    </xf>
    <xf numFmtId="0" fontId="22" fillId="0" borderId="19" xfId="0" applyFont="1" applyBorder="1" applyNumberFormat="1">
      <alignment horizontal="left" vertical="top" wrapText="1" indent="1"/>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50" fillId="35" borderId="0" xfId="0" applyFont="1" applyFill="1" applyNumberFormat="1">
      <alignment horizontal="center" vertical="center" wrapText="1"/>
    </xf>
    <xf numFmtId="0" fontId="22" fillId="34" borderId="12" xfId="0" applyFont="1" applyFill="1" applyBorder="1" applyNumberFormat="1">
      <alignment horizontal="left" vertical="center" wrapText="1" indent="1"/>
    </xf>
    <xf numFmtId="0" fontId="22" fillId="34" borderId="12" xfId="0" applyFont="1" applyFill="1" applyBorder="1" applyNumberFormat="1">
      <alignment horizontal="left" vertical="center" wrapText="1" indent="1"/>
    </xf>
    <xf numFmtId="240" fontId="22" fillId="34" borderId="12" xfId="0" applyFont="1" applyFill="1" applyBorder="1" applyNumberFormat="1">
      <alignment horizontal="left" vertical="center" wrapText="1" indent="1"/>
    </xf>
    <xf numFmtId="240" fontId="22" fillId="34" borderId="12" xfId="0" applyFont="1" applyFill="1" applyBorder="1" applyNumberFormat="1">
      <alignment horizontal="left" vertical="center" wrapText="1" indent="1"/>
    </xf>
    <xf numFmtId="0" fontId="22" fillId="0" borderId="0" xfId="0" applyFont="1" applyNumberFormat="1">
      <alignment horizontal="right" vertical="center" wrapText="1"/>
    </xf>
    <xf numFmtId="0" fontId="48" fillId="0" borderId="0" xfId="0" applyFont="1" applyNumberFormat="1">
      <alignment vertical="center" wrapText="1"/>
    </xf>
    <xf numFmtId="0" fontId="48" fillId="0" borderId="0" xfId="0" applyFont="1" applyNumberFormat="1">
      <alignment vertical="center" wrapText="1"/>
    </xf>
    <xf numFmtId="0" fontId="37" fillId="0" borderId="27" xfId="0" applyFont="1" applyBorder="1" applyNumberFormat="1">
      <alignment horizontal="center" vertical="center" wrapText="1"/>
    </xf>
    <xf numFmtId="0" fontId="37" fillId="0" borderId="27"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240" fontId="0" fillId="39" borderId="17" xfId="0" applyFont="1" applyFill="1" applyBorder="1" applyNumberFormat="1">
      <alignment horizontal="center" vertical="center" wrapText="1"/>
      <protection locked="0"/>
    </xf>
    <xf numFmtId="240" fontId="0" fillId="39" borderId="12" xfId="0" applyFont="1" applyFill="1" applyBorder="1" applyNumberFormat="1">
      <alignment horizontal="center" vertical="center" wrapText="1"/>
      <protection locked="0"/>
    </xf>
    <xf numFmtId="240" fontId="0" fillId="39" borderId="17" xfId="0" applyFont="1" applyFill="1" applyBorder="1" applyNumberFormat="1">
      <alignment horizontal="center" vertical="center" wrapText="1"/>
      <protection locked="0"/>
    </xf>
    <xf numFmtId="240" fontId="0" fillId="39" borderId="17"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0" fontId="47" fillId="0" borderId="0" xfId="0" applyFont="1" applyNumberFormat="1">
      <alignment horizontal="left" vertical="center" indent="1"/>
    </xf>
    <xf numFmtId="0" fontId="47" fillId="0" borderId="14" xfId="0" applyFont="1" applyBorder="1" applyNumberFormat="1">
      <alignment horizontal="center" vertical="center"/>
    </xf>
    <xf numFmtId="0" fontId="47" fillId="0" borderId="14" xfId="0" applyFont="1" applyBorder="1" applyNumberFormat="1">
      <alignment horizontal="center" vertical="center" wrapText="1"/>
    </xf>
    <xf numFmtId="0" fontId="47" fillId="0" borderId="12" xfId="0" applyFont="1" applyBorder="1" applyNumberFormat="1">
      <alignment horizontal="center" vertical="center" wrapText="1"/>
    </xf>
    <xf numFmtId="0" fontId="47" fillId="0" borderId="0" xfId="0" applyFont="1" applyNumberFormat="1">
      <alignment horizontal="center" vertical="center"/>
    </xf>
    <xf numFmtId="49" fontId="47" fillId="0" borderId="0" xfId="0" applyFont="1" applyNumberFormat="1">
      <alignment vertical="center" wrapText="1"/>
    </xf>
    <xf numFmtId="0" fontId="48" fillId="0" borderId="0" xfId="0" applyFont="1" applyNumberFormat="1">
      <alignment horizontal="center" vertical="center" wrapText="1"/>
    </xf>
    <xf numFmtId="0" fontId="36" fillId="0" borderId="0" xfId="0" applyFont="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xf>
    <xf numFmtId="0" fontId="22" fillId="35" borderId="12" xfId="0" applyFont="1" applyFill="1" applyBorder="1" applyNumberFormat="1">
      <alignment horizontal="left" vertical="center" wrapText="1" indent="5"/>
    </xf>
    <xf numFmtId="0" fontId="22" fillId="0" borderId="12" xfId="0" applyFont="1" applyBorder="1" applyNumberFormat="1">
      <alignment horizontal="left" vertical="center" wrapText="1" indent="6"/>
    </xf>
    <xf numFmtId="0" fontId="45" fillId="0" borderId="17" xfId="0" applyFont="1" applyBorder="1" applyNumberFormat="1">
      <alignment vertical="top" wrapText="1"/>
    </xf>
    <xf numFmtId="0" fontId="48" fillId="0" borderId="0" xfId="0" applyFont="1" applyNumberFormat="1">
      <alignment vertical="center"/>
    </xf>
    <xf numFmtId="49" fontId="0" fillId="0" borderId="0" xfId="0" applyFont="1" applyNumberFormat="1">
      <alignment vertical="top"/>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0" borderId="0" xfId="0" applyFont="1" applyNumberFormat="1">
      <alignment vertical="top"/>
    </xf>
    <xf numFmtId="0" fontId="48" fillId="0" borderId="24" xfId="0" applyFont="1" applyBorder="1" applyNumberFormat="1">
      <alignment horizontal="center" vertical="center"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5" fillId="0" borderId="12" xfId="0" applyFont="1" applyBorder="1" applyNumberFormat="1">
      <alignment vertical="top"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0" borderId="0" xfId="0" applyFont="1" applyNumberFormat="1">
      <alignment vertical="top"/>
    </xf>
    <xf numFmtId="0" fontId="47" fillId="0" borderId="0" xfId="0" applyFont="1" applyNumberFormat="1">
      <alignment horizontal="left" vertical="center" indent="1"/>
    </xf>
    <xf numFmtId="0" fontId="47" fillId="0" borderId="14" xfId="0" applyFont="1" applyBorder="1" applyNumberFormat="1">
      <alignment horizontal="center" vertical="center"/>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xf>
    <xf numFmtId="0" fontId="22" fillId="35" borderId="12" xfId="0" applyFont="1" applyFill="1" applyBorder="1" applyNumberFormat="1">
      <alignment horizontal="left" vertical="center" wrapText="1" inden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8" fillId="0" borderId="0" xfId="0" applyFont="1" applyNumberFormat="1">
      <alignment vertical="center" wrapText="1"/>
    </xf>
    <xf numFmtId="0" fontId="48" fillId="0" borderId="0" xfId="0" applyFont="1" applyNumberFormat="1">
      <alignment vertical="center"/>
    </xf>
    <xf numFmtId="0" fontId="22"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49" fontId="0" fillId="0" borderId="0" xfId="0" applyFont="1" applyNumberFormat="1">
      <alignment vertical="top"/>
    </xf>
    <xf numFmtId="0" fontId="47" fillId="0" borderId="12" xfId="0" applyFont="1" applyBorder="1" applyNumberFormat="1">
      <alignment horizontal="center" vertical="center" wrapText="1"/>
    </xf>
    <xf numFmtId="49" fontId="47" fillId="0" borderId="0" xfId="0" applyFont="1" applyNumberFormat="1">
      <alignment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0" fillId="0" borderId="0" xfId="0" applyFont="1" applyNumberFormat="1">
      <alignment vertical="top"/>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5" fillId="0" borderId="17" xfId="0" applyFont="1" applyBorder="1" applyNumberFormat="1">
      <alignment vertical="top" wrapText="1"/>
    </xf>
    <xf numFmtId="49" fontId="0" fillId="0" borderId="0" xfId="0" applyFont="1" applyNumberFormat="1">
      <alignment vertical="top"/>
    </xf>
    <xf numFmtId="49" fontId="22" fillId="36" borderId="12" xfId="0" applyFont="1" applyFill="1" applyBorder="1" applyNumberFormat="1">
      <alignment horizontal="left" vertical="center" wrapText="1" indent="6"/>
      <protection locked="0"/>
    </xf>
    <xf numFmtId="4" fontId="22" fillId="36" borderId="12" xfId="0" applyFont="1" applyFill="1" applyBorder="1" applyNumberFormat="1">
      <alignment horizontal="right" vertical="center" wrapText="1"/>
      <protection locked="0"/>
    </xf>
    <xf numFmtId="238" fontId="22" fillId="36" borderId="12" xfId="0" applyFont="1" applyFill="1" applyBorder="1" applyNumberFormat="1">
      <alignment horizontal="right" vertical="center" wrapText="1"/>
      <protection locked="0"/>
    </xf>
    <xf numFmtId="49" fontId="22" fillId="40" borderId="12" xfId="0" applyFont="1" applyFill="1" applyBorder="1" applyNumberFormat="1">
      <alignment horizontal="center" vertical="center" wrapText="1"/>
    </xf>
    <xf numFmtId="240" fontId="0" fillId="39" borderId="12" xfId="0" applyFont="1" applyFill="1" applyBorder="1" applyNumberFormat="1">
      <alignment horizontal="center" vertical="center" wrapText="1"/>
      <protection locked="0"/>
    </xf>
    <xf numFmtId="240" fontId="0" fillId="39" borderId="17" xfId="0" applyFont="1" applyFill="1" applyBorder="1" applyNumberFormat="1">
      <alignment horizontal="center" vertical="center" wrapText="1"/>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22" fillId="0" borderId="12" xfId="0" applyFont="1" applyBorder="1" applyNumberFormat="1">
      <alignment horizontal="righ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4" fontId="22" fillId="0" borderId="30" xfId="0" applyFont="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0" fontId="47" fillId="0" borderId="0" xfId="0" applyFont="1" applyNumberFormat="1">
      <alignment horizontal="left" vertical="center" indent="1"/>
    </xf>
    <xf numFmtId="0" fontId="47" fillId="0" borderId="14" xfId="0" applyFont="1" applyBorder="1" applyNumberFormat="1">
      <alignment horizontal="center" vertical="center"/>
    </xf>
    <xf numFmtId="0" fontId="47" fillId="0" borderId="14" xfId="0" applyFont="1" applyBorder="1" applyNumberFormat="1">
      <alignment horizontal="center" vertical="center" wrapText="1"/>
    </xf>
    <xf numFmtId="0" fontId="47" fillId="0" borderId="12" xfId="0" applyFont="1" applyBorder="1" applyNumberFormat="1">
      <alignment horizontal="center" vertical="center" wrapText="1"/>
    </xf>
    <xf numFmtId="0" fontId="47" fillId="0" borderId="0" xfId="0" applyFont="1" applyNumberFormat="1">
      <alignment horizontal="center" vertical="center"/>
    </xf>
    <xf numFmtId="49" fontId="47" fillId="0" borderId="0" xfId="0" applyFont="1" applyNumberFormat="1">
      <alignment vertical="center" wrapText="1"/>
    </xf>
    <xf numFmtId="0" fontId="48" fillId="0" borderId="0" xfId="0" applyFont="1" applyNumberFormat="1">
      <alignment horizontal="center" vertical="center" wrapText="1"/>
    </xf>
    <xf numFmtId="0" fontId="36" fillId="0" borderId="0" xfId="0" applyFont="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xf>
    <xf numFmtId="0" fontId="22" fillId="35" borderId="12" xfId="0" applyFont="1" applyFill="1" applyBorder="1" applyNumberFormat="1">
      <alignment horizontal="left" vertical="center" wrapText="1" indent="5"/>
    </xf>
    <xf numFmtId="0" fontId="22" fillId="0" borderId="12" xfId="0" applyFont="1" applyBorder="1" applyNumberFormat="1">
      <alignment horizontal="left" vertical="center" wrapText="1" indent="6"/>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5" fillId="0" borderId="17" xfId="0" applyFont="1" applyBorder="1" applyNumberFormat="1">
      <alignment vertical="top" wrapText="1"/>
    </xf>
    <xf numFmtId="0" fontId="48" fillId="0" borderId="0" xfId="0" applyFont="1" applyNumberFormat="1">
      <alignment vertical="center" wrapText="1"/>
    </xf>
    <xf numFmtId="0" fontId="48" fillId="0" borderId="0" xfId="0" applyFont="1" applyNumberFormat="1">
      <alignment vertical="center"/>
    </xf>
    <xf numFmtId="0" fontId="22" fillId="0" borderId="0" xfId="0" applyFont="1" applyNumberFormat="1">
      <alignment vertical="center" wrapText="1"/>
    </xf>
    <xf numFmtId="49" fontId="0" fillId="0" borderId="0" xfId="0" applyFont="1" applyNumberFormat="1">
      <alignment vertical="top"/>
    </xf>
    <xf numFmtId="49" fontId="22" fillId="36" borderId="12" xfId="0" applyFont="1" applyFill="1" applyBorder="1" applyNumberFormat="1">
      <alignment horizontal="left" vertical="center" wrapText="1" indent="6"/>
      <protection locked="0"/>
    </xf>
    <xf numFmtId="4" fontId="22" fillId="36" borderId="12" xfId="0" applyFont="1" applyFill="1" applyBorder="1" applyNumberFormat="1">
      <alignment horizontal="right" vertical="center" wrapText="1"/>
      <protection locked="0"/>
    </xf>
    <xf numFmtId="238" fontId="22" fillId="36" borderId="12" xfId="0" applyFont="1" applyFill="1" applyBorder="1" applyNumberFormat="1">
      <alignment horizontal="right" vertical="center" wrapText="1"/>
      <protection locked="0"/>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22" fillId="0" borderId="12" xfId="0" applyFont="1" applyBorder="1" applyNumberFormat="1">
      <alignment horizontal="righ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4" fontId="22" fillId="0" borderId="30" xfId="0" applyFont="1" applyBorder="1" applyNumberFormat="1">
      <alignment horizontal="right" vertical="center" wrapText="1"/>
    </xf>
    <xf numFmtId="49" fontId="0" fillId="0" borderId="0" xfId="0" applyFont="1" applyNumberFormat="1">
      <alignment vertical="top"/>
    </xf>
    <xf numFmtId="0" fontId="48" fillId="0" borderId="24" xfId="0" applyFont="1" applyBorder="1" applyNumberFormat="1">
      <alignment horizontal="center" vertical="center"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5" fillId="0" borderId="12" xfId="0" applyFont="1" applyBorder="1" applyNumberFormat="1">
      <alignmen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0" fontId="47" fillId="0" borderId="0" xfId="0" applyFont="1" applyNumberFormat="1">
      <alignment vertical="center" wrapText="1"/>
    </xf>
    <xf numFmtId="49" fontId="22" fillId="0" borderId="0" xfId="0" applyFont="1" applyNumberFormat="1">
      <alignment vertical="top"/>
    </xf>
    <xf numFmtId="49" fontId="39" fillId="0" borderId="0" xfId="0" applyFont="1" applyNumberFormat="1">
      <alignment vertical="top"/>
    </xf>
    <xf numFmtId="49" fontId="22" fillId="0" borderId="24" xfId="0" applyFont="1" applyBorder="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horizontal="left" vertical="center"/>
    </xf>
    <xf numFmtId="49" fontId="48" fillId="0" borderId="0" xfId="0" applyFont="1" applyNumberFormat="1">
      <alignment vertical="top"/>
    </xf>
    <xf numFmtId="49" fontId="107" fillId="0" borderId="0" xfId="0" applyFont="1" applyNumberFormat="1">
      <alignment vertical="top"/>
    </xf>
    <xf numFmtId="49" fontId="97" fillId="0" borderId="0" xfId="0" applyFont="1" applyNumberFormat="1">
      <alignment horizontal="left" vertical="center"/>
    </xf>
    <xf numFmtId="49" fontId="48" fillId="0" borderId="0" xfId="0" applyFont="1" applyNumberFormat="1">
      <alignment horizontal="left" vertical="center" indent="1"/>
    </xf>
    <xf numFmtId="49" fontId="48" fillId="0" borderId="0" xfId="0" applyFont="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240" fontId="0" fillId="39" borderId="12" xfId="0" applyFont="1" applyFill="1" applyBorder="1" applyNumberFormat="1">
      <alignment horizontal="center" vertical="center" wrapText="1"/>
      <protection locked="0"/>
    </xf>
    <xf numFmtId="240" fontId="0" fillId="39" borderId="17" xfId="0" applyFont="1" applyFill="1" applyBorder="1" applyNumberFormat="1">
      <alignment horizontal="center" vertical="center" wrapText="1"/>
      <protection locked="0"/>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0" fontId="47" fillId="0" borderId="0" xfId="0" applyFont="1" applyNumberFormat="1">
      <alignment horizontal="left" vertical="center" indent="1"/>
    </xf>
    <xf numFmtId="0" fontId="47" fillId="0" borderId="14" xfId="0" applyFont="1" applyBorder="1" applyNumberFormat="1">
      <alignment horizontal="center" vertical="center"/>
    </xf>
    <xf numFmtId="0" fontId="47" fillId="0" borderId="14" xfId="0" applyFont="1" applyBorder="1" applyNumberFormat="1">
      <alignment horizontal="center" vertical="center" wrapText="1"/>
    </xf>
    <xf numFmtId="0" fontId="47" fillId="0" borderId="12" xfId="0" applyFont="1" applyBorder="1" applyNumberFormat="1">
      <alignment horizontal="center" vertical="center" wrapText="1"/>
    </xf>
    <xf numFmtId="0" fontId="47" fillId="0" borderId="0" xfId="0" applyFont="1" applyNumberFormat="1">
      <alignment horizontal="center" vertical="center"/>
    </xf>
    <xf numFmtId="49" fontId="47" fillId="0" borderId="0" xfId="0" applyFont="1" applyNumberFormat="1">
      <alignment vertical="center" wrapText="1"/>
    </xf>
    <xf numFmtId="0" fontId="48" fillId="0" borderId="0" xfId="0" applyFont="1" applyNumberFormat="1">
      <alignment horizontal="center" vertical="center" wrapText="1"/>
    </xf>
    <xf numFmtId="0" fontId="36" fillId="0" borderId="0" xfId="0" applyFont="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xf>
    <xf numFmtId="0" fontId="22" fillId="35" borderId="12" xfId="0" applyFont="1" applyFill="1" applyBorder="1" applyNumberFormat="1">
      <alignment horizontal="left" vertical="center" wrapText="1" indent="5"/>
    </xf>
    <xf numFmtId="0" fontId="22" fillId="0" borderId="12" xfId="0" applyFont="1" applyBorder="1" applyNumberFormat="1">
      <alignment horizontal="left" vertical="center" wrapText="1" indent="6"/>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22" fillId="40" borderId="13" xfId="61" applyFont="1" applyFill="1" applyBorder="1" applyNumberFormat="1">
      <alignment horizontal="left" vertical="center" wrapText="1"/>
    </xf>
    <xf numFmtId="0" fontId="45" fillId="0" borderId="17" xfId="0" applyFont="1" applyBorder="1" applyNumberFormat="1">
      <alignment vertical="top" wrapText="1"/>
    </xf>
    <xf numFmtId="0" fontId="48" fillId="0" borderId="0" xfId="0" applyFont="1" applyNumberFormat="1">
      <alignment vertical="center" wrapText="1"/>
    </xf>
    <xf numFmtId="0" fontId="48" fillId="0" borderId="0" xfId="0" applyFont="1" applyNumberFormat="1">
      <alignment vertical="center"/>
    </xf>
    <xf numFmtId="0" fontId="22" fillId="0" borderId="0" xfId="0" applyFont="1" applyNumberFormat="1">
      <alignment vertical="center" wrapText="1"/>
    </xf>
    <xf numFmtId="49" fontId="0" fillId="0" borderId="0" xfId="0" applyFont="1" applyNumberFormat="1">
      <alignment vertical="top"/>
    </xf>
    <xf numFmtId="49" fontId="22" fillId="36" borderId="12" xfId="0" applyFont="1" applyFill="1" applyBorder="1" applyNumberFormat="1">
      <alignment horizontal="left" vertical="center" wrapText="1" indent="6"/>
      <protection locked="0"/>
    </xf>
    <xf numFmtId="4" fontId="22" fillId="36" borderId="12" xfId="0" applyFont="1" applyFill="1" applyBorder="1" applyNumberFormat="1">
      <alignment horizontal="right" vertical="center" wrapText="1"/>
      <protection locked="0"/>
    </xf>
    <xf numFmtId="238" fontId="22" fillId="36" borderId="12" xfId="0" applyFont="1" applyFill="1" applyBorder="1" applyNumberFormat="1">
      <alignment horizontal="right" vertical="center" wrapText="1"/>
      <protection locked="0"/>
    </xf>
    <xf numFmtId="49" fontId="22" fillId="40" borderId="12" xfId="0" applyFont="1" applyFill="1" applyBorder="1" applyNumberFormat="1">
      <alignment horizontal="center" vertical="center" wrapText="1"/>
    </xf>
    <xf numFmtId="49" fontId="22" fillId="40" borderId="12" xfId="61" applyFont="1" applyFill="1" applyBorder="1" applyNumberFormat="1">
      <alignment horizontal="center" vertical="center" wrapText="1"/>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22" fillId="0" borderId="12" xfId="0" applyFont="1" applyBorder="1" applyNumberFormat="1">
      <alignment horizontal="righ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4" fontId="22" fillId="0" borderId="30" xfId="0" applyFont="1" applyBorder="1" applyNumberFormat="1">
      <alignment horizontal="right" vertical="center" wrapText="1"/>
    </xf>
    <xf numFmtId="49" fontId="0" fillId="0" borderId="0" xfId="0" applyFont="1" applyNumberFormat="1">
      <alignment vertical="top"/>
    </xf>
    <xf numFmtId="0" fontId="48" fillId="0" borderId="24" xfId="0" applyFont="1" applyBorder="1" applyNumberFormat="1">
      <alignment horizontal="center" vertical="center"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5" fillId="0" borderId="12" xfId="0" applyFont="1" applyBorder="1" applyNumberFormat="1">
      <alignmen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0" fontId="22" fillId="0" borderId="0" xfId="0" applyFont="1" applyNumberFormat="1">
      <alignment horizontal="lef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239"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46" fillId="0" borderId="0" xfId="0" applyFont="1" applyNumberFormat="1">
      <alignment vertical="center" wrapText="1"/>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239"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239"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239" fontId="22" fillId="34" borderId="13" xfId="0" applyFont="1" applyFill="1" applyBorder="1" applyNumberFormat="1">
      <alignment horizontal="right" vertical="center" wrapText="1"/>
    </xf>
    <xf numFmtId="239"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239"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8" fillId="0" borderId="17" xfId="0" applyFont="1" applyBorder="1" applyNumberFormat="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54" fillId="0" borderId="0" xfId="0" applyFont="1" applyNumberFormat="1">
      <alignment vertical="center"/>
    </xf>
    <xf numFmtId="0" fontId="91" fillId="0" borderId="0" xfId="0" applyFont="1" applyNumberFormat="1">
      <alignment vertical="center" wrapText="1"/>
    </xf>
    <xf numFmtId="49" fontId="91" fillId="0" borderId="0" xfId="0" applyFont="1" applyNumberFormat="1">
      <alignment horizontal="center"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240"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240" fontId="0" fillId="39" borderId="12" xfId="0" applyFont="1" applyFill="1" applyBorder="1" applyNumberFormat="1">
      <alignment horizontal="left" vertical="center" wrapText="1"/>
      <protection locked="0"/>
    </xf>
    <xf numFmtId="0" fontId="27" fillId="39" borderId="12" xfId="0" applyFont="1" applyFill="1" applyBorder="1" applyNumberFormat="1">
      <alignment horizontal="left" vertical="center" wrapText="1"/>
      <protection locked="0"/>
    </xf>
    <xf numFmtId="49" fontId="27"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240" fontId="0" fillId="39" borderId="13" xfId="0" applyFont="1" applyFill="1" applyBorder="1" applyNumberFormat="1">
      <alignment horizontal="left" vertical="center" wrapText="1"/>
      <protection locked="0"/>
    </xf>
    <xf numFmtId="240"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237" fontId="22" fillId="0" borderId="37" xfId="0" applyFont="1" applyBorder="1" applyNumberFormat="1">
      <alignment horizontal="center" vertical="center" wrapText="1"/>
    </xf>
    <xf numFmtId="237"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240" fontId="0" fillId="39" borderId="15" xfId="0" applyFont="1" applyFill="1" applyBorder="1" applyNumberFormat="1">
      <alignment horizontal="left" vertical="center" wrapText="1" indent="1"/>
      <protection locked="0"/>
    </xf>
    <xf numFmtId="241" fontId="22" fillId="39" borderId="12" xfId="0" applyFont="1" applyFill="1" applyBorder="1" applyNumberFormat="1">
      <alignment horizontal="left" vertical="center" wrapText="1" indent="1"/>
      <protection locked="0"/>
    </xf>
    <xf numFmtId="240" fontId="48" fillId="0" borderId="0" xfId="0" applyFont="1" applyNumberFormat="1">
      <alignment horizontal="center" vertical="center" wrapText="1"/>
    </xf>
    <xf numFmtId="237" fontId="22" fillId="0" borderId="17" xfId="0" applyFont="1" applyBorder="1" applyNumberFormat="1">
      <alignment horizontal="center" vertical="center" wrapText="1"/>
    </xf>
    <xf numFmtId="237" fontId="22" fillId="0" borderId="14" xfId="0" applyFont="1" applyBorder="1" applyNumberFormat="1">
      <alignment horizontal="center" vertical="center" wrapText="1"/>
    </xf>
    <xf numFmtId="237" fontId="22" fillId="0" borderId="15" xfId="0" applyFont="1" applyBorder="1" applyNumberFormat="1">
      <alignment horizontal="center" vertical="center" wrapText="1"/>
    </xf>
    <xf numFmtId="237"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237" fontId="22" fillId="0" borderId="23" xfId="0" applyFont="1" applyBorder="1" applyNumberFormat="1">
      <alignment horizontal="center" vertical="center" wrapText="1"/>
    </xf>
    <xf numFmtId="237"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237"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237" fontId="45" fillId="0" borderId="19" xfId="0" applyFont="1" applyBorder="1" applyNumberFormat="1">
      <alignment horizontal="center" vertical="center" wrapText="1"/>
    </xf>
    <xf numFmtId="237" fontId="45" fillId="0" borderId="19" xfId="0" applyFont="1" applyBorder="1" applyNumberFormat="1">
      <alignment horizontal="center" vertical="center" wrapText="1"/>
    </xf>
    <xf numFmtId="237"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237" fontId="22" fillId="0" borderId="12" xfId="0" applyFont="1" applyBorder="1" applyNumberFormat="1">
      <alignment horizontal="center" vertical="center" wrapText="1"/>
    </xf>
    <xf numFmtId="237" fontId="22" fillId="0" borderId="36" xfId="0" applyFont="1" applyBorder="1" applyNumberFormat="1">
      <alignment horizontal="center" vertical="center" wrapText="1"/>
    </xf>
    <xf numFmtId="237"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240"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240" fontId="0" fillId="39" borderId="12" xfId="0" applyFont="1" applyFill="1" applyBorder="1" applyNumberFormat="1">
      <alignment horizontal="center" vertical="top" wrapText="1"/>
      <protection locked="0"/>
    </xf>
    <xf numFmtId="240"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7" fillId="0" borderId="0" xfId="0" applyFont="1" applyNumberFormat="1">
      <alignment horizontal="center" vertical="top"/>
    </xf>
    <xf numFmtId="49" fontId="22" fillId="0" borderId="23" xfId="0" applyFont="1" applyBorder="1" applyNumberFormat="1">
      <alignment horizontal="center" vertical="center" wrapTex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40" fillId="37" borderId="13" xfId="0" applyFont="1" applyFill="1" applyBorder="1" applyNumberFormat="1">
      <alignment horizontal="left" vertical="center"/>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0" fillId="0" borderId="0" xfId="0" applyFont="1" applyNumberFormat="1">
      <alignment vertical="top"/>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240"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240"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240" fontId="0" fillId="39" borderId="12" xfId="0" applyFont="1" applyFill="1" applyBorder="1" applyNumberFormat="1">
      <alignment horizontal="left" vertical="center" wrapText="1" indent="1"/>
      <protection locked="0"/>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24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240"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237" fontId="22" fillId="0" borderId="14" xfId="0" applyFont="1" applyBorder="1" applyNumberFormat="1">
      <alignment horizontal="center" vertical="center" wrapText="1"/>
    </xf>
    <xf numFmtId="237"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40" borderId="12" xfId="0" applyFont="1" applyFill="1" applyBorder="1" applyNumberFormat="1">
      <alignment horizontal="left" vertical="top" wrapText="1"/>
    </xf>
    <xf numFmtId="0" fontId="0"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49" fontId="22" fillId="40" borderId="36" xfId="0" applyFont="1" applyFill="1" applyBorder="1" applyNumberFormat="1">
      <alignment horizontal="center"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49" fontId="22" fillId="40" borderId="23"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29" xfId="0" applyFont="1" applyFill="1" applyBorder="1" applyNumberFormat="1">
      <alignment horizontal="left" vertical="center"/>
    </xf>
    <xf numFmtId="49" fontId="0" fillId="0" borderId="0" xfId="0" applyFont="1" applyNumberFormat="1">
      <alignment vertical="center"/>
    </xf>
    <xf numFmtId="0" fontId="0" fillId="0" borderId="0" xfId="0" applyFont="1" applyNumberFormat="1">
      <alignment vertical="center"/>
    </xf>
    <xf numFmtId="0" fontId="37" fillId="0" borderId="0" xfId="0" applyFont="1" applyNumberFormat="1">
      <alignment horizontal="center" vertical="center" wrapText="1"/>
    </xf>
    <xf numFmtId="49" fontId="0" fillId="0" borderId="36" xfId="0" applyFont="1" applyBorder="1" applyNumberFormat="1">
      <alignment vertical="top"/>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vertical="top"/>
      <protection locked="0"/>
    </xf>
    <xf numFmtId="0" fontId="0" fillId="40" borderId="12" xfId="0" applyFont="1" applyFill="1" applyBorder="1" applyNumberFormat="1">
      <alignment horizontal="left" vertical="center" wrapText="1"/>
    </xf>
    <xf numFmtId="49" fontId="22" fillId="40" borderId="17" xfId="0" applyFont="1" applyFill="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49" fontId="22" fillId="36" borderId="12" xfId="0" applyFont="1" applyFill="1" applyBorder="1" applyNumberFormat="1">
      <alignment horizontal="left" vertical="center" wrapText="1"/>
      <protection locked="0"/>
    </xf>
    <xf numFmtId="0" fontId="22" fillId="0" borderId="0" xfId="0" applyFont="1" applyNumberFormat="1">
      <alignment horizontal="left" vertical="center" indent="1"/>
    </xf>
    <xf numFmtId="0" fontId="0" fillId="0" borderId="0" xfId="0" applyFont="1" applyNumberFormat="1">
      <alignment horizontal="left" vertical="center" indent="1"/>
    </xf>
    <xf numFmtId="0" fontId="0" fillId="0" borderId="0" xfId="0" applyFont="1" applyNumberFormat="1">
      <alignment vertical="center"/>
    </xf>
    <xf numFmtId="49" fontId="22" fillId="40" borderId="36" xfId="0" applyFont="1" applyFill="1" applyBorder="1" applyNumberFormat="1">
      <alignment horizontal="center"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49" fontId="0" fillId="0" borderId="12" xfId="0" applyFont="1" applyBorder="1" applyNumberFormat="1">
      <alignment vertical="top"/>
    </xf>
    <xf numFmtId="49" fontId="0" fillId="40" borderId="12" xfId="0" applyFont="1" applyFill="1" applyBorder="1" applyNumberFormat="1">
      <alignment horizontal="left"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40" fillId="37" borderId="29" xfId="0" applyFont="1" applyFill="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49" fontId="0" fillId="40" borderId="12" xfId="0" applyFont="1" applyFill="1" applyBorder="1" applyNumberFormat="1">
      <alignment horizontal="left" vertical="top"/>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240" fontId="0" fillId="0" borderId="12" xfId="0" applyFont="1" applyBorder="1" applyNumberFormat="1">
      <alignment horizontal="left" vertical="center" wrapText="1" inden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238" fontId="22" fillId="36" borderId="12" xfId="0" applyFont="1" applyFill="1" applyBorder="1" applyNumberFormat="1">
      <alignment horizontal="right" vertical="center" wrapText="1"/>
      <protection locked="0"/>
    </xf>
    <xf numFmtId="240"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238" fontId="47" fillId="0" borderId="12" xfId="0" applyFont="1" applyBorder="1" applyNumberFormat="1">
      <alignment horizontal="right" vertical="center" wrapText="1"/>
    </xf>
    <xf numFmtId="240"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240"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240"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238"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238" fontId="22" fillId="36" borderId="23" xfId="0" applyFont="1" applyFill="1" applyBorder="1" applyNumberFormat="1">
      <alignment horizontal="right" vertical="center" wrapText="1"/>
      <protection locked="0"/>
    </xf>
    <xf numFmtId="240"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238"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24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238"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238"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238" fontId="48" fillId="0" borderId="12" xfId="0" applyFont="1" applyBorder="1" applyNumberFormat="1">
      <alignment horizontal="right" vertical="center" wrapText="1"/>
    </xf>
    <xf numFmtId="240"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24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24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4" fontId="22" fillId="36" borderId="12" xfId="0" applyFont="1" applyFill="1" applyBorder="1" applyNumberFormat="1">
      <alignment horizontal="right" vertical="center" wrapText="1"/>
      <protection locked="0"/>
    </xf>
    <xf numFmtId="238" fontId="22" fillId="36" borderId="12" xfId="0" applyFont="1" applyFill="1" applyBorder="1" applyNumberFormat="1">
      <alignment horizontal="right" vertical="center" wrapText="1"/>
      <protection locked="0"/>
    </xf>
    <xf numFmtId="24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 fontId="22" fillId="36" borderId="12" xfId="0" applyFont="1" applyFill="1" applyBorder="1" applyNumberFormat="1">
      <alignment horizontal="right" vertical="center" wrapText="1"/>
      <protection locked="0"/>
    </xf>
    <xf numFmtId="238" fontId="22" fillId="36" borderId="12" xfId="0" applyFont="1" applyFill="1" applyBorder="1" applyNumberFormat="1">
      <alignment horizontal="right" vertical="center" wrapText="1"/>
      <protection locked="0"/>
    </xf>
    <xf numFmtId="24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0" borderId="12" xfId="0" applyFont="1" applyBorder="1" applyNumberFormat="1">
      <alignment horizontal="left" vertical="center" wrapText="1"/>
    </xf>
    <xf numFmtId="4" fontId="22" fillId="0" borderId="12" xfId="0" applyFont="1" applyBorder="1" applyNumberFormat="1">
      <alignment horizontal="righ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 fontId="22" fillId="0" borderId="12" xfId="0" applyFont="1" applyBorder="1" applyNumberFormat="1">
      <alignment horizontal="righ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48" fillId="0" borderId="0" xfId="0" applyFont="1" applyNumberFormat="1">
      <alignment horizontal="center" vertical="center"/>
    </xf>
    <xf numFmtId="49" fontId="48" fillId="0" borderId="0" xfId="0" applyFont="1" applyNumberFormat="1">
      <alignment horizontal="center" vertical="center" wrapText="1"/>
    </xf>
    <xf numFmtId="49" fontId="48"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47" fillId="0" borderId="0" xfId="0" applyFont="1" applyNumberFormat="1">
      <alignment vertical="center"/>
    </xf>
    <xf numFmtId="0" fontId="47" fillId="0" borderId="0" xfId="0" applyFont="1" applyNumberFormat="1">
      <alignment vertical="center"/>
    </xf>
    <xf numFmtId="0" fontId="22" fillId="0" borderId="19" xfId="0" applyFont="1" applyBorder="1" applyNumberFormat="1">
      <alignment horizontal="left" vertical="top" wrapText="1" indent="1"/>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50" fillId="35" borderId="0" xfId="0" applyFont="1" applyFill="1" applyNumberFormat="1">
      <alignment horizontal="center" vertical="center" wrapText="1"/>
    </xf>
    <xf numFmtId="0" fontId="22" fillId="34" borderId="12" xfId="0" applyFont="1" applyFill="1" applyBorder="1" applyNumberFormat="1">
      <alignment horizontal="left" vertical="center" wrapText="1" indent="1"/>
    </xf>
    <xf numFmtId="0" fontId="22" fillId="34" borderId="12" xfId="0" applyFont="1" applyFill="1" applyBorder="1" applyNumberFormat="1">
      <alignment horizontal="left" vertical="center" wrapText="1" indent="1"/>
    </xf>
    <xf numFmtId="240" fontId="22" fillId="34" borderId="12" xfId="0" applyFont="1" applyFill="1" applyBorder="1" applyNumberFormat="1">
      <alignment horizontal="left" vertical="center" wrapText="1" indent="1"/>
    </xf>
    <xf numFmtId="240" fontId="22" fillId="34" borderId="12" xfId="0" applyFont="1" applyFill="1" applyBorder="1" applyNumberFormat="1">
      <alignment horizontal="left" vertical="center" wrapText="1" indent="1"/>
    </xf>
    <xf numFmtId="0" fontId="22" fillId="0" borderId="0" xfId="0" applyFont="1" applyNumberFormat="1">
      <alignment horizontal="right" vertical="center" wrapText="1"/>
    </xf>
    <xf numFmtId="0" fontId="48" fillId="0" borderId="0" xfId="0" applyFont="1" applyNumberFormat="1">
      <alignment vertical="center" wrapText="1"/>
    </xf>
    <xf numFmtId="0" fontId="48" fillId="0" borderId="0" xfId="0" applyFont="1" applyNumberFormat="1">
      <alignment vertical="center" wrapText="1"/>
    </xf>
    <xf numFmtId="0" fontId="37" fillId="0" borderId="27" xfId="0" applyFont="1" applyBorder="1" applyNumberFormat="1">
      <alignment horizontal="center" vertical="center" wrapText="1"/>
    </xf>
    <xf numFmtId="0" fontId="37" fillId="0" borderId="27"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240" fontId="0" fillId="39" borderId="17" xfId="0" applyFont="1" applyFill="1" applyBorder="1" applyNumberFormat="1">
      <alignment horizontal="center" vertical="center" wrapText="1"/>
      <protection locked="0"/>
    </xf>
    <xf numFmtId="240" fontId="0" fillId="39" borderId="12" xfId="0" applyFont="1" applyFill="1" applyBorder="1" applyNumberFormat="1">
      <alignment horizontal="center" vertical="center" wrapText="1"/>
      <protection locked="0"/>
    </xf>
    <xf numFmtId="240" fontId="0" fillId="39" borderId="17" xfId="0" applyFont="1" applyFill="1" applyBorder="1" applyNumberFormat="1">
      <alignment horizontal="center" vertical="center" wrapText="1"/>
      <protection locked="0"/>
    </xf>
    <xf numFmtId="240" fontId="0" fillId="39" borderId="17"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0" fontId="47" fillId="0" borderId="0" xfId="0" applyFont="1" applyNumberFormat="1">
      <alignment horizontal="left" vertical="center" indent="1"/>
    </xf>
    <xf numFmtId="0" fontId="47" fillId="0" borderId="14" xfId="0" applyFont="1" applyBorder="1" applyNumberFormat="1">
      <alignment horizontal="center" vertical="center"/>
    </xf>
    <xf numFmtId="0" fontId="47" fillId="0" borderId="14" xfId="0" applyFont="1" applyBorder="1" applyNumberFormat="1">
      <alignment horizontal="center" vertical="center" wrapText="1"/>
    </xf>
    <xf numFmtId="0" fontId="47" fillId="0" borderId="12" xfId="0" applyFont="1" applyBorder="1" applyNumberFormat="1">
      <alignment horizontal="center" vertical="center" wrapText="1"/>
    </xf>
    <xf numFmtId="0" fontId="47" fillId="0" borderId="0" xfId="0" applyFont="1" applyNumberFormat="1">
      <alignment horizontal="center" vertical="center"/>
    </xf>
    <xf numFmtId="49" fontId="47" fillId="0" borderId="0" xfId="0" applyFont="1" applyNumberFormat="1">
      <alignment vertical="center" wrapText="1"/>
    </xf>
    <xf numFmtId="0" fontId="48" fillId="0" borderId="0" xfId="0" applyFont="1" applyNumberFormat="1">
      <alignment horizontal="center" vertical="center" wrapText="1"/>
    </xf>
    <xf numFmtId="0" fontId="36" fillId="0" borderId="0" xfId="0" applyFont="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xf>
    <xf numFmtId="0" fontId="22" fillId="35" borderId="12" xfId="0" applyFont="1" applyFill="1" applyBorder="1" applyNumberFormat="1">
      <alignment horizontal="left" vertical="center" wrapText="1" indent="5"/>
    </xf>
    <xf numFmtId="0" fontId="22" fillId="0" borderId="12" xfId="0" applyFont="1" applyBorder="1" applyNumberFormat="1">
      <alignment horizontal="left" vertical="center" wrapText="1" indent="6"/>
    </xf>
    <xf numFmtId="0" fontId="45" fillId="0" borderId="17" xfId="0" applyFont="1" applyBorder="1" applyNumberFormat="1">
      <alignment vertical="top" wrapText="1"/>
    </xf>
    <xf numFmtId="0" fontId="48" fillId="0" borderId="0" xfId="0" applyFont="1" applyNumberFormat="1">
      <alignment vertical="center"/>
    </xf>
    <xf numFmtId="49" fontId="0" fillId="0" borderId="0" xfId="0" applyFont="1" applyNumberFormat="1">
      <alignment vertical="top"/>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0" borderId="0" xfId="0" applyFont="1" applyNumberFormat="1">
      <alignment vertical="top"/>
    </xf>
    <xf numFmtId="0" fontId="48" fillId="0" borderId="24" xfId="0" applyFont="1" applyBorder="1" applyNumberFormat="1">
      <alignment horizontal="center" vertical="center"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5" fillId="0" borderId="12" xfId="0" applyFont="1" applyBorder="1" applyNumberFormat="1">
      <alignment vertical="top"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0" borderId="0" xfId="0" applyFont="1" applyNumberFormat="1">
      <alignment vertical="top"/>
    </xf>
    <xf numFmtId="0" fontId="47" fillId="0" borderId="0" xfId="0" applyFont="1" applyNumberFormat="1">
      <alignment horizontal="left" vertical="center" indent="1"/>
    </xf>
    <xf numFmtId="0" fontId="47" fillId="0" borderId="14" xfId="0" applyFont="1" applyBorder="1" applyNumberFormat="1">
      <alignment horizontal="center" vertical="center"/>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xf>
    <xf numFmtId="0" fontId="22" fillId="35" borderId="12" xfId="0" applyFont="1" applyFill="1" applyBorder="1" applyNumberFormat="1">
      <alignment horizontal="left" vertical="center" wrapText="1" inden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8" fillId="0" borderId="0" xfId="0" applyFont="1" applyNumberFormat="1">
      <alignment vertical="center" wrapText="1"/>
    </xf>
    <xf numFmtId="0" fontId="48" fillId="0" borderId="0" xfId="0" applyFont="1" applyNumberFormat="1">
      <alignment vertical="center"/>
    </xf>
    <xf numFmtId="0" fontId="22"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49" fontId="0" fillId="0" borderId="0" xfId="0" applyFont="1" applyNumberFormat="1">
      <alignment vertical="top"/>
    </xf>
    <xf numFmtId="0" fontId="47" fillId="0" borderId="12" xfId="0" applyFont="1" applyBorder="1" applyNumberFormat="1">
      <alignment horizontal="center" vertical="center" wrapText="1"/>
    </xf>
    <xf numFmtId="49" fontId="47" fillId="0" borderId="0" xfId="0" applyFont="1" applyNumberFormat="1">
      <alignment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0" fillId="0" borderId="0" xfId="0" applyFont="1" applyNumberFormat="1">
      <alignment vertical="top"/>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5" fillId="0" borderId="17" xfId="0" applyFont="1" applyBorder="1" applyNumberFormat="1">
      <alignment vertical="top" wrapText="1"/>
    </xf>
    <xf numFmtId="49" fontId="0" fillId="0" borderId="0" xfId="0" applyFont="1" applyNumberFormat="1">
      <alignment vertical="top"/>
    </xf>
    <xf numFmtId="49" fontId="22" fillId="36" borderId="12" xfId="0" applyFont="1" applyFill="1" applyBorder="1" applyNumberFormat="1">
      <alignment horizontal="left" vertical="center" wrapText="1" indent="6"/>
      <protection locked="0"/>
    </xf>
    <xf numFmtId="4" fontId="22" fillId="36" borderId="12" xfId="0" applyFont="1" applyFill="1" applyBorder="1" applyNumberFormat="1">
      <alignment horizontal="right" vertical="center" wrapText="1"/>
      <protection locked="0"/>
    </xf>
    <xf numFmtId="238" fontId="22" fillId="36" borderId="12" xfId="0" applyFont="1" applyFill="1" applyBorder="1" applyNumberFormat="1">
      <alignment horizontal="right" vertical="center" wrapText="1"/>
      <protection locked="0"/>
    </xf>
    <xf numFmtId="49" fontId="22" fillId="40" borderId="12" xfId="0" applyFont="1" applyFill="1" applyBorder="1" applyNumberFormat="1">
      <alignment horizontal="center" vertical="center" wrapText="1"/>
    </xf>
    <xf numFmtId="240" fontId="0" fillId="39" borderId="12" xfId="0" applyFont="1" applyFill="1" applyBorder="1" applyNumberFormat="1">
      <alignment horizontal="center" vertical="center" wrapText="1"/>
      <protection locked="0"/>
    </xf>
    <xf numFmtId="240" fontId="0" fillId="39" borderId="17" xfId="0" applyFont="1" applyFill="1" applyBorder="1" applyNumberFormat="1">
      <alignment horizontal="center" vertical="center" wrapText="1"/>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22" fillId="0" borderId="12" xfId="0" applyFont="1" applyBorder="1" applyNumberFormat="1">
      <alignment horizontal="righ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4" fontId="22" fillId="0" borderId="30" xfId="0" applyFont="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0" fontId="47" fillId="0" borderId="0" xfId="0" applyFont="1" applyNumberFormat="1">
      <alignment horizontal="left" vertical="center" indent="1"/>
    </xf>
    <xf numFmtId="0" fontId="47" fillId="0" borderId="14" xfId="0" applyFont="1" applyBorder="1" applyNumberFormat="1">
      <alignment horizontal="center" vertical="center"/>
    </xf>
    <xf numFmtId="0" fontId="47" fillId="0" borderId="14" xfId="0" applyFont="1" applyBorder="1" applyNumberFormat="1">
      <alignment horizontal="center" vertical="center" wrapText="1"/>
    </xf>
    <xf numFmtId="0" fontId="47" fillId="0" borderId="12" xfId="0" applyFont="1" applyBorder="1" applyNumberFormat="1">
      <alignment horizontal="center" vertical="center" wrapText="1"/>
    </xf>
    <xf numFmtId="0" fontId="47" fillId="0" borderId="0" xfId="0" applyFont="1" applyNumberFormat="1">
      <alignment horizontal="center" vertical="center"/>
    </xf>
    <xf numFmtId="49" fontId="47" fillId="0" borderId="0" xfId="0" applyFont="1" applyNumberFormat="1">
      <alignment vertical="center" wrapText="1"/>
    </xf>
    <xf numFmtId="0" fontId="48" fillId="0" borderId="0" xfId="0" applyFont="1" applyNumberFormat="1">
      <alignment horizontal="center" vertical="center" wrapText="1"/>
    </xf>
    <xf numFmtId="0" fontId="36" fillId="0" borderId="0" xfId="0" applyFont="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xf>
    <xf numFmtId="0" fontId="22" fillId="35" borderId="12" xfId="0" applyFont="1" applyFill="1" applyBorder="1" applyNumberFormat="1">
      <alignment horizontal="left" vertical="center" wrapText="1" indent="5"/>
    </xf>
    <xf numFmtId="0" fontId="22" fillId="0" borderId="12" xfId="0" applyFont="1" applyBorder="1" applyNumberFormat="1">
      <alignment horizontal="left" vertical="center" wrapText="1" indent="6"/>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5" fillId="0" borderId="17" xfId="0" applyFont="1" applyBorder="1" applyNumberFormat="1">
      <alignment vertical="top" wrapText="1"/>
    </xf>
    <xf numFmtId="0" fontId="48" fillId="0" borderId="0" xfId="0" applyFont="1" applyNumberFormat="1">
      <alignment vertical="center" wrapText="1"/>
    </xf>
    <xf numFmtId="0" fontId="48" fillId="0" borderId="0" xfId="0" applyFont="1" applyNumberFormat="1">
      <alignment vertical="center"/>
    </xf>
    <xf numFmtId="0" fontId="22" fillId="0" borderId="0" xfId="0" applyFont="1" applyNumberFormat="1">
      <alignment vertical="center" wrapText="1"/>
    </xf>
    <xf numFmtId="49" fontId="0" fillId="0" borderId="0" xfId="0" applyFont="1" applyNumberFormat="1">
      <alignment vertical="top"/>
    </xf>
    <xf numFmtId="49" fontId="22" fillId="36" borderId="12" xfId="0" applyFont="1" applyFill="1" applyBorder="1" applyNumberFormat="1">
      <alignment horizontal="left" vertical="center" wrapText="1" indent="6"/>
      <protection locked="0"/>
    </xf>
    <xf numFmtId="4" fontId="22" fillId="36" borderId="12" xfId="0" applyFont="1" applyFill="1" applyBorder="1" applyNumberFormat="1">
      <alignment horizontal="right" vertical="center" wrapText="1"/>
      <protection locked="0"/>
    </xf>
    <xf numFmtId="238" fontId="22" fillId="36" borderId="12" xfId="0" applyFont="1" applyFill="1" applyBorder="1" applyNumberFormat="1">
      <alignment horizontal="right" vertical="center" wrapText="1"/>
      <protection locked="0"/>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22" fillId="0" borderId="12" xfId="0" applyFont="1" applyBorder="1" applyNumberFormat="1">
      <alignment horizontal="righ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4" fontId="22" fillId="0" borderId="30" xfId="0" applyFont="1" applyBorder="1" applyNumberFormat="1">
      <alignment horizontal="right" vertical="center" wrapText="1"/>
    </xf>
    <xf numFmtId="49" fontId="0" fillId="0" borderId="0" xfId="0" applyFont="1" applyNumberFormat="1">
      <alignment vertical="top"/>
    </xf>
    <xf numFmtId="0" fontId="48" fillId="0" borderId="24" xfId="0" applyFont="1" applyBorder="1" applyNumberFormat="1">
      <alignment horizontal="center" vertical="center"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5" fillId="0" borderId="12" xfId="0" applyFont="1" applyBorder="1" applyNumberFormat="1">
      <alignmen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0" fontId="47" fillId="0" borderId="0" xfId="0" applyFont="1" applyNumberFormat="1">
      <alignment vertical="center" wrapText="1"/>
    </xf>
    <xf numFmtId="49" fontId="22" fillId="0" borderId="0" xfId="0" applyFont="1" applyNumberFormat="1">
      <alignment vertical="top"/>
    </xf>
    <xf numFmtId="49" fontId="39" fillId="0" borderId="0" xfId="0" applyFont="1" applyNumberFormat="1">
      <alignment vertical="top"/>
    </xf>
    <xf numFmtId="49" fontId="22" fillId="0" borderId="24" xfId="0" applyFont="1" applyBorder="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horizontal="left" vertical="center"/>
    </xf>
    <xf numFmtId="49" fontId="48" fillId="0" borderId="0" xfId="0" applyFont="1" applyNumberFormat="1">
      <alignment vertical="top"/>
    </xf>
    <xf numFmtId="49" fontId="107" fillId="0" borderId="0" xfId="0" applyFont="1" applyNumberFormat="1">
      <alignment vertical="top"/>
    </xf>
    <xf numFmtId="49" fontId="97" fillId="0" borderId="0" xfId="0" applyFont="1" applyNumberFormat="1">
      <alignment horizontal="left" vertical="center"/>
    </xf>
    <xf numFmtId="49" fontId="48" fillId="0" borderId="0" xfId="0" applyFont="1" applyNumberFormat="1">
      <alignment horizontal="left" vertical="center" indent="1"/>
    </xf>
    <xf numFmtId="49" fontId="48" fillId="0" borderId="0" xfId="0" applyFont="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240" fontId="0" fillId="39" borderId="12" xfId="0" applyFont="1" applyFill="1" applyBorder="1" applyNumberFormat="1">
      <alignment horizontal="center" vertical="center" wrapText="1"/>
      <protection locked="0"/>
    </xf>
    <xf numFmtId="240" fontId="0" fillId="39" borderId="17" xfId="0" applyFont="1" applyFill="1" applyBorder="1" applyNumberFormat="1">
      <alignment horizontal="center" vertical="center" wrapText="1"/>
      <protection locked="0"/>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0" fontId="47" fillId="0" borderId="0" xfId="0" applyFont="1" applyNumberFormat="1">
      <alignment horizontal="left" vertical="center" indent="1"/>
    </xf>
    <xf numFmtId="0" fontId="47" fillId="0" borderId="14" xfId="0" applyFont="1" applyBorder="1" applyNumberFormat="1">
      <alignment horizontal="center" vertical="center"/>
    </xf>
    <xf numFmtId="0" fontId="47" fillId="0" borderId="14" xfId="0" applyFont="1" applyBorder="1" applyNumberFormat="1">
      <alignment horizontal="center" vertical="center" wrapText="1"/>
    </xf>
    <xf numFmtId="0" fontId="47" fillId="0" borderId="12" xfId="0" applyFont="1" applyBorder="1" applyNumberFormat="1">
      <alignment horizontal="center" vertical="center" wrapText="1"/>
    </xf>
    <xf numFmtId="0" fontId="47" fillId="0" borderId="0" xfId="0" applyFont="1" applyNumberFormat="1">
      <alignment horizontal="center" vertical="center"/>
    </xf>
    <xf numFmtId="49" fontId="47" fillId="0" borderId="0" xfId="0" applyFont="1" applyNumberFormat="1">
      <alignment vertical="center" wrapText="1"/>
    </xf>
    <xf numFmtId="0" fontId="48" fillId="0" borderId="0" xfId="0" applyFont="1" applyNumberFormat="1">
      <alignment horizontal="center" vertical="center" wrapText="1"/>
    </xf>
    <xf numFmtId="0" fontId="36" fillId="0" borderId="0" xfId="0" applyFont="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xf>
    <xf numFmtId="0" fontId="22" fillId="35" borderId="12" xfId="0" applyFont="1" applyFill="1" applyBorder="1" applyNumberFormat="1">
      <alignment horizontal="left" vertical="center" wrapText="1" indent="5"/>
    </xf>
    <xf numFmtId="0" fontId="22" fillId="0" borderId="12" xfId="0" applyFont="1" applyBorder="1" applyNumberFormat="1">
      <alignment horizontal="left" vertical="center" wrapText="1" indent="6"/>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5" fillId="0" borderId="17" xfId="0" applyFont="1" applyBorder="1" applyNumberFormat="1">
      <alignment vertical="top" wrapText="1"/>
    </xf>
    <xf numFmtId="0" fontId="48" fillId="0" borderId="0" xfId="0" applyFont="1" applyNumberFormat="1">
      <alignment vertical="center" wrapText="1"/>
    </xf>
    <xf numFmtId="0" fontId="48" fillId="0" borderId="0" xfId="0" applyFont="1" applyNumberFormat="1">
      <alignment vertical="center"/>
    </xf>
    <xf numFmtId="0" fontId="22" fillId="0" borderId="0" xfId="0" applyFont="1" applyNumberFormat="1">
      <alignment vertical="center" wrapText="1"/>
    </xf>
    <xf numFmtId="49" fontId="0" fillId="0" borderId="0" xfId="0" applyFont="1" applyNumberFormat="1">
      <alignment vertical="top"/>
    </xf>
    <xf numFmtId="49" fontId="22" fillId="36" borderId="12" xfId="0" applyFont="1" applyFill="1" applyBorder="1" applyNumberFormat="1">
      <alignment horizontal="left" vertical="center" wrapText="1" indent="6"/>
      <protection locked="0"/>
    </xf>
    <xf numFmtId="4" fontId="22" fillId="36" borderId="12" xfId="0" applyFont="1" applyFill="1" applyBorder="1" applyNumberFormat="1">
      <alignment horizontal="right" vertical="center" wrapText="1"/>
      <protection locked="0"/>
    </xf>
    <xf numFmtId="238" fontId="22" fillId="36" borderId="12" xfId="0" applyFont="1" applyFill="1" applyBorder="1" applyNumberFormat="1">
      <alignment horizontal="right" vertical="center" wrapText="1"/>
      <protection locked="0"/>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22" fillId="0" borderId="12" xfId="0" applyFont="1" applyBorder="1" applyNumberFormat="1">
      <alignment horizontal="righ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4" fontId="22" fillId="0" borderId="30" xfId="0" applyFont="1" applyBorder="1" applyNumberFormat="1">
      <alignment horizontal="right" vertical="center" wrapText="1"/>
    </xf>
    <xf numFmtId="49" fontId="0" fillId="0" borderId="0" xfId="0" applyFont="1" applyNumberFormat="1">
      <alignment vertical="top"/>
    </xf>
    <xf numFmtId="0" fontId="48" fillId="0" borderId="24" xfId="0" applyFont="1" applyBorder="1" applyNumberFormat="1">
      <alignment horizontal="center" vertical="center"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5" fillId="0" borderId="12" xfId="0" applyFont="1" applyBorder="1" applyNumberFormat="1">
      <alignmen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240" fontId="0" fillId="39" borderId="12" xfId="0" applyFont="1" applyFill="1" applyBorder="1" applyNumberFormat="1">
      <alignment horizontal="center" vertical="center" wrapText="1"/>
      <protection locked="0"/>
    </xf>
    <xf numFmtId="240" fontId="0" fillId="39" borderId="17" xfId="0" applyFont="1" applyFill="1" applyBorder="1" applyNumberFormat="1">
      <alignment horizontal="center" vertical="center" wrapText="1"/>
      <protection locked="0"/>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0" fontId="47" fillId="0" borderId="0" xfId="0" applyFont="1" applyNumberFormat="1">
      <alignment horizontal="left" vertical="center" indent="1"/>
    </xf>
    <xf numFmtId="0" fontId="47" fillId="0" borderId="14" xfId="0" applyFont="1" applyBorder="1" applyNumberFormat="1">
      <alignment horizontal="center" vertical="center"/>
    </xf>
    <xf numFmtId="0" fontId="47" fillId="0" borderId="14" xfId="0" applyFont="1" applyBorder="1" applyNumberFormat="1">
      <alignment horizontal="center" vertical="center" wrapText="1"/>
    </xf>
    <xf numFmtId="0" fontId="47" fillId="0" borderId="12" xfId="0" applyFont="1" applyBorder="1" applyNumberFormat="1">
      <alignment horizontal="center" vertical="center" wrapText="1"/>
    </xf>
    <xf numFmtId="0" fontId="47" fillId="0" borderId="0" xfId="0" applyFont="1" applyNumberFormat="1">
      <alignment horizontal="center" vertical="center"/>
    </xf>
    <xf numFmtId="49" fontId="47" fillId="0" borderId="0" xfId="0" applyFont="1" applyNumberFormat="1">
      <alignment vertical="center" wrapText="1"/>
    </xf>
    <xf numFmtId="0" fontId="48" fillId="0" borderId="0" xfId="0" applyFont="1" applyNumberFormat="1">
      <alignment horizontal="center" vertical="center" wrapText="1"/>
    </xf>
    <xf numFmtId="0" fontId="36" fillId="0" borderId="0" xfId="0" applyFont="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xf>
    <xf numFmtId="0" fontId="22" fillId="35" borderId="12" xfId="0" applyFont="1" applyFill="1" applyBorder="1" applyNumberFormat="1">
      <alignment horizontal="left" vertical="center" wrapText="1" indent="5"/>
    </xf>
    <xf numFmtId="0" fontId="22" fillId="0" borderId="12" xfId="0" applyFont="1" applyBorder="1" applyNumberFormat="1">
      <alignment horizontal="left" vertical="center" wrapText="1" indent="6"/>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5" fillId="0" borderId="17" xfId="0" applyFont="1" applyBorder="1" applyNumberFormat="1">
      <alignment vertical="top" wrapText="1"/>
    </xf>
    <xf numFmtId="0" fontId="48" fillId="0" borderId="0" xfId="0" applyFont="1" applyNumberFormat="1">
      <alignment vertical="center" wrapText="1"/>
    </xf>
    <xf numFmtId="0" fontId="48" fillId="0" borderId="0" xfId="0" applyFont="1" applyNumberFormat="1">
      <alignment vertical="center"/>
    </xf>
    <xf numFmtId="0" fontId="22" fillId="0" borderId="0" xfId="0" applyFont="1" applyNumberFormat="1">
      <alignment vertical="center" wrapText="1"/>
    </xf>
    <xf numFmtId="49" fontId="0" fillId="0" borderId="0" xfId="0" applyFont="1" applyNumberFormat="1">
      <alignment vertical="top"/>
    </xf>
    <xf numFmtId="49" fontId="22" fillId="36" borderId="12" xfId="0" applyFont="1" applyFill="1" applyBorder="1" applyNumberFormat="1">
      <alignment horizontal="left" vertical="center" wrapText="1" indent="6"/>
      <protection locked="0"/>
    </xf>
    <xf numFmtId="4" fontId="22" fillId="36" borderId="12" xfId="0" applyFont="1" applyFill="1" applyBorder="1" applyNumberFormat="1">
      <alignment horizontal="right" vertical="center" wrapText="1"/>
      <protection locked="0"/>
    </xf>
    <xf numFmtId="238" fontId="22" fillId="36" borderId="12" xfId="0" applyFont="1" applyFill="1" applyBorder="1" applyNumberFormat="1">
      <alignment horizontal="right" vertical="center" wrapText="1"/>
      <protection locked="0"/>
    </xf>
    <xf numFmtId="49" fontId="22" fillId="40" borderId="12" xfId="0" applyFont="1" applyFill="1" applyBorder="1" applyNumberFormat="1">
      <alignment horizontal="center" vertical="center" wrapText="1"/>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22" fillId="0" borderId="12" xfId="0" applyFont="1" applyBorder="1" applyNumberFormat="1">
      <alignment horizontal="righ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4" fontId="22" fillId="0" borderId="30" xfId="0" applyFont="1" applyBorder="1" applyNumberFormat="1">
      <alignment horizontal="right" vertical="center" wrapText="1"/>
    </xf>
    <xf numFmtId="49" fontId="0" fillId="0" borderId="0" xfId="0" applyFont="1" applyNumberFormat="1">
      <alignment vertical="top"/>
    </xf>
    <xf numFmtId="0" fontId="48" fillId="0" borderId="24" xfId="0" applyFont="1" applyBorder="1" applyNumberFormat="1">
      <alignment horizontal="center" vertical="center"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5" fillId="0" borderId="12" xfId="0" applyFont="1" applyBorder="1" applyNumberFormat="1">
      <alignmen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0" fontId="22" fillId="0" borderId="0" xfId="0" applyFont="1" applyNumberFormat="1">
      <alignment horizontal="lef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239"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46" fillId="0" borderId="0" xfId="0" applyFont="1" applyNumberFormat="1">
      <alignment vertical="center" wrapText="1"/>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239"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239"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239" fontId="22" fillId="34" borderId="13" xfId="0" applyFont="1" applyFill="1" applyBorder="1" applyNumberFormat="1">
      <alignment horizontal="right" vertical="center" wrapText="1"/>
    </xf>
    <xf numFmtId="239"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239"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8" fillId="0" borderId="17" xfId="0" applyFont="1" applyBorder="1" applyNumberFormat="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54" fillId="0" borderId="0" xfId="0" applyFont="1" applyNumberFormat="1">
      <alignment vertical="center"/>
    </xf>
    <xf numFmtId="0" fontId="91" fillId="0" borderId="0" xfId="0" applyFont="1" applyNumberFormat="1">
      <alignment vertical="center" wrapText="1"/>
    </xf>
    <xf numFmtId="49" fontId="91" fillId="0" borderId="0" xfId="0" applyFont="1" applyNumberFormat="1">
      <alignment horizontal="center"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240"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240" fontId="0" fillId="39" borderId="12" xfId="0" applyFont="1" applyFill="1" applyBorder="1" applyNumberFormat="1">
      <alignment horizontal="left" vertical="center" wrapText="1"/>
      <protection locked="0"/>
    </xf>
    <xf numFmtId="0" fontId="27" fillId="39" borderId="12" xfId="0" applyFont="1" applyFill="1" applyBorder="1" applyNumberFormat="1">
      <alignment horizontal="left" vertical="center" wrapText="1"/>
      <protection locked="0"/>
    </xf>
    <xf numFmtId="49" fontId="27"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240" fontId="0" fillId="39" borderId="13" xfId="0" applyFont="1" applyFill="1" applyBorder="1" applyNumberFormat="1">
      <alignment horizontal="left" vertical="center" wrapText="1"/>
      <protection locked="0"/>
    </xf>
    <xf numFmtId="240"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237" fontId="22" fillId="0" borderId="37" xfId="0" applyFont="1" applyBorder="1" applyNumberFormat="1">
      <alignment horizontal="center" vertical="center" wrapText="1"/>
    </xf>
    <xf numFmtId="237"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240" fontId="0" fillId="39" borderId="15" xfId="0" applyFont="1" applyFill="1" applyBorder="1" applyNumberFormat="1">
      <alignment horizontal="left" vertical="center" wrapText="1" indent="1"/>
      <protection locked="0"/>
    </xf>
    <xf numFmtId="241" fontId="22" fillId="39" borderId="12" xfId="0" applyFont="1" applyFill="1" applyBorder="1" applyNumberFormat="1">
      <alignment horizontal="left" vertical="center" wrapText="1" indent="1"/>
      <protection locked="0"/>
    </xf>
    <xf numFmtId="240" fontId="48" fillId="0" borderId="0" xfId="0" applyFont="1" applyNumberFormat="1">
      <alignment horizontal="center" vertical="center" wrapText="1"/>
    </xf>
    <xf numFmtId="237" fontId="22" fillId="0" borderId="17" xfId="0" applyFont="1" applyBorder="1" applyNumberFormat="1">
      <alignment horizontal="center" vertical="center" wrapText="1"/>
    </xf>
    <xf numFmtId="237" fontId="22" fillId="0" borderId="14" xfId="0" applyFont="1" applyBorder="1" applyNumberFormat="1">
      <alignment horizontal="center" vertical="center" wrapText="1"/>
    </xf>
    <xf numFmtId="237" fontId="22" fillId="0" borderId="15" xfId="0" applyFont="1" applyBorder="1" applyNumberFormat="1">
      <alignment horizontal="center" vertical="center" wrapText="1"/>
    </xf>
    <xf numFmtId="237"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237" fontId="22" fillId="0" borderId="23" xfId="0" applyFont="1" applyBorder="1" applyNumberFormat="1">
      <alignment horizontal="center" vertical="center" wrapText="1"/>
    </xf>
    <xf numFmtId="237"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237"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237" fontId="45" fillId="0" borderId="19" xfId="0" applyFont="1" applyBorder="1" applyNumberFormat="1">
      <alignment horizontal="center" vertical="center" wrapText="1"/>
    </xf>
    <xf numFmtId="237" fontId="45" fillId="0" borderId="19" xfId="0" applyFont="1" applyBorder="1" applyNumberFormat="1">
      <alignment horizontal="center" vertical="center" wrapText="1"/>
    </xf>
    <xf numFmtId="237"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237" fontId="22" fillId="0" borderId="12" xfId="0" applyFont="1" applyBorder="1" applyNumberFormat="1">
      <alignment horizontal="center" vertical="center" wrapText="1"/>
    </xf>
    <xf numFmtId="237" fontId="22" fillId="0" borderId="36" xfId="0" applyFont="1" applyBorder="1" applyNumberFormat="1">
      <alignment horizontal="center" vertical="center" wrapText="1"/>
    </xf>
    <xf numFmtId="237"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240"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240" fontId="0" fillId="39" borderId="12" xfId="0" applyFont="1" applyFill="1" applyBorder="1" applyNumberFormat="1">
      <alignment horizontal="center" vertical="top" wrapText="1"/>
      <protection locked="0"/>
    </xf>
    <xf numFmtId="240"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7" fillId="0" borderId="0" xfId="0" applyFont="1" applyNumberFormat="1">
      <alignment horizontal="center" vertical="top"/>
    </xf>
    <xf numFmtId="49" fontId="22" fillId="0" borderId="23" xfId="0" applyFont="1" applyBorder="1" applyNumberFormat="1">
      <alignment horizontal="center" vertical="center" wrapTex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40" fillId="37" borderId="13" xfId="0" applyFont="1" applyFill="1" applyBorder="1" applyNumberFormat="1">
      <alignment horizontal="left" vertical="center"/>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0" fillId="0" borderId="0" xfId="0" applyFont="1" applyNumberFormat="1">
      <alignment vertical="top"/>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240"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cellXfs>
  <cellStyles count="79">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rmal" xfId="41"/>
    <cellStyle name="Note" xfId="42" builtinId="10"/>
    <cellStyle name="Output" xfId="43" builtinId="21"/>
    <cellStyle name="Percent" xfId="44" builtinId="5"/>
    <cellStyle name="Title" xfId="45" builtinId="15"/>
    <cellStyle name="Total" xfId="46" builtinId="25"/>
    <cellStyle name="Warning Text" xfId="47" builtinId="11"/>
    <cellStyle name=" 1" xfId="48"/>
    <cellStyle name=" 1 2" xfId="49"/>
    <cellStyle name=" 1_Stage1" xfId="48"/>
    <cellStyle name="_Model_RAB Мой_PR.PROG.WARM.NOTCOMBI.2012.2.16_v1.4(04.04.11) " xfId="50"/>
    <cellStyle name="_Model_RAB Мой_Книга2_PR.PROG.WARM.NOTCOMBI.2012.2.16_v1.4(04.04.11) " xfId="50"/>
    <cellStyle name="_Model_RAB_MRSK_svod_PR.PROG.WARM.NOTCOMBI.2012.2.16_v1.4(04.04.11) " xfId="50"/>
    <cellStyle name="_Model_RAB_MRSK_svod_Книга2_PR.PROG.WARM.NOTCOMBI.2012.2.16_v1.4(04.04.11) " xfId="50"/>
    <cellStyle name="_МОДЕЛЬ_1 (2)_PR.PROG.WARM.NOTCOMBI.2012.2.16_v1.4(04.04.11) " xfId="50"/>
    <cellStyle name="_МОДЕЛЬ_1 (2)_Книга2_PR.PROG.WARM.NOTCOMBI.2012.2.16_v1.4(04.04.11) " xfId="50"/>
    <cellStyle name="_пр 5 тариф RAB_PR.PROG.WARM.NOTCOMBI.2012.2.16_v1.4(04.04.11) " xfId="50"/>
    <cellStyle name="_пр 5 тариф RAB_Книга2_PR.PROG.WARM.NOTCOMBI.2012.2.16_v1.4(04.04.11) " xfId="50"/>
    <cellStyle name="_Расчет RAB_22072008_PR.PROG.WARM.NOTCOMBI.2012.2.16_v1.4(04.04.11) " xfId="50"/>
    <cellStyle name="_Расчет RAB_22072008_Книга2_PR.PROG.WARM.NOTCOMBI.2012.2.16_v1.4(04.04.11) " xfId="50"/>
    <cellStyle name="_Расчет RAB_Лен и МОЭСК_с 2010 года_14.04.2009_со сглаж_version 3.0_без ФСК_PR.PROG.WARM.NOTCOMBI.2012.2.16_v1.4(04.04.11) " xfId="50"/>
    <cellStyle name="_Расчет RAB_Лен и МОЭСК_с 2010 года_14.04.2009_со сглаж_version 3.0_без ФСК_Книга2_PR.PROG.WARM.NOTCOMBI.2012.2.16_v1.4(04.04.11) " xfId="50"/>
    <cellStyle name="currency1" xfId="51"/>
    <cellStyle name="Currency2" xfId="52"/>
    <cellStyle name="currency3" xfId="53"/>
    <cellStyle name="currency4" xfId="54"/>
    <cellStyle name="Followed Hyperlink" xfId="55"/>
    <cellStyle name="Hyperlink" xfId="56" builtinId="8"/>
    <cellStyle name="Normal1" xfId="57"/>
    <cellStyle name="Normal2" xfId="52"/>
    <cellStyle name="Percent1" xfId="52"/>
    <cellStyle name="Гиперссылка" xfId="58"/>
    <cellStyle name="Обычный 10" xfId="59"/>
    <cellStyle name="Обычный 16" xfId="60"/>
    <cellStyle name="Обычный 2" xfId="61"/>
    <cellStyle name="Обычный_BALANCE.WARM.2007YEAR(FACT)" xfId="62"/>
    <cellStyle name="Обычный_PRIL1.ELECTR" xfId="62"/>
    <cellStyle name="Открывавшаяся гиперссылка" xfId="63"/>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worksheet" Target="worksheets/sheet87.xml"/><Relationship Id="rId89" Type="http://schemas.openxmlformats.org/officeDocument/2006/relationships/worksheet" Target="worksheets/sheet88.xml"/><Relationship Id="rId90" Type="http://schemas.openxmlformats.org/officeDocument/2006/relationships/worksheet" Target="worksheets/sheet89.xml"/><Relationship Id="rId91" Type="http://schemas.openxmlformats.org/officeDocument/2006/relationships/sharedStrings" Target="sharedStrings.xml"/><Relationship Id="rId9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11</xdr:row>
      <xdr:rowOff>57341</xdr:rowOff>
    </xdr:to>
    <xdr:pic>
      <xdr:nvPicPr>
        <xdr:cNvPr id="1"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19</xdr:row>
      <xdr:rowOff>76391</xdr:rowOff>
    </xdr:to>
    <xdr:pic>
      <xdr:nvPicPr>
        <xdr:cNvPr id="2" name="PHONE_PIC_1"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5" name="PHONE_PIC_2" descr="update_org.png" hidden="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1"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 Id="rId4" Type="http://schemas.openxmlformats.org/officeDocument/2006/relationships/hyperlink" Target="http://pravo.gov.ru" TargetMode="External"/><Relationship Id="rId5" Type="http://schemas.openxmlformats.org/officeDocument/2006/relationships/hyperlink" Target="http://pravo.gov.ru" TargetMode="External"/><Relationship Id="rId6" Type="http://schemas.openxmlformats.org/officeDocument/2006/relationships/hyperlink" Target="mailto:dolmatovaev@primtep.ru"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 Id="rId2" Type="http://schemas.openxmlformats.org/officeDocument/2006/relationships/hyperlink" Target="http://www.primtep.ru/" TargetMode="External"/><Relationship Id="rId3" Type="http://schemas.openxmlformats.org/officeDocument/2006/relationships/hyperlink" Target="https://portal.eias.ru/Portal/DownloadPage.aspx?type=12&amp;guid=ba4e3238-a171-44d0-b6f9-505ef1a17057" TargetMode="External"/><Relationship Id="rId4" Type="http://schemas.openxmlformats.org/officeDocument/2006/relationships/hyperlink" Target="https://portal.eias.ru/Portal/DownloadPage.aspx?type=12&amp;guid=e4017692-c2df-404f-adda-b15dc5832cd8" TargetMode="External"/><Relationship Id="rId5" Type="http://schemas.openxmlformats.org/officeDocument/2006/relationships/hyperlink" Target="https://portal.eias.ru/Portal/DownloadPage.aspx?type=12&amp;guid=e4017692-c2df-404f-adda-b15dc5832cd8" TargetMode="Externa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3CBCED6-3655-193C-5ADC-B1C68407D968}"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46764" width="5.421875" customWidth="1"/>
    <col min="2" max="2" style="46764" width="9.140625" customWidth="1"/>
    <col min="3" max="3" style="46764" width="16.421875" customWidth="1"/>
    <col min="4" max="25" style="46764" width="6.28125" customWidth="1"/>
    <col min="26" max="28" style="46764" width="11.00390625"/>
  </cols>
  <sheetData>
    <row customHeight="1" ht="15.75">
      <c r="A1" s="2212"/>
      <c r="B1" s="2213"/>
      <c r="C1" s="2213"/>
      <c r="D1" s="2213"/>
      <c r="E1" s="2213"/>
      <c r="F1" s="2213"/>
      <c r="G1" s="2213"/>
      <c r="H1" s="2213"/>
      <c r="I1" s="2213"/>
      <c r="J1" s="2213"/>
      <c r="K1" s="2213"/>
      <c r="L1" s="2213"/>
      <c r="M1" s="2213"/>
      <c r="N1" s="2213"/>
      <c r="O1" s="2213"/>
      <c r="P1" s="2213"/>
      <c r="Q1" s="2213"/>
      <c r="R1" s="2213"/>
      <c r="S1" s="2213"/>
      <c r="T1" s="2213"/>
      <c r="U1" s="2213"/>
      <c r="V1" s="2213"/>
      <c r="W1" s="2213"/>
      <c r="X1" s="2213"/>
      <c r="Y1" s="2214"/>
      <c r="Z1" s="2213"/>
      <c r="AA1" s="2215" t="s">
        <v>0</v>
      </c>
      <c r="AB1" s="2213"/>
    </row>
    <row customHeight="1" ht="17.25">
      <c r="A2" s="2213"/>
      <c r="B2" s="2589" t="s">
        <v>1</v>
      </c>
      <c r="C2" s="2589"/>
      <c r="D2" s="2589"/>
      <c r="E2" s="2589"/>
      <c r="F2" s="2589"/>
      <c r="G2" s="2589"/>
      <c r="H2" s="2589"/>
      <c r="I2" s="2589"/>
      <c r="J2" s="2589"/>
      <c r="K2" s="2589"/>
      <c r="L2" s="2589"/>
      <c r="M2" s="2589"/>
      <c r="N2" s="2589"/>
      <c r="O2" s="2589"/>
      <c r="P2" s="2589"/>
      <c r="Q2" s="2217"/>
      <c r="R2" s="2217"/>
      <c r="S2" s="2217"/>
      <c r="T2" s="2217"/>
      <c r="U2" s="2217"/>
      <c r="V2" s="2218"/>
      <c r="W2" s="2217"/>
      <c r="X2" s="2217"/>
      <c r="Y2" s="2214"/>
      <c r="Z2" s="2213"/>
      <c r="AA2" s="2215"/>
      <c r="AB2" s="2213"/>
    </row>
    <row customHeight="1" ht="15.75">
      <c r="A3" s="2213"/>
      <c r="B3" s="2590" t="s">
        <v>2</v>
      </c>
      <c r="C3" s="2590"/>
      <c r="D3" s="2590"/>
      <c r="E3" s="2590"/>
      <c r="F3" s="2590"/>
      <c r="G3" s="2590"/>
      <c r="H3" s="2590"/>
      <c r="I3" s="2590"/>
      <c r="J3" s="2590"/>
      <c r="K3" s="2590"/>
      <c r="L3" s="2590"/>
      <c r="M3" s="2590"/>
      <c r="N3" s="2590"/>
      <c r="O3" s="2590"/>
      <c r="P3" s="2590"/>
      <c r="Q3" s="2218"/>
      <c r="R3" s="2218"/>
      <c r="S3" s="2217"/>
      <c r="T3" s="2217"/>
      <c r="U3" s="2217"/>
      <c r="V3" s="2218"/>
      <c r="W3" s="2218"/>
      <c r="X3" s="2218"/>
      <c r="Y3" s="2218"/>
      <c r="Z3" s="2213"/>
      <c r="AA3" s="2215"/>
      <c r="AB3" s="2213"/>
    </row>
    <row customHeight="1" ht="17.25">
      <c r="A4" s="2213"/>
      <c r="B4" s="2219"/>
      <c r="C4" s="2213"/>
      <c r="D4" s="2218"/>
      <c r="E4" s="2218"/>
      <c r="F4" s="2218"/>
      <c r="G4" s="2218"/>
      <c r="H4" s="2218"/>
      <c r="I4" s="2218"/>
      <c r="J4" s="2218"/>
      <c r="K4" s="2218"/>
      <c r="L4" s="2218"/>
      <c r="M4" s="2218"/>
      <c r="N4" s="2218"/>
      <c r="O4" s="2218"/>
      <c r="P4" s="2218"/>
      <c r="Q4" s="2218"/>
      <c r="R4" s="2218"/>
      <c r="S4" s="2218"/>
      <c r="T4" s="2218"/>
      <c r="U4" s="2218"/>
      <c r="V4" s="2218"/>
      <c r="W4" s="2218"/>
      <c r="X4" s="2218"/>
      <c r="Y4" s="2218"/>
      <c r="Z4" s="2213"/>
      <c r="AA4" s="2215"/>
      <c r="AB4" s="2213"/>
    </row>
    <row customHeight="1" ht="22.5">
      <c r="A5" s="2220"/>
      <c r="B5" s="2591" t="str">
        <f>IF(TEMPLATE_SPHERE="","Информация, подлежащая раскрытию регулируемыми организациями",Титульный!E5)</f>
        <v>Показатели, подлежащие раскрытию в сфере водоотведения (цены и тарифы)</v>
      </c>
      <c r="C5" s="2592"/>
      <c r="D5" s="2592"/>
      <c r="E5" s="2592"/>
      <c r="F5" s="2592"/>
      <c r="G5" s="2592"/>
      <c r="H5" s="2592"/>
      <c r="I5" s="2592"/>
      <c r="J5" s="2592"/>
      <c r="K5" s="2592"/>
      <c r="L5" s="2592"/>
      <c r="M5" s="2592"/>
      <c r="N5" s="2592"/>
      <c r="O5" s="2592"/>
      <c r="P5" s="2592"/>
      <c r="Q5" s="2592"/>
      <c r="R5" s="2592"/>
      <c r="S5" s="2592"/>
      <c r="T5" s="2592"/>
      <c r="U5" s="2592"/>
      <c r="V5" s="2592"/>
      <c r="W5" s="2592"/>
      <c r="X5" s="2592"/>
      <c r="Y5" s="2593"/>
      <c r="Z5" s="2220"/>
      <c r="AA5" s="2215"/>
      <c r="AB5" s="2220"/>
    </row>
    <row customHeight="1" ht="15">
      <c r="A6" s="2221"/>
      <c r="B6" s="2594" t="s">
        <v>3</v>
      </c>
      <c r="C6" s="2595"/>
      <c r="D6" s="2222"/>
      <c r="E6" s="2222"/>
      <c r="F6" s="2222"/>
      <c r="G6" s="2222"/>
      <c r="H6" s="2222"/>
      <c r="I6" s="2222"/>
      <c r="J6" s="2222"/>
      <c r="K6" s="2222"/>
      <c r="L6" s="2222"/>
      <c r="M6" s="2222"/>
      <c r="N6" s="2222"/>
      <c r="O6" s="2222"/>
      <c r="P6" s="2222"/>
      <c r="Q6" s="2222"/>
      <c r="R6" s="2222"/>
      <c r="S6" s="2222"/>
      <c r="T6" s="2222"/>
      <c r="U6" s="2222"/>
      <c r="V6" s="2222"/>
      <c r="W6" s="2222"/>
      <c r="X6" s="2222"/>
      <c r="Y6" s="2223"/>
      <c r="Z6" s="2224"/>
      <c r="AA6" s="2225"/>
      <c r="AB6" s="2225"/>
    </row>
    <row customHeight="1" ht="15">
      <c r="A7" s="2221"/>
      <c r="B7" s="2594"/>
      <c r="C7" s="2595"/>
      <c r="D7" s="2222"/>
      <c r="E7" s="2222"/>
      <c r="F7" s="2226"/>
      <c r="G7" s="2226"/>
      <c r="H7" s="2226"/>
      <c r="I7" s="2226"/>
      <c r="J7" s="2226"/>
      <c r="K7" s="2226"/>
      <c r="L7" s="2226"/>
      <c r="M7" s="2226"/>
      <c r="N7" s="2226"/>
      <c r="O7" s="2222"/>
      <c r="P7" s="2226"/>
      <c r="Q7" s="2226"/>
      <c r="R7" s="2226"/>
      <c r="S7" s="2226"/>
      <c r="T7" s="2226"/>
      <c r="U7" s="2226"/>
      <c r="V7" s="2226"/>
      <c r="W7" s="2226"/>
      <c r="X7" s="2226"/>
      <c r="Y7" s="2223"/>
      <c r="Z7" s="2224"/>
      <c r="AA7" s="2225"/>
      <c r="AB7" s="2225"/>
    </row>
    <row customHeight="1" ht="15">
      <c r="A8" s="2221"/>
      <c r="B8" s="2594"/>
      <c r="C8" s="2595"/>
      <c r="D8" s="2227"/>
      <c r="E8" s="2228" t="s">
        <v>4</v>
      </c>
      <c r="F8" s="2597" t="s">
        <v>5</v>
      </c>
      <c r="G8" s="2598"/>
      <c r="H8" s="2598"/>
      <c r="I8" s="2598"/>
      <c r="J8" s="2598"/>
      <c r="K8" s="2598"/>
      <c r="L8" s="2598"/>
      <c r="M8" s="2598"/>
      <c r="N8" s="2227"/>
      <c r="O8" s="2229" t="s">
        <v>4</v>
      </c>
      <c r="P8" s="2599" t="s">
        <v>6</v>
      </c>
      <c r="Q8" s="2600"/>
      <c r="R8" s="2600"/>
      <c r="S8" s="2600"/>
      <c r="T8" s="2600"/>
      <c r="U8" s="2600"/>
      <c r="V8" s="2600"/>
      <c r="W8" s="2600"/>
      <c r="X8" s="2600"/>
      <c r="Y8" s="2223"/>
      <c r="Z8" s="2224"/>
      <c r="AA8" s="2225"/>
      <c r="AB8" s="2225"/>
    </row>
    <row customHeight="1" ht="15">
      <c r="A9" s="2221"/>
      <c r="B9" s="2594"/>
      <c r="C9" s="2595"/>
      <c r="D9" s="2227"/>
      <c r="E9" s="2230" t="s">
        <v>4</v>
      </c>
      <c r="F9" s="2597" t="s">
        <v>7</v>
      </c>
      <c r="G9" s="2598"/>
      <c r="H9" s="2598"/>
      <c r="I9" s="2598"/>
      <c r="J9" s="2598"/>
      <c r="K9" s="2598"/>
      <c r="L9" s="2598"/>
      <c r="M9" s="2598"/>
      <c r="N9" s="2227"/>
      <c r="O9" s="2231" t="s">
        <v>4</v>
      </c>
      <c r="P9" s="2599" t="s">
        <v>8</v>
      </c>
      <c r="Q9" s="2600"/>
      <c r="R9" s="2600"/>
      <c r="S9" s="2600"/>
      <c r="T9" s="2600"/>
      <c r="U9" s="2600"/>
      <c r="V9" s="2600"/>
      <c r="W9" s="2600"/>
      <c r="X9" s="2600"/>
      <c r="Y9" s="2223"/>
      <c r="Z9" s="2224"/>
      <c r="AA9" s="2225"/>
      <c r="AB9" s="2225"/>
    </row>
    <row customHeight="1" ht="30">
      <c r="A10" s="2221"/>
      <c r="B10" s="2594"/>
      <c r="C10" s="2596"/>
      <c r="D10" s="2232"/>
      <c r="E10" s="2233"/>
      <c r="F10" s="2226"/>
      <c r="G10" s="2226"/>
      <c r="H10" s="2226"/>
      <c r="I10" s="2226"/>
      <c r="J10" s="2226"/>
      <c r="K10" s="2226"/>
      <c r="L10" s="2226"/>
      <c r="M10" s="2226"/>
      <c r="N10" s="2226"/>
      <c r="O10" s="2233"/>
      <c r="P10" s="2226"/>
      <c r="Q10" s="2226"/>
      <c r="R10" s="2226"/>
      <c r="S10" s="2226"/>
      <c r="T10" s="2226"/>
      <c r="U10" s="2226"/>
      <c r="V10" s="2226"/>
      <c r="W10" s="2226"/>
      <c r="X10" s="2226"/>
      <c r="Y10" s="2223"/>
      <c r="Z10" s="2224"/>
      <c r="AA10" s="2225"/>
      <c r="AB10" s="2225"/>
    </row>
    <row customHeight="1" ht="19.5">
      <c r="A11" s="2221"/>
      <c r="B11" s="2601" t="s">
        <v>9</v>
      </c>
      <c r="C11" s="2602"/>
      <c r="D11" s="2227"/>
      <c r="E11" s="2234"/>
      <c r="F11" s="2234"/>
      <c r="G11" s="2234"/>
      <c r="H11" s="2234"/>
      <c r="I11" s="2234"/>
      <c r="J11" s="2234"/>
      <c r="K11" s="2234"/>
      <c r="L11" s="2234"/>
      <c r="M11" s="2234"/>
      <c r="N11" s="2234"/>
      <c r="O11" s="2234"/>
      <c r="P11" s="2234"/>
      <c r="Q11" s="2234"/>
      <c r="R11" s="2234"/>
      <c r="S11" s="2234"/>
      <c r="T11" s="2234"/>
      <c r="U11" s="2234"/>
      <c r="V11" s="2234"/>
      <c r="W11" s="2234"/>
      <c r="X11" s="2234"/>
      <c r="Y11" s="2223"/>
      <c r="Z11" s="2224"/>
      <c r="AA11" s="2225"/>
      <c r="AB11" s="2225"/>
    </row>
    <row customHeight="1" ht="69">
      <c r="A12" s="2221"/>
      <c r="B12" s="2594"/>
      <c r="C12" s="2596"/>
      <c r="D12" s="2235"/>
      <c r="E12" s="2598" t="s">
        <v>10</v>
      </c>
      <c r="F12" s="2598"/>
      <c r="G12" s="2598"/>
      <c r="H12" s="2598"/>
      <c r="I12" s="2598"/>
      <c r="J12" s="2598"/>
      <c r="K12" s="2598"/>
      <c r="L12" s="2598"/>
      <c r="M12" s="2598"/>
      <c r="N12" s="2598"/>
      <c r="O12" s="2598"/>
      <c r="P12" s="2598"/>
      <c r="Q12" s="2598"/>
      <c r="R12" s="2598"/>
      <c r="S12" s="2598"/>
      <c r="T12" s="2598"/>
      <c r="U12" s="2598"/>
      <c r="V12" s="2598"/>
      <c r="W12" s="2598"/>
      <c r="X12" s="2598"/>
      <c r="Y12" s="2223"/>
      <c r="Z12" s="2224"/>
      <c r="AA12" s="2225"/>
      <c r="AB12" s="2225"/>
    </row>
    <row customHeight="1" ht="15">
      <c r="A13" s="2221"/>
      <c r="B13" s="2601" t="s">
        <v>11</v>
      </c>
      <c r="C13" s="2602"/>
      <c r="D13" s="2222"/>
      <c r="E13" s="2234"/>
      <c r="F13" s="2234"/>
      <c r="G13" s="2234"/>
      <c r="H13" s="2234"/>
      <c r="I13" s="2234"/>
      <c r="J13" s="2234"/>
      <c r="K13" s="2234"/>
      <c r="L13" s="2234"/>
      <c r="M13" s="2234"/>
      <c r="N13" s="2234"/>
      <c r="O13" s="2234"/>
      <c r="P13" s="2234"/>
      <c r="Q13" s="2234"/>
      <c r="R13" s="2234"/>
      <c r="S13" s="2234"/>
      <c r="T13" s="2234"/>
      <c r="U13" s="2234"/>
      <c r="V13" s="2234"/>
      <c r="W13" s="2234"/>
      <c r="X13" s="2234"/>
      <c r="Y13" s="2223"/>
      <c r="Z13" s="2224"/>
      <c r="AA13" s="2225"/>
      <c r="AB13" s="2225"/>
    </row>
    <row customHeight="1" ht="57">
      <c r="A14" s="2221"/>
      <c r="B14" s="2594"/>
      <c r="C14" s="2595"/>
      <c r="D14" s="2227"/>
      <c r="E14" s="2605" t="s">
        <v>12</v>
      </c>
      <c r="F14" s="2605"/>
      <c r="G14" s="2605"/>
      <c r="H14" s="2605"/>
      <c r="I14" s="2605"/>
      <c r="J14" s="2605"/>
      <c r="K14" s="2605"/>
      <c r="L14" s="2605"/>
      <c r="M14" s="2605"/>
      <c r="N14" s="2605"/>
      <c r="O14" s="2605"/>
      <c r="P14" s="2605"/>
      <c r="Q14" s="2605"/>
      <c r="R14" s="2605"/>
      <c r="S14" s="2605"/>
      <c r="T14" s="2605"/>
      <c r="U14" s="2605"/>
      <c r="V14" s="2605"/>
      <c r="W14" s="2605"/>
      <c r="X14" s="2605"/>
      <c r="Y14" s="2223"/>
      <c r="Z14" s="2224"/>
      <c r="AA14" s="2225"/>
      <c r="AB14" s="2225"/>
    </row>
    <row customHeight="1" ht="16.5">
      <c r="A15" s="2221"/>
      <c r="B15" s="2603"/>
      <c r="C15" s="2604"/>
      <c r="D15" s="2236"/>
      <c r="E15" s="2237"/>
      <c r="F15" s="2237"/>
      <c r="G15" s="2237"/>
      <c r="H15" s="2237"/>
      <c r="I15" s="2237"/>
      <c r="J15" s="2237"/>
      <c r="K15" s="2237"/>
      <c r="L15" s="2237"/>
      <c r="M15" s="2237"/>
      <c r="N15" s="2237"/>
      <c r="O15" s="2237"/>
      <c r="P15" s="2237"/>
      <c r="Q15" s="2237"/>
      <c r="R15" s="2237"/>
      <c r="S15" s="2237"/>
      <c r="T15" s="2237"/>
      <c r="U15" s="2237"/>
      <c r="V15" s="2237"/>
      <c r="W15" s="2237"/>
      <c r="X15" s="2237"/>
      <c r="Y15" s="2238"/>
      <c r="Z15" s="2224"/>
      <c r="AA15" s="2239"/>
      <c r="AB15" s="2225"/>
    </row>
    <row customHeight="1" ht="95.25">
      <c r="A16" s="2213"/>
      <c r="B16" s="2605"/>
      <c r="C16" s="2606"/>
      <c r="D16" s="2606"/>
      <c r="E16" s="2606"/>
      <c r="F16" s="2606"/>
      <c r="G16" s="2606"/>
      <c r="H16" s="2606"/>
      <c r="I16" s="2606"/>
      <c r="J16" s="2606"/>
      <c r="K16" s="2606"/>
      <c r="L16" s="2606"/>
      <c r="M16" s="2606"/>
      <c r="N16" s="2606"/>
      <c r="O16" s="2606"/>
      <c r="P16" s="2606"/>
      <c r="Q16" s="2606"/>
      <c r="R16" s="2606"/>
      <c r="S16" s="2606"/>
      <c r="T16" s="2606"/>
      <c r="U16" s="2606"/>
      <c r="V16" s="2606"/>
      <c r="W16" s="2606"/>
      <c r="X16" s="2606"/>
      <c r="Y16" s="2606"/>
      <c r="Z16" s="2213"/>
      <c r="AA16" s="2215"/>
      <c r="AB16" s="2213"/>
    </row>
    <row customHeight="1" ht="14.25">
      <c r="A17" s="2213"/>
      <c r="B17" s="2213"/>
      <c r="C17" s="2213"/>
      <c r="D17" s="2213"/>
      <c r="E17" s="2213"/>
      <c r="F17" s="2213"/>
      <c r="G17" s="2213"/>
      <c r="H17" s="2213"/>
      <c r="I17" s="2213"/>
      <c r="J17" s="2213"/>
      <c r="K17" s="2213"/>
      <c r="L17" s="2213"/>
      <c r="M17" s="2213"/>
      <c r="N17" s="2213"/>
      <c r="O17" s="2213"/>
      <c r="P17" s="2213"/>
      <c r="Q17" s="2213"/>
      <c r="R17" s="2213"/>
      <c r="S17" s="2213"/>
      <c r="T17" s="2213"/>
      <c r="U17" s="2213"/>
      <c r="V17" s="2213"/>
      <c r="W17" s="2213"/>
      <c r="X17" s="2213"/>
      <c r="Y17" s="2214"/>
      <c r="Z17" s="2213"/>
      <c r="AA17" s="2215"/>
      <c r="AB17" s="2213"/>
    </row>
    <row customHeight="1" ht="14.25">
      <c r="A18" s="2213"/>
      <c r="B18" s="2213"/>
      <c r="C18" s="2213"/>
      <c r="D18" s="2213"/>
      <c r="E18" s="2213"/>
      <c r="F18" s="2213"/>
      <c r="G18" s="2213"/>
      <c r="H18" s="2213"/>
      <c r="I18" s="2213"/>
      <c r="J18" s="2213"/>
      <c r="K18" s="2213"/>
      <c r="L18" s="2213"/>
      <c r="M18" s="2213"/>
      <c r="N18" s="2213"/>
      <c r="O18" s="2213"/>
      <c r="P18" s="2213"/>
      <c r="Q18" s="2213"/>
      <c r="R18" s="2213"/>
      <c r="S18" s="2213"/>
      <c r="T18" s="2213"/>
      <c r="U18" s="2213"/>
      <c r="V18" s="2213"/>
      <c r="W18" s="2213"/>
      <c r="X18" s="2213"/>
      <c r="Y18" s="2214"/>
      <c r="Z18" s="2213"/>
      <c r="AA18" s="2215"/>
      <c r="AB18" s="2213"/>
    </row>
    <row customHeight="1" ht="14.25">
      <c r="A19" s="2213"/>
      <c r="B19" s="2213"/>
      <c r="C19" s="2213"/>
      <c r="D19" s="2213"/>
      <c r="E19" s="2213"/>
      <c r="F19" s="2213"/>
      <c r="G19" s="2213"/>
      <c r="H19" s="2213"/>
      <c r="I19" s="2213"/>
      <c r="J19" s="2213"/>
      <c r="K19" s="2213"/>
      <c r="L19" s="2213"/>
      <c r="M19" s="2213"/>
      <c r="N19" s="2213"/>
      <c r="O19" s="2213"/>
      <c r="P19" s="2213"/>
      <c r="Q19" s="2213"/>
      <c r="R19" s="2213"/>
      <c r="S19" s="2213"/>
      <c r="T19" s="2213"/>
      <c r="U19" s="2213"/>
      <c r="V19" s="2213"/>
      <c r="W19" s="2213"/>
      <c r="X19" s="2213"/>
      <c r="Y19" s="2214"/>
      <c r="Z19" s="2213"/>
      <c r="AA19" s="2215"/>
      <c r="AB19" s="2213"/>
    </row>
    <row customHeight="1" ht="14.25">
      <c r="A20" s="2213"/>
      <c r="B20" s="2213"/>
      <c r="C20" s="2213"/>
      <c r="D20" s="2213"/>
      <c r="E20" s="2213"/>
      <c r="F20" s="2213"/>
      <c r="G20" s="2213"/>
      <c r="H20" s="2213"/>
      <c r="I20" s="2213"/>
      <c r="J20" s="2213"/>
      <c r="K20" s="2213"/>
      <c r="L20" s="2213"/>
      <c r="M20" s="2213"/>
      <c r="N20" s="2213"/>
      <c r="O20" s="2213"/>
      <c r="P20" s="2213"/>
      <c r="Q20" s="2213"/>
      <c r="R20" s="2213"/>
      <c r="S20" s="2213"/>
      <c r="T20" s="2213"/>
      <c r="U20" s="2213"/>
      <c r="V20" s="2213"/>
      <c r="W20" s="2213"/>
      <c r="X20" s="2213"/>
      <c r="Y20" s="2214"/>
      <c r="Z20" s="2213"/>
      <c r="AA20" s="2215"/>
      <c r="AB20" s="2213"/>
    </row>
    <row customHeight="1" ht="14.25">
      <c r="A21" s="2213"/>
      <c r="B21" s="2213"/>
      <c r="C21" s="2213"/>
      <c r="D21" s="2213"/>
      <c r="E21" s="2213"/>
      <c r="F21" s="2213"/>
      <c r="G21" s="2213"/>
      <c r="H21" s="2213"/>
      <c r="I21" s="2213"/>
      <c r="J21" s="2213"/>
      <c r="K21" s="2213"/>
      <c r="L21" s="2213"/>
      <c r="M21" s="2213"/>
      <c r="N21" s="2213"/>
      <c r="O21" s="2213"/>
      <c r="P21" s="2213"/>
      <c r="Q21" s="2213"/>
      <c r="R21" s="2213"/>
      <c r="S21" s="2213"/>
      <c r="T21" s="2213"/>
      <c r="U21" s="2213"/>
      <c r="V21" s="2213"/>
      <c r="W21" s="2213"/>
      <c r="X21" s="2213"/>
      <c r="Y21" s="2214"/>
      <c r="Z21" s="2213"/>
      <c r="AA21" s="2215"/>
      <c r="AB21" s="2213"/>
    </row>
  </sheetData>
  <sheetProtection formatColumns="0" formatRows="0" sort="0" autoFilter="0" insertRows="0" insertColumns="1" deleteRows="0" deleteColumns="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1B5DE9C-ABD8-0407-8F87-F1F6A90740BF}" mc:Ignorable="x14ac xr xr2 xr3">
  <sheetPr>
    <tabColor theme="3" tint="0.6"/>
  </sheetPr>
  <dimension ref="A1:W19"/>
  <sheetViews>
    <sheetView topLeftCell="A1" showGridLines="0" zoomScale="90" workbookViewId="0">
      <selection activeCell="A1" sqref="A1"/>
    </sheetView>
  </sheetViews>
  <sheetFormatPr defaultColWidth="10.57421875" customHeight="1" defaultRowHeight="14.25"/>
  <cols>
    <col min="1" max="1" style="46772" width="9.140625" hidden="1" customWidth="1"/>
    <col min="2" max="3" style="46808" width="9.140625" hidden="1" customWidth="1"/>
    <col min="4" max="4" style="46988" width="3.00390625" customWidth="1"/>
    <col min="5" max="5" style="46808" width="6.00390625" customWidth="1"/>
    <col min="6" max="6" style="46808" width="1.7109375" hidden="1" customWidth="1"/>
    <col min="7" max="8" style="46808" width="30.00390625" customWidth="1"/>
    <col min="9" max="9" style="46808" width="8.00390625" customWidth="1"/>
    <col min="10" max="10" style="46808" width="12.140625" customWidth="1"/>
    <col min="11" max="11" style="46808" width="46.00390625" customWidth="1"/>
    <col min="12" max="12" style="46808" width="100.00390625" customWidth="1"/>
    <col min="13" max="13" style="46905" width="7.00390625" customWidth="1"/>
    <col min="14" max="22" style="46808" width="10.00390625" customWidth="1"/>
    <col min="23" max="23" style="46808" width="10.57421875" hidden="1"/>
  </cols>
  <sheetData>
    <row s="46890" customFormat="1" customHeight="1" ht="5.25" hidden="1">
      <c r="C1" s="1023"/>
      <c r="D1" s="1006"/>
      <c r="F1" s="1023"/>
      <c r="G1" s="1001" t="s">
        <v>85</v>
      </c>
      <c r="H1" s="1001" t="s">
        <v>86</v>
      </c>
      <c r="I1" s="1001" t="s">
        <v>87</v>
      </c>
      <c r="P1" s="1001" t="s">
        <v>85</v>
      </c>
      <c r="Q1" s="1001" t="s">
        <v>86</v>
      </c>
      <c r="R1" s="1001" t="s">
        <v>87</v>
      </c>
      <c r="W1" s="1001" t="s">
        <v>14</v>
      </c>
    </row>
    <row s="46890" customFormat="1" customHeight="1" ht="5.25" hidden="1">
      <c r="C2" s="1023"/>
      <c r="D2" s="1006"/>
      <c r="F2" s="1023"/>
      <c r="W2" s="1001">
        <v>0</v>
      </c>
    </row>
    <row s="46783" customFormat="1" customHeight="1" ht="5.25">
      <c r="A3" s="991"/>
      <c r="D3" s="998"/>
      <c r="E3" s="993"/>
      <c r="F3" s="993"/>
      <c r="G3" s="993"/>
      <c r="H3" s="993"/>
      <c r="I3" s="994"/>
      <c r="J3" s="995"/>
      <c r="K3" s="995"/>
      <c r="L3" s="995"/>
      <c r="W3" s="992">
        <v>5</v>
      </c>
    </row>
    <row customHeight="1" ht="23.25">
      <c r="D4" s="962"/>
      <c r="E4" s="2750" t="s">
        <v>506</v>
      </c>
      <c r="F4" s="2750"/>
      <c r="G4" s="2751"/>
      <c r="H4" s="2751"/>
      <c r="I4" s="2752"/>
      <c r="J4" s="1003"/>
      <c r="K4" s="965"/>
      <c r="L4" s="965"/>
      <c r="W4" s="959">
        <v>22</v>
      </c>
    </row>
    <row s="46808" customFormat="1" customHeight="1" ht="18">
      <c r="A5" s="1271"/>
      <c r="D5" s="1334"/>
      <c r="E5" s="2726" t="str">
        <f>IF(org=0,"Не определено",org)</f>
        <v>КГУП "Примтеплоэнерго"</v>
      </c>
      <c r="F5" s="2726"/>
      <c r="G5" s="2727"/>
      <c r="H5" s="2727"/>
      <c r="I5" s="2728"/>
      <c r="J5" s="1003"/>
      <c r="K5" s="965"/>
      <c r="L5" s="965"/>
      <c r="M5" s="1019"/>
      <c r="W5" s="1270">
        <v>17</v>
      </c>
    </row>
    <row s="46783" customFormat="1" customHeight="1" ht="11.549999999999999">
      <c r="A6" s="991"/>
      <c r="D6" s="998"/>
      <c r="E6" s="993"/>
      <c r="F6" s="993"/>
      <c r="G6" s="996"/>
      <c r="H6" s="996"/>
      <c r="I6" s="997"/>
      <c r="J6" s="997"/>
      <c r="K6" s="1264"/>
      <c r="L6" s="997"/>
      <c r="W6" s="992">
        <v>11</v>
      </c>
    </row>
    <row customHeight="1" ht="14.699999999999998">
      <c r="D7" s="962"/>
      <c r="E7" s="2720" t="s">
        <v>418</v>
      </c>
      <c r="F7" s="2720"/>
      <c r="G7" s="2721"/>
      <c r="H7" s="2721"/>
      <c r="I7" s="2721"/>
      <c r="J7" s="2721"/>
      <c r="K7" s="2721"/>
      <c r="L7" s="2735" t="s">
        <v>419</v>
      </c>
      <c r="W7" s="959">
        <v>14</v>
      </c>
    </row>
    <row customHeight="1" ht="48.29999999999999">
      <c r="D8" s="962"/>
      <c r="E8" s="985" t="s">
        <v>90</v>
      </c>
      <c r="F8" s="1335"/>
      <c r="G8" s="977" t="s">
        <v>88</v>
      </c>
      <c r="H8" s="977" t="s">
        <v>89</v>
      </c>
      <c r="I8" s="926" t="s">
        <v>87</v>
      </c>
      <c r="J8" s="926" t="s">
        <v>507</v>
      </c>
      <c r="K8" s="926" t="s">
        <v>508</v>
      </c>
      <c r="L8" s="2735"/>
      <c r="W8" s="959">
        <v>46</v>
      </c>
    </row>
    <row customHeight="1" ht="12" hidden="1">
      <c r="D9" s="999"/>
      <c r="E9" s="1005"/>
      <c r="F9" s="1342"/>
      <c r="G9" s="1005"/>
      <c r="H9" s="1005"/>
      <c r="I9" s="1005"/>
      <c r="J9" s="1005"/>
      <c r="K9" s="1005"/>
      <c r="L9" s="1005"/>
      <c r="M9" s="959"/>
      <c r="W9" s="959">
        <v>0</v>
      </c>
    </row>
    <row customHeight="1" ht="14.25" hidden="1">
      <c r="A10" s="1017"/>
      <c r="B10" s="1017"/>
      <c r="D10" s="1018"/>
      <c r="E10" s="1024">
        <v>0</v>
      </c>
      <c r="F10" s="1333"/>
      <c r="G10" s="1020"/>
      <c r="H10" s="1020"/>
      <c r="I10" s="1020"/>
      <c r="J10" s="1020"/>
      <c r="K10" s="1020"/>
      <c r="L10" s="2733" t="s">
        <v>509</v>
      </c>
      <c r="M10" s="1019"/>
      <c r="N10" s="1017"/>
      <c r="O10" s="1017"/>
      <c r="P10" s="1017"/>
      <c r="Q10" s="1017"/>
      <c r="R10" s="1017"/>
      <c r="S10" s="1017"/>
      <c r="T10" s="1017"/>
      <c r="U10" s="1017"/>
      <c r="V10" s="1017"/>
      <c r="W10" s="959">
        <v>0</v>
      </c>
    </row>
    <row customHeight="1" ht="15" hidden="1">
      <c r="A11" s="2611"/>
      <c r="B11" s="1016"/>
      <c r="C11" s="1016"/>
      <c r="D11" s="1377"/>
      <c r="E11" s="1025"/>
      <c r="F11" s="1025"/>
      <c r="G11" s="1025"/>
      <c r="H11" s="1025"/>
      <c r="I11" s="1026"/>
      <c r="J11" s="1027"/>
      <c r="K11" s="1225"/>
      <c r="L11" s="2753"/>
      <c r="M11" s="1023"/>
      <c r="N11" s="1023"/>
      <c r="O11" s="1023"/>
      <c r="P11" s="1028"/>
      <c r="Q11" s="1028"/>
      <c r="R11" s="1029"/>
      <c r="S11" s="1023"/>
      <c r="T11" s="1023"/>
      <c r="U11" s="1023"/>
      <c r="V11" s="1023"/>
      <c r="W11" s="959">
        <v>0</v>
      </c>
    </row>
    <row s="46783" customFormat="1" customHeight="1" ht="15">
      <c r="A12" s="2611"/>
      <c r="B12" s="1016"/>
      <c r="C12" s="1016"/>
      <c r="D12" s="1378"/>
      <c r="E12" s="1335">
        <v>1</v>
      </c>
      <c r="F12" s="1376">
        <v>23</v>
      </c>
      <c r="G12" s="1375"/>
      <c r="H12" s="1305"/>
      <c r="I12" s="1303"/>
      <c r="J12" s="1032" t="s">
        <v>63</v>
      </c>
      <c r="K12" s="1676" t="s">
        <v>28</v>
      </c>
      <c r="L12" s="2753"/>
      <c r="M12" s="1023"/>
      <c r="N12" s="1023"/>
      <c r="O12" s="1023"/>
      <c r="P12" s="1028" t="s">
        <v>510</v>
      </c>
      <c r="Q12" s="1028" t="s">
        <v>511</v>
      </c>
      <c r="R12" s="1029" t="s">
        <v>512</v>
      </c>
      <c r="S12" s="1023" t="s">
        <v>513</v>
      </c>
      <c r="T12" s="1023"/>
      <c r="U12" s="1023"/>
      <c r="V12" s="1023"/>
      <c r="W12" s="992">
        <v>14</v>
      </c>
    </row>
    <row customHeight="1" ht="15.75">
      <c r="A13" s="2611"/>
      <c r="B13" s="1017"/>
      <c r="D13" s="1018"/>
      <c r="E13" s="917"/>
      <c r="F13" s="1041"/>
      <c r="G13" s="928" t="s">
        <v>104</v>
      </c>
      <c r="H13" s="916"/>
      <c r="I13" s="916"/>
      <c r="J13" s="916"/>
      <c r="K13" s="915"/>
      <c r="L13" s="2734"/>
      <c r="M13" s="1021"/>
      <c r="N13" s="1017"/>
      <c r="O13" s="1017"/>
      <c r="P13" s="1017"/>
      <c r="Q13" s="1017"/>
      <c r="R13" s="1017"/>
      <c r="S13" s="1017"/>
      <c r="T13" s="1017"/>
      <c r="U13" s="1017"/>
      <c r="V13" s="1017"/>
      <c r="W13" s="959">
        <v>15</v>
      </c>
    </row>
    <row customHeight="1" ht="11.549999999999999">
      <c r="A14" s="991"/>
      <c r="B14" s="992"/>
      <c r="C14" s="992"/>
      <c r="D14" s="1007"/>
      <c r="E14" s="992"/>
      <c r="F14" s="992"/>
      <c r="G14" s="992"/>
      <c r="H14" s="992"/>
      <c r="I14" s="992"/>
      <c r="J14" s="992"/>
      <c r="K14" s="992"/>
      <c r="L14" s="992"/>
      <c r="M14" s="992"/>
      <c r="N14" s="992"/>
      <c r="O14" s="992"/>
      <c r="P14" s="992"/>
      <c r="Q14" s="992"/>
      <c r="R14" s="992"/>
      <c r="S14" s="992"/>
      <c r="T14" s="992"/>
      <c r="U14" s="992"/>
      <c r="V14" s="992"/>
      <c r="W14" s="959">
        <v>11</v>
      </c>
    </row>
    <row customHeight="1" ht="14.699999999999998">
      <c r="D15" s="978"/>
      <c r="E15" s="848"/>
      <c r="F15" s="848"/>
      <c r="G15" s="1176"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водоотведения.</v>
      </c>
      <c r="H15" s="978"/>
      <c r="I15" s="978"/>
      <c r="J15" s="978"/>
      <c r="K15" s="978"/>
      <c r="L15" s="978"/>
      <c r="W15" s="959">
        <v>14</v>
      </c>
    </row>
    <row customHeight="1" ht="14.699999999999998">
      <c r="W16" s="959">
        <v>14</v>
      </c>
    </row>
    <row customHeight="1" ht="14.699999999999998">
      <c r="W17" s="959">
        <v>14</v>
      </c>
    </row>
    <row customHeight="1" ht="14.699999999999998">
      <c r="G18" s="1017"/>
      <c r="W18" s="959">
        <v>14</v>
      </c>
    </row>
    <row customHeight="1" ht="22.5" hidden="1">
      <c r="A19" s="961" t="s">
        <v>84</v>
      </c>
      <c r="B19" s="959">
        <v>0</v>
      </c>
      <c r="C19" s="1270">
        <v>0</v>
      </c>
      <c r="D19" s="963">
        <v>3</v>
      </c>
      <c r="E19" s="959">
        <v>6</v>
      </c>
      <c r="F19" s="1270">
        <v>0</v>
      </c>
      <c r="G19" s="959">
        <v>30</v>
      </c>
      <c r="H19" s="959">
        <v>30</v>
      </c>
      <c r="I19" s="959">
        <v>8</v>
      </c>
      <c r="J19" s="959">
        <v>12</v>
      </c>
      <c r="K19" s="959">
        <v>46</v>
      </c>
      <c r="L19" s="959">
        <v>100</v>
      </c>
      <c r="M19" s="964">
        <v>7</v>
      </c>
      <c r="N19" s="959">
        <v>10</v>
      </c>
      <c r="O19" s="959">
        <v>10</v>
      </c>
      <c r="P19" s="959">
        <v>10</v>
      </c>
      <c r="Q19" s="959">
        <v>10</v>
      </c>
      <c r="R19" s="959">
        <v>10</v>
      </c>
      <c r="S19" s="959">
        <v>10</v>
      </c>
      <c r="T19" s="959">
        <v>10</v>
      </c>
      <c r="U19" s="959">
        <v>10</v>
      </c>
      <c r="V19" s="959">
        <v>10</v>
      </c>
      <c r="W19" s="959">
        <v>23</v>
      </c>
    </row>
  </sheetData>
  <sheetProtection formatColumns="0" formatRows="0" sort="0" autoFilter="0" insertRows="0" insertColumns="1" deleteRows="0" deleteColumns="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67160D6-0BAB-E9F9-1041-33BC0C6CA36B}"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46889" width="10.57421875" hidden="1"/>
    <col min="2" max="2" style="46889" width="11.00390625" hidden="1" customWidth="1"/>
    <col min="3" max="3" style="46889" width="10.57421875" hidden="1"/>
    <col min="4" max="4" style="46889" width="11.8515625" hidden="1" customWidth="1"/>
    <col min="5" max="5" style="46889" width="10.00390625" hidden="1" customWidth="1"/>
    <col min="6" max="6" style="46889" width="8.7109375" hidden="1" customWidth="1"/>
    <col min="7" max="7" style="46889" width="7.57421875" hidden="1" customWidth="1"/>
    <col min="8" max="8" style="46889" width="11.421875" hidden="1" customWidth="1"/>
    <col min="9" max="9" style="46889" width="12.00390625" hidden="1" customWidth="1"/>
    <col min="10" max="10" style="46889" width="9.8515625" hidden="1" customWidth="1"/>
    <col min="11" max="11" style="46889" width="11.421875" hidden="1" customWidth="1"/>
    <col min="12" max="12" style="47738" width="19.140625" hidden="1" customWidth="1"/>
    <col min="13" max="14" style="47739" width="12.28125" hidden="1" customWidth="1"/>
    <col min="15" max="15" style="47739" width="23.421875" hidden="1" customWidth="1"/>
    <col min="16" max="16" style="47740" width="3.00390625" customWidth="1"/>
    <col min="17" max="18" style="47741" width="3.00390625" customWidth="1"/>
    <col min="19" max="19" style="47742" width="12.00390625" customWidth="1"/>
    <col min="20" max="20" style="46808" width="35.00390625" customWidth="1"/>
    <col min="21" max="21" style="46808" width="0.140625" customWidth="1"/>
    <col min="22" max="22" style="46808" width="24.7109375" hidden="1" customWidth="1"/>
    <col min="23" max="23" style="46808" width="0.140625" hidden="1" customWidth="1"/>
    <col min="24" max="25" style="46808" width="24.7109375" hidden="1" customWidth="1"/>
    <col min="26" max="26" style="46808" width="11.7109375" hidden="1" customWidth="1"/>
    <col min="27" max="27" style="46808" width="3.7109375" hidden="1" customWidth="1"/>
    <col min="28" max="28" style="46808" width="11.7109375" hidden="1" customWidth="1"/>
    <col min="29" max="29" style="46808" width="8.57421875" hidden="1" customWidth="1"/>
    <col min="30" max="30" style="46808" width="24.7109375" customWidth="1"/>
    <col min="31" max="31" style="46808" width="0.140625" customWidth="1"/>
    <col min="32" max="33" style="46808" width="24.00390625" customWidth="1"/>
    <col min="34" max="34" style="46808" width="11.00390625" customWidth="1"/>
    <col min="35" max="35" style="46808" width="3.7109375" customWidth="1"/>
    <col min="36" max="36" style="46808" width="11.00390625" customWidth="1"/>
    <col min="37" max="37" style="46808" width="8.57421875" hidden="1" customWidth="1"/>
    <col min="38" max="38" style="46808" width="4.00390625" customWidth="1"/>
    <col min="39" max="39" style="46808" width="115.00390625" customWidth="1"/>
    <col min="40" max="44" style="46890" width="10.00390625" customWidth="1"/>
    <col min="45" max="45" style="46808" width="10.57421875" hidden="1"/>
  </cols>
  <sheetData>
    <row customHeight="1" ht="22.5" hidden="1">
      <c r="Y1" s="839"/>
      <c r="Z1" s="839"/>
      <c r="AG1" s="839"/>
      <c r="AH1" s="839"/>
      <c r="AS1" s="1667" t="s">
        <v>14</v>
      </c>
    </row>
    <row customHeight="1" ht="21" hidden="1">
      <c r="A2" s="1875"/>
      <c r="B2" s="1875"/>
      <c r="C2" s="1875"/>
      <c r="D2" s="1875"/>
      <c r="E2" s="2770">
        <v>1</v>
      </c>
      <c r="F2" s="1875"/>
      <c r="G2" s="1875"/>
      <c r="H2" s="1875"/>
      <c r="I2" s="1875"/>
      <c r="J2" s="1875"/>
      <c r="K2" s="1875"/>
      <c r="L2" s="1876"/>
      <c r="M2" s="1877"/>
      <c r="N2" s="1877"/>
      <c r="O2" s="1877"/>
      <c r="P2" s="873"/>
      <c r="Q2" s="872"/>
      <c r="R2" s="867"/>
      <c r="S2" s="1821">
        <f>INDEX(PT_DIFFERENTIATION_NUM_NTAR,MATCH(A2,PT_DIFFERENTIATION_NTAR_ID,0))</f>
      </c>
      <c r="T2" s="810" t="s">
        <v>179</v>
      </c>
      <c r="U2" s="812"/>
      <c r="V2" s="2754"/>
      <c r="W2" s="2755"/>
      <c r="X2" s="2755"/>
      <c r="Y2" s="2755"/>
      <c r="Z2" s="2755"/>
      <c r="AA2" s="2755"/>
      <c r="AB2" s="2755"/>
      <c r="AC2" s="2756"/>
      <c r="AD2" s="2754">
        <f>INDEX(PT_DIFFERENTIATION_NTAR,MATCH(A2,PT_DIFFERENTIATION_NTAR_ID,0))</f>
      </c>
      <c r="AE2" s="2755"/>
      <c r="AF2" s="2755"/>
      <c r="AG2" s="2755"/>
      <c r="AH2" s="2755"/>
      <c r="AI2" s="2755"/>
      <c r="AJ2" s="2755"/>
      <c r="AK2" s="2755"/>
      <c r="AL2" s="2756"/>
      <c r="AM2" s="1770" t="s">
        <v>514</v>
      </c>
      <c r="AO2" s="1012"/>
      <c r="AP2" s="1012" t="str">
        <f>IF(T2="","",T2)</f>
        <v>Наименование тарифа</v>
      </c>
      <c r="AQ2" s="1012"/>
      <c r="AR2" s="1012"/>
      <c r="AS2" s="1667">
        <v>0</v>
      </c>
    </row>
    <row customHeight="1" ht="21" hidden="1">
      <c r="A3" s="1875"/>
      <c r="B3" s="1875"/>
      <c r="C3" s="1875"/>
      <c r="D3" s="1875"/>
      <c r="E3" s="2771"/>
      <c r="F3" s="2770">
        <v>1</v>
      </c>
      <c r="G3" s="1875"/>
      <c r="H3" s="1875"/>
      <c r="I3" s="1875"/>
      <c r="J3" s="1875"/>
      <c r="K3" s="1875"/>
      <c r="L3" s="1876"/>
      <c r="M3" s="1877"/>
      <c r="N3" s="1877"/>
      <c r="O3" s="1877"/>
      <c r="P3" s="1816"/>
      <c r="Q3" s="864"/>
      <c r="R3" s="865"/>
      <c r="S3" s="1821">
        <f>INDEX(PT_DIFFERENTIATION_NUM_TER,MATCH(B3,PT_DIFFERENTIATION_TER_ID,0))</f>
      </c>
      <c r="T3" s="820" t="s">
        <v>515</v>
      </c>
      <c r="U3" s="812"/>
      <c r="V3" s="2754"/>
      <c r="W3" s="2755"/>
      <c r="X3" s="2755"/>
      <c r="Y3" s="2755"/>
      <c r="Z3" s="2755"/>
      <c r="AA3" s="2755"/>
      <c r="AB3" s="2755"/>
      <c r="AC3" s="2756"/>
      <c r="AD3" s="2754">
        <f>INDEX(PT_DIFFERENTIATION_TER,MATCH(B3,PT_DIFFERENTIATION_TER_ID,0))</f>
      </c>
      <c r="AE3" s="2755"/>
      <c r="AF3" s="2755"/>
      <c r="AG3" s="2755"/>
      <c r="AH3" s="2755"/>
      <c r="AI3" s="2755"/>
      <c r="AJ3" s="2755"/>
      <c r="AK3" s="2755"/>
      <c r="AL3" s="2756"/>
      <c r="AM3" s="1770" t="s">
        <v>516</v>
      </c>
      <c r="AO3" s="1012"/>
      <c r="AP3" s="1012" t="str">
        <f>IF(T3="","",T3)</f>
        <v>Территория действия тарифа</v>
      </c>
      <c r="AQ3" s="1012"/>
      <c r="AR3" s="1012"/>
      <c r="AS3" s="1667">
        <v>0</v>
      </c>
    </row>
    <row customHeight="1" ht="23.25" hidden="1">
      <c r="A4" s="1875"/>
      <c r="B4" s="1875"/>
      <c r="C4" s="1875"/>
      <c r="D4" s="1875"/>
      <c r="E4" s="2771"/>
      <c r="F4" s="2771"/>
      <c r="G4" s="2770">
        <v>1</v>
      </c>
      <c r="H4" s="1875"/>
      <c r="I4" s="1875"/>
      <c r="J4" s="1875"/>
      <c r="K4" s="1875"/>
      <c r="L4" s="1876"/>
      <c r="M4" s="1877"/>
      <c r="N4" s="1877"/>
      <c r="O4" s="1877"/>
      <c r="P4" s="866"/>
      <c r="Q4" s="864"/>
      <c r="R4" s="865"/>
      <c r="S4" s="1821">
        <f>INDEX(PT_DIFFERENTIATION_NUM_CS,MATCH(C4,PT_DIFFERENTIATION_CS_ID,0))</f>
      </c>
      <c r="T4" s="821" t="s">
        <v>517</v>
      </c>
      <c r="U4" s="812"/>
      <c r="V4" s="2754"/>
      <c r="W4" s="2755"/>
      <c r="X4" s="2755"/>
      <c r="Y4" s="2755"/>
      <c r="Z4" s="2755"/>
      <c r="AA4" s="2755"/>
      <c r="AB4" s="2755"/>
      <c r="AC4" s="2756"/>
      <c r="AD4" s="2754">
        <f>INDEX(PT_DIFFERENTIATION_CS,MATCH(C4,PT_DIFFERENTIATION_CS_ID,0))</f>
      </c>
      <c r="AE4" s="2755"/>
      <c r="AF4" s="2755"/>
      <c r="AG4" s="2755"/>
      <c r="AH4" s="2755"/>
      <c r="AI4" s="2755"/>
      <c r="AJ4" s="2755"/>
      <c r="AK4" s="2755"/>
      <c r="AL4" s="2756"/>
      <c r="AM4" s="1770" t="s">
        <v>518</v>
      </c>
      <c r="AO4" s="1012"/>
      <c r="AP4" s="1012" t="str">
        <f>IF(T4="","",T4)</f>
        <v>Наименование системы теплоснабжения </v>
      </c>
      <c r="AQ4" s="1012"/>
      <c r="AR4" s="1012"/>
      <c r="AS4" s="1667">
        <v>0</v>
      </c>
    </row>
    <row customHeight="1" ht="21" hidden="1">
      <c r="A5" s="1875"/>
      <c r="B5" s="1875"/>
      <c r="C5" s="1875"/>
      <c r="D5" s="1875"/>
      <c r="E5" s="2771"/>
      <c r="F5" s="2771"/>
      <c r="G5" s="2771"/>
      <c r="H5" s="2770">
        <v>1</v>
      </c>
      <c r="I5" s="1875"/>
      <c r="J5" s="1875"/>
      <c r="K5" s="1875"/>
      <c r="L5" s="1876"/>
      <c r="M5" s="1877"/>
      <c r="N5" s="1877"/>
      <c r="O5" s="1877"/>
      <c r="P5" s="866"/>
      <c r="Q5" s="864"/>
      <c r="R5" s="865"/>
      <c r="S5" s="1821">
        <f>INDEX(PT_DIFFERENTIATION_NUM_IST_TE,MATCH(D5,PT_DIFFERENTIATION_IST_TE_ID,0))</f>
      </c>
      <c r="T5" s="822" t="s">
        <v>519</v>
      </c>
      <c r="U5" s="812"/>
      <c r="V5" s="2754"/>
      <c r="W5" s="2755"/>
      <c r="X5" s="2755"/>
      <c r="Y5" s="2755"/>
      <c r="Z5" s="2755"/>
      <c r="AA5" s="2755"/>
      <c r="AB5" s="2755"/>
      <c r="AC5" s="2756"/>
      <c r="AD5" s="2754">
        <f>INDEX(PT_DIFFERENTIATION_IST_TE,MATCH(D5,PT_DIFFERENTIATION_IST_TE_ID,0))</f>
      </c>
      <c r="AE5" s="2755"/>
      <c r="AF5" s="2755"/>
      <c r="AG5" s="2755"/>
      <c r="AH5" s="2755"/>
      <c r="AI5" s="2755"/>
      <c r="AJ5" s="2755"/>
      <c r="AK5" s="2755"/>
      <c r="AL5" s="2756"/>
      <c r="AM5" s="1770" t="s">
        <v>520</v>
      </c>
      <c r="AO5" s="1012"/>
      <c r="AP5" s="1012" t="str">
        <f>IF(T5="","",T5)</f>
        <v>Источник тепловой энергии  </v>
      </c>
      <c r="AQ5" s="1012"/>
      <c r="AR5" s="1012"/>
      <c r="AS5" s="1667">
        <v>0</v>
      </c>
    </row>
    <row customHeight="1" ht="47.25" hidden="1">
      <c r="A6" s="1875"/>
      <c r="B6" s="1875"/>
      <c r="C6" s="1875"/>
      <c r="D6" s="1875"/>
      <c r="E6" s="2771"/>
      <c r="F6" s="2771"/>
      <c r="G6" s="2771"/>
      <c r="H6" s="2771"/>
      <c r="I6" s="2768">
        <f>S5&amp;".1"</f>
      </c>
      <c r="J6" s="1875"/>
      <c r="K6" s="1875"/>
      <c r="L6" s="1876" t="s">
        <v>521</v>
      </c>
      <c r="M6" s="1049"/>
      <c r="P6" s="2769">
        <v>1</v>
      </c>
      <c r="Q6" s="1817"/>
      <c r="R6" s="868"/>
      <c r="S6" s="1821">
        <f>$I6</f>
      </c>
      <c r="T6" s="797" t="s">
        <v>522</v>
      </c>
      <c r="U6" s="812"/>
      <c r="V6" s="2757"/>
      <c r="W6" s="2758"/>
      <c r="X6" s="2758"/>
      <c r="Y6" s="2758"/>
      <c r="Z6" s="2758"/>
      <c r="AA6" s="2758"/>
      <c r="AB6" s="2758"/>
      <c r="AC6" s="2759"/>
      <c r="AD6" s="2757"/>
      <c r="AE6" s="2758"/>
      <c r="AF6" s="2758"/>
      <c r="AG6" s="2758"/>
      <c r="AH6" s="2758"/>
      <c r="AI6" s="2758"/>
      <c r="AJ6" s="2758"/>
      <c r="AK6" s="2758"/>
      <c r="AL6" s="2759"/>
      <c r="AM6" s="1770" t="s">
        <v>523</v>
      </c>
      <c r="AO6" s="1012"/>
      <c r="AP6" s="1012" t="str">
        <f>IF(T6="","",T6)</f>
        <v>Схема подключения теплопотребляющей установки к коллектору источника тепловой энергии</v>
      </c>
      <c r="AQ6" s="1012"/>
      <c r="AR6" s="1012"/>
      <c r="AS6" s="1667">
        <v>0</v>
      </c>
    </row>
    <row customHeight="1" ht="21" hidden="1">
      <c r="A7" s="1875"/>
      <c r="B7" s="1875"/>
      <c r="C7" s="1875"/>
      <c r="D7" s="1875"/>
      <c r="E7" s="2771"/>
      <c r="F7" s="2771"/>
      <c r="G7" s="2771"/>
      <c r="H7" s="2771"/>
      <c r="I7" s="2798"/>
      <c r="J7" s="2768">
        <f>I6&amp;".1"</f>
      </c>
      <c r="K7" s="1875"/>
      <c r="L7" s="1876" t="s">
        <v>524</v>
      </c>
      <c r="M7" s="1049"/>
      <c r="N7" s="1878"/>
      <c r="P7" s="2769"/>
      <c r="Q7" s="2769">
        <v>1</v>
      </c>
      <c r="R7" s="869"/>
      <c r="S7" s="1821">
        <f>$J7</f>
      </c>
      <c r="T7" s="798" t="s">
        <v>525</v>
      </c>
      <c r="U7" s="812"/>
      <c r="V7" s="2757"/>
      <c r="W7" s="2758"/>
      <c r="X7" s="2758"/>
      <c r="Y7" s="2758"/>
      <c r="Z7" s="2758"/>
      <c r="AA7" s="2758"/>
      <c r="AB7" s="2758"/>
      <c r="AC7" s="2759"/>
      <c r="AD7" s="2757"/>
      <c r="AE7" s="2758"/>
      <c r="AF7" s="2758"/>
      <c r="AG7" s="2758"/>
      <c r="AH7" s="2758"/>
      <c r="AI7" s="2758"/>
      <c r="AJ7" s="2758"/>
      <c r="AK7" s="2758"/>
      <c r="AL7" s="2759"/>
      <c r="AM7" s="1770" t="s">
        <v>526</v>
      </c>
      <c r="AO7" s="1012"/>
      <c r="AP7" s="1012" t="str">
        <f>IF(T7="","",T7)</f>
        <v>Группа потребителей</v>
      </c>
      <c r="AQ7" s="1012"/>
      <c r="AR7" s="1012"/>
      <c r="AS7" s="1667">
        <v>0</v>
      </c>
    </row>
    <row customHeight="1" ht="21" hidden="1">
      <c r="A8" s="1875"/>
      <c r="B8" s="1875"/>
      <c r="C8" s="1875"/>
      <c r="D8" s="1875"/>
      <c r="E8" s="2771"/>
      <c r="F8" s="2771"/>
      <c r="G8" s="2771"/>
      <c r="H8" s="2771"/>
      <c r="I8" s="2798"/>
      <c r="J8" s="2798"/>
      <c r="K8" s="2768">
        <f>J7&amp;".1"</f>
      </c>
      <c r="L8" s="1876" t="s">
        <v>527</v>
      </c>
      <c r="M8" s="1049"/>
      <c r="N8" s="1878"/>
      <c r="O8" s="1878"/>
      <c r="P8" s="2769"/>
      <c r="Q8" s="2769"/>
      <c r="R8" s="869">
        <v>1</v>
      </c>
      <c r="S8" s="1821">
        <f>$K8</f>
      </c>
      <c r="T8" s="1859"/>
      <c r="U8" s="812"/>
      <c r="V8" s="1263"/>
      <c r="W8" s="837"/>
      <c r="X8" s="1263"/>
      <c r="Y8" s="1769"/>
      <c r="Z8" s="2777"/>
      <c r="AA8" s="2619" t="s">
        <v>63</v>
      </c>
      <c r="AB8" s="2777"/>
      <c r="AC8" s="2619" t="s">
        <v>63</v>
      </c>
      <c r="AD8" s="1263"/>
      <c r="AE8" s="837"/>
      <c r="AF8" s="1263"/>
      <c r="AG8" s="1769"/>
      <c r="AH8" s="2777"/>
      <c r="AI8" s="2619" t="s">
        <v>63</v>
      </c>
      <c r="AJ8" s="2777"/>
      <c r="AK8" s="2619" t="s">
        <v>63</v>
      </c>
      <c r="AL8" s="837"/>
      <c r="AM8" s="2765" t="s">
        <v>528</v>
      </c>
      <c r="AN8" s="1023">
        <f>STRCHECKDATE(V9:AL9)</f>
      </c>
      <c r="AO8" s="1012"/>
      <c r="AP8" s="1012" t="str">
        <f>IF(T8="","",T8)</f>
        <v/>
      </c>
      <c r="AQ8" s="1012"/>
      <c r="AR8" s="1012"/>
      <c r="AS8" s="1667">
        <v>0</v>
      </c>
    </row>
    <row customHeight="1" ht="0.75" hidden="1">
      <c r="A9" s="1875"/>
      <c r="B9" s="1875"/>
      <c r="C9" s="1875"/>
      <c r="D9" s="1875"/>
      <c r="E9" s="2771"/>
      <c r="F9" s="2771"/>
      <c r="G9" s="2771"/>
      <c r="H9" s="2771"/>
      <c r="I9" s="2798"/>
      <c r="J9" s="2798"/>
      <c r="K9" s="2768"/>
      <c r="L9" s="1876"/>
      <c r="M9" s="1049"/>
      <c r="N9" s="1878"/>
      <c r="O9" s="1878"/>
      <c r="P9" s="2769"/>
      <c r="Q9" s="2769"/>
      <c r="R9" s="869"/>
      <c r="S9" s="1818"/>
      <c r="T9" s="812"/>
      <c r="U9" s="812"/>
      <c r="V9" s="837"/>
      <c r="W9" s="837"/>
      <c r="X9" s="837"/>
      <c r="Y9" s="840" t="str">
        <f>Z8&amp;"-"&amp;AB8</f>
        <v>-</v>
      </c>
      <c r="Z9" s="2778"/>
      <c r="AA9" s="2619"/>
      <c r="AB9" s="2778"/>
      <c r="AC9" s="2619"/>
      <c r="AD9" s="837"/>
      <c r="AE9" s="837"/>
      <c r="AF9" s="837"/>
      <c r="AG9" s="840" t="str">
        <f>AH8&amp;"-"&amp;AJ8</f>
        <v>-</v>
      </c>
      <c r="AH9" s="2778"/>
      <c r="AI9" s="2619"/>
      <c r="AJ9" s="2778"/>
      <c r="AK9" s="2619"/>
      <c r="AL9" s="837"/>
      <c r="AM9" s="2766"/>
      <c r="AO9" s="1012"/>
      <c r="AP9" s="1012" t="str">
        <f>IF(T9="","",T9)</f>
        <v/>
      </c>
      <c r="AQ9" s="1012"/>
      <c r="AR9" s="1012"/>
      <c r="AS9" s="1667">
        <v>0</v>
      </c>
    </row>
    <row customHeight="1" ht="15" hidden="1">
      <c r="A10" s="1875"/>
      <c r="B10" s="1875"/>
      <c r="C10" s="1875"/>
      <c r="D10" s="1875"/>
      <c r="E10" s="2771"/>
      <c r="F10" s="2771"/>
      <c r="G10" s="2771"/>
      <c r="H10" s="2771"/>
      <c r="I10" s="2798"/>
      <c r="J10" s="2768"/>
      <c r="K10" s="1875"/>
      <c r="L10" s="1876"/>
      <c r="M10" s="1049"/>
      <c r="N10" s="1878"/>
      <c r="P10" s="2769"/>
      <c r="Q10" s="2769"/>
      <c r="R10" s="868"/>
      <c r="S10" s="1790"/>
      <c r="T10" s="800" t="s">
        <v>529</v>
      </c>
      <c r="U10" s="879"/>
      <c r="V10" s="879"/>
      <c r="W10" s="879"/>
      <c r="X10" s="879"/>
      <c r="Y10" s="879"/>
      <c r="Z10" s="879"/>
      <c r="AA10" s="879"/>
      <c r="AB10" s="879"/>
      <c r="AC10" s="879"/>
      <c r="AD10" s="879"/>
      <c r="AE10" s="879"/>
      <c r="AF10" s="879"/>
      <c r="AG10" s="879"/>
      <c r="AH10" s="879"/>
      <c r="AI10" s="879"/>
      <c r="AJ10" s="879"/>
      <c r="AK10" s="879"/>
      <c r="AL10" s="836"/>
      <c r="AM10" s="2767"/>
      <c r="AO10" s="1012"/>
      <c r="AP10" s="1012" t="str">
        <f>IF(T10="","",T10)</f>
        <v>Добавить вид теплоносителя (параметры теплоносителя)</v>
      </c>
      <c r="AQ10" s="1012"/>
      <c r="AR10" s="1012"/>
      <c r="AS10" s="1667">
        <v>0</v>
      </c>
    </row>
    <row customHeight="1" ht="15" hidden="1">
      <c r="A11" s="1875"/>
      <c r="B11" s="1875"/>
      <c r="C11" s="1875"/>
      <c r="D11" s="1875"/>
      <c r="E11" s="2771"/>
      <c r="F11" s="2771"/>
      <c r="G11" s="2771"/>
      <c r="H11" s="2771"/>
      <c r="I11" s="2768"/>
      <c r="J11" s="1875"/>
      <c r="K11" s="1875"/>
      <c r="L11" s="1876"/>
      <c r="M11" s="1049"/>
      <c r="P11" s="2769"/>
      <c r="Q11" s="1817"/>
      <c r="R11" s="868"/>
      <c r="S11" s="1790"/>
      <c r="T11" s="799" t="s">
        <v>530</v>
      </c>
      <c r="U11" s="879"/>
      <c r="V11" s="879"/>
      <c r="W11" s="879"/>
      <c r="X11" s="879"/>
      <c r="Y11" s="879"/>
      <c r="Z11" s="879"/>
      <c r="AA11" s="879"/>
      <c r="AB11" s="879"/>
      <c r="AC11" s="878"/>
      <c r="AD11" s="879"/>
      <c r="AE11" s="879"/>
      <c r="AF11" s="879"/>
      <c r="AG11" s="879"/>
      <c r="AH11" s="879"/>
      <c r="AI11" s="879"/>
      <c r="AJ11" s="879"/>
      <c r="AK11" s="878"/>
      <c r="AL11" s="879"/>
      <c r="AM11" s="815"/>
      <c r="AO11" s="1012"/>
      <c r="AP11" s="1012" t="str">
        <f>IF(T11="","",T11)</f>
        <v>Добавить группу потребителей</v>
      </c>
      <c r="AQ11" s="1012"/>
      <c r="AR11" s="1012"/>
      <c r="AS11" s="1667">
        <v>0</v>
      </c>
    </row>
    <row customHeight="1" ht="14.25" hidden="1">
      <c r="A12" s="1875"/>
      <c r="B12" s="1875"/>
      <c r="C12" s="1875"/>
      <c r="D12" s="1875"/>
      <c r="E12" s="2771"/>
      <c r="F12" s="2771"/>
      <c r="G12" s="2771"/>
      <c r="H12" s="2770"/>
      <c r="I12" s="1875"/>
      <c r="J12" s="1875"/>
      <c r="K12" s="1875"/>
      <c r="L12" s="1876"/>
      <c r="M12" s="1877"/>
      <c r="N12" s="1877"/>
      <c r="O12" s="1049"/>
      <c r="P12" s="872"/>
      <c r="Q12" s="887"/>
      <c r="R12" s="867"/>
      <c r="S12" s="1790"/>
      <c r="T12" s="877" t="s">
        <v>531</v>
      </c>
      <c r="U12" s="879"/>
      <c r="V12" s="879"/>
      <c r="W12" s="879"/>
      <c r="X12" s="879"/>
      <c r="Y12" s="879"/>
      <c r="Z12" s="879"/>
      <c r="AA12" s="879"/>
      <c r="AB12" s="879"/>
      <c r="AC12" s="878"/>
      <c r="AD12" s="879"/>
      <c r="AE12" s="879"/>
      <c r="AF12" s="879"/>
      <c r="AG12" s="879"/>
      <c r="AH12" s="879"/>
      <c r="AI12" s="879"/>
      <c r="AJ12" s="879"/>
      <c r="AK12" s="878"/>
      <c r="AL12" s="879"/>
      <c r="AM12" s="815"/>
      <c r="AO12" s="1012"/>
      <c r="AP12" s="1012" t="str">
        <f>IF(T12="","",T12)</f>
        <v>Добавить схему подключения</v>
      </c>
      <c r="AQ12" s="1012"/>
      <c r="AR12" s="1012"/>
      <c r="AS12" s="1667">
        <v>0</v>
      </c>
    </row>
    <row s="46890" customFormat="1" customHeight="1" ht="0.75" hidden="1">
      <c r="A13" s="1826"/>
      <c r="B13" s="1826"/>
      <c r="C13" s="1826"/>
      <c r="D13" s="1826"/>
      <c r="E13" s="2771"/>
      <c r="F13" s="2771"/>
      <c r="G13" s="2770"/>
      <c r="H13" s="1826"/>
      <c r="I13" s="1826"/>
      <c r="J13" s="1826"/>
      <c r="K13" s="1826"/>
      <c r="L13" s="1851"/>
      <c r="M13" s="1827"/>
      <c r="N13" s="1827"/>
      <c r="P13" s="1828"/>
      <c r="Q13" s="1829"/>
      <c r="R13" s="1828"/>
      <c r="S13" s="1830"/>
      <c r="T13" s="1831" t="s">
        <v>532</v>
      </c>
      <c r="U13" s="1832"/>
      <c r="V13" s="1832"/>
      <c r="W13" s="1832"/>
      <c r="X13" s="1832"/>
      <c r="Y13" s="1832"/>
      <c r="Z13" s="1832"/>
      <c r="AA13" s="1832"/>
      <c r="AB13" s="1832"/>
      <c r="AC13" s="1832"/>
      <c r="AD13" s="1832"/>
      <c r="AE13" s="1832"/>
      <c r="AF13" s="1832"/>
      <c r="AG13" s="1832"/>
      <c r="AH13" s="1832"/>
      <c r="AI13" s="1832"/>
      <c r="AJ13" s="1832"/>
      <c r="AK13" s="1832"/>
      <c r="AL13" s="1832"/>
      <c r="AM13" s="1832"/>
      <c r="AO13" s="1301"/>
      <c r="AP13" s="1301" t="str">
        <f>IF(T13="","",T13)</f>
        <v>Добавить источник для дифференциации</v>
      </c>
      <c r="AQ13" s="1301"/>
      <c r="AR13" s="1301"/>
      <c r="AS13" s="1030">
        <v>0</v>
      </c>
    </row>
    <row s="46890" customFormat="1" customHeight="1" ht="0.75" hidden="1">
      <c r="A14" s="1826"/>
      <c r="B14" s="1826"/>
      <c r="C14" s="1826"/>
      <c r="D14" s="1826"/>
      <c r="E14" s="2771"/>
      <c r="F14" s="2770"/>
      <c r="G14" s="1826"/>
      <c r="H14" s="1826"/>
      <c r="I14" s="1826"/>
      <c r="J14" s="1826"/>
      <c r="K14" s="1826"/>
      <c r="L14" s="1851"/>
      <c r="M14" s="1833"/>
      <c r="N14" s="1833"/>
      <c r="P14" s="1828"/>
      <c r="Q14" s="1829"/>
      <c r="R14" s="1828"/>
      <c r="S14" s="1834"/>
      <c r="T14" s="1835" t="s">
        <v>321</v>
      </c>
      <c r="U14" s="1836"/>
      <c r="V14" s="1836"/>
      <c r="W14" s="1836"/>
      <c r="X14" s="1836"/>
      <c r="Y14" s="1836"/>
      <c r="Z14" s="1836"/>
      <c r="AA14" s="1836"/>
      <c r="AB14" s="1836"/>
      <c r="AC14" s="1836"/>
      <c r="AD14" s="1836"/>
      <c r="AE14" s="1836"/>
      <c r="AF14" s="1836"/>
      <c r="AG14" s="1836"/>
      <c r="AH14" s="1836"/>
      <c r="AI14" s="1836"/>
      <c r="AJ14" s="1836"/>
      <c r="AK14" s="1836"/>
      <c r="AL14" s="1836"/>
      <c r="AM14" s="1836"/>
      <c r="AO14" s="1301"/>
      <c r="AP14" s="1301" t="str">
        <f>IF(T14="","",T14)</f>
        <v>Добавить централизованную систему для дифференциации</v>
      </c>
      <c r="AQ14" s="1301"/>
      <c r="AR14" s="1301"/>
      <c r="AS14" s="1030">
        <v>0</v>
      </c>
    </row>
    <row s="46890" customFormat="1" customHeight="1" ht="0.75" hidden="1">
      <c r="A15" s="1826"/>
      <c r="B15" s="1826"/>
      <c r="C15" s="1826"/>
      <c r="D15" s="1826"/>
      <c r="E15" s="2770"/>
      <c r="F15" s="1826"/>
      <c r="G15" s="1826"/>
      <c r="H15" s="1826"/>
      <c r="I15" s="1826"/>
      <c r="J15" s="1826"/>
      <c r="K15" s="1826"/>
      <c r="L15" s="1851"/>
      <c r="M15" s="1833"/>
      <c r="N15" s="1833"/>
      <c r="P15" s="1828"/>
      <c r="Q15" s="1829"/>
      <c r="R15" s="1828"/>
      <c r="S15" s="1834"/>
      <c r="T15" s="1837" t="s">
        <v>385</v>
      </c>
      <c r="U15" s="1836"/>
      <c r="V15" s="1836"/>
      <c r="W15" s="1836"/>
      <c r="X15" s="1836"/>
      <c r="Y15" s="1836"/>
      <c r="Z15" s="1836"/>
      <c r="AA15" s="1836"/>
      <c r="AB15" s="1836"/>
      <c r="AC15" s="1836"/>
      <c r="AD15" s="1836"/>
      <c r="AE15" s="1836"/>
      <c r="AF15" s="1836"/>
      <c r="AG15" s="1836"/>
      <c r="AH15" s="1836"/>
      <c r="AI15" s="1836"/>
      <c r="AJ15" s="1836"/>
      <c r="AK15" s="1836"/>
      <c r="AL15" s="1836"/>
      <c r="AM15" s="1836"/>
      <c r="AO15" s="1301"/>
      <c r="AP15" s="1301" t="str">
        <f>IF(T15="","",T15)</f>
        <v>Добавить территорию для дифференциации</v>
      </c>
      <c r="AQ15" s="1301"/>
      <c r="AR15" s="1301"/>
      <c r="AS15" s="1030">
        <v>0</v>
      </c>
    </row>
    <row customHeight="1" ht="14.25" hidden="1">
      <c r="AC16" s="839"/>
      <c r="AK16" s="839"/>
      <c r="AS16" s="1667">
        <v>0</v>
      </c>
    </row>
    <row customHeight="1" ht="14.25" hidden="1">
      <c r="P17" s="1823"/>
      <c r="AD17" s="1872"/>
      <c r="AE17" s="1872"/>
      <c r="AF17" s="1872"/>
      <c r="AG17" s="1873"/>
      <c r="AH17" s="2779"/>
      <c r="AI17" s="2780" t="s">
        <v>63</v>
      </c>
      <c r="AJ17" s="2779"/>
      <c r="AK17" s="2780" t="s">
        <v>63</v>
      </c>
      <c r="AS17" s="1667">
        <v>0</v>
      </c>
    </row>
    <row customHeight="1" ht="14.25" hidden="1">
      <c r="P18" s="1823"/>
      <c r="AD18" s="1872"/>
      <c r="AE18" s="1872"/>
      <c r="AF18" s="1872"/>
      <c r="AG18" s="840" t="str">
        <f>AH17&amp;"-"&amp;AJ17</f>
        <v>-</v>
      </c>
      <c r="AH18" s="2780"/>
      <c r="AI18" s="2780"/>
      <c r="AJ18" s="2780"/>
      <c r="AK18" s="2780"/>
      <c r="AS18" s="1667">
        <v>0</v>
      </c>
    </row>
    <row customHeight="1" ht="14.25" hidden="1">
      <c r="P19" s="1823"/>
      <c r="AK19" s="839"/>
      <c r="AS19" s="1667">
        <v>0</v>
      </c>
    </row>
    <row s="46889" customFormat="1" customHeight="1" ht="22.5" hidden="1">
      <c r="L20" s="1841"/>
      <c r="M20" s="1874"/>
      <c r="N20" s="1874"/>
      <c r="O20" s="1879" t="s">
        <v>533</v>
      </c>
      <c r="P20" s="1874"/>
      <c r="Q20" s="1883"/>
      <c r="R20" s="1883"/>
      <c r="S20" s="1241"/>
      <c r="Z20" s="1879"/>
      <c r="AB20" s="1879"/>
      <c r="AC20" s="1878"/>
      <c r="AH20" s="1879"/>
      <c r="AJ20" s="1879"/>
      <c r="AK20" s="1878"/>
      <c r="AN20" s="1023"/>
      <c r="AO20" s="1023"/>
      <c r="AP20" s="1023"/>
      <c r="AQ20" s="1023"/>
      <c r="AR20" s="1023"/>
      <c r="AS20" s="1672">
        <v>0</v>
      </c>
    </row>
    <row s="46889" customFormat="1" customHeight="1" ht="14.25" hidden="1">
      <c r="L21" s="1841"/>
      <c r="M21" s="1874"/>
      <c r="N21" s="1874"/>
      <c r="O21" s="1874"/>
      <c r="P21" s="1874"/>
      <c r="Q21" s="1883"/>
      <c r="R21" s="1883"/>
      <c r="S21" s="1241"/>
      <c r="AC21" s="1878"/>
      <c r="AK21" s="1878"/>
      <c r="AN21" s="1023"/>
      <c r="AO21" s="1023"/>
      <c r="AP21" s="1023"/>
      <c r="AQ21" s="1023"/>
      <c r="AR21" s="1023"/>
      <c r="AS21" s="1672">
        <v>0</v>
      </c>
    </row>
    <row s="46889" customFormat="1" customHeight="1" ht="14.25" hidden="1">
      <c r="L22" s="1841"/>
      <c r="M22" s="1874"/>
      <c r="N22" s="1874"/>
      <c r="O22" s="1876" t="s">
        <v>534</v>
      </c>
      <c r="P22" s="1874"/>
      <c r="Q22" s="1883"/>
      <c r="R22" s="1883"/>
      <c r="S22" s="1241"/>
      <c r="T22" s="1672" t="s">
        <v>535</v>
      </c>
      <c r="AA22" s="698" t="s">
        <v>536</v>
      </c>
      <c r="AC22" s="698" t="s">
        <v>537</v>
      </c>
      <c r="AD22" s="1672" t="s">
        <v>535</v>
      </c>
      <c r="AI22" s="698" t="s">
        <v>538</v>
      </c>
      <c r="AK22" s="698" t="s">
        <v>537</v>
      </c>
      <c r="AN22" s="1023"/>
      <c r="AO22" s="1023"/>
      <c r="AP22" s="1023"/>
      <c r="AQ22" s="1023"/>
      <c r="AR22" s="1023"/>
      <c r="AS22" s="1672">
        <v>0</v>
      </c>
    </row>
    <row customHeight="1" ht="14.25" hidden="1">
      <c r="O23" s="1876"/>
      <c r="P23" s="1823"/>
      <c r="AS23" s="1667">
        <v>0</v>
      </c>
    </row>
    <row customHeight="1" ht="14.25" hidden="1">
      <c r="O24" s="1876"/>
      <c r="P24" s="1823"/>
      <c r="AS24" s="1667">
        <v>0</v>
      </c>
    </row>
    <row customHeight="1" ht="14.699999999999998">
      <c r="Q25" s="888"/>
      <c r="R25" s="888"/>
      <c r="S25" s="1787"/>
      <c r="T25" s="875"/>
      <c r="U25" s="875"/>
      <c r="V25" s="1021"/>
      <c r="W25" s="1021"/>
      <c r="X25" s="1021"/>
      <c r="Y25" s="1021"/>
      <c r="Z25" s="1021"/>
      <c r="AA25" s="1021"/>
      <c r="AB25" s="1021"/>
      <c r="AC25" s="1021"/>
      <c r="AD25" s="1021"/>
      <c r="AE25" s="1021"/>
      <c r="AF25" s="1021"/>
      <c r="AG25" s="1021"/>
      <c r="AH25" s="1021"/>
      <c r="AI25" s="1021"/>
      <c r="AJ25" s="1021"/>
      <c r="AK25" s="1021"/>
      <c r="AS25" s="1667">
        <v>14</v>
      </c>
    </row>
    <row customHeight="1" ht="14.699999999999998">
      <c r="Q26" s="888"/>
      <c r="R26" s="888"/>
      <c r="S26" s="2760"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760"/>
      <c r="U26" s="2760"/>
      <c r="V26" s="2760"/>
      <c r="W26" s="2760"/>
      <c r="X26" s="2760"/>
      <c r="Y26" s="2760"/>
      <c r="Z26" s="2760"/>
      <c r="AA26" s="2760"/>
      <c r="AB26" s="2760"/>
      <c r="AC26" s="2760"/>
      <c r="AD26" s="2760"/>
      <c r="AE26" s="2760"/>
      <c r="AF26" s="2760"/>
      <c r="AG26" s="2760"/>
      <c r="AH26" s="2760"/>
      <c r="AI26" s="2760"/>
      <c r="AJ26" s="2760"/>
      <c r="AK26" s="1755"/>
      <c r="AS26" s="1667">
        <v>14</v>
      </c>
    </row>
    <row customHeight="1" ht="14.699999999999998">
      <c r="Q27" s="888"/>
      <c r="R27" s="888"/>
      <c r="S27" s="2761" t="str">
        <f>IF(org=0,"Не определено",org)</f>
        <v>КГУП "Примтеплоэнерго"</v>
      </c>
      <c r="T27" s="2761"/>
      <c r="U27" s="2761"/>
      <c r="V27" s="2761"/>
      <c r="W27" s="2761"/>
      <c r="X27" s="2761"/>
      <c r="Y27" s="2761"/>
      <c r="Z27" s="2761"/>
      <c r="AA27" s="2761"/>
      <c r="AB27" s="2761"/>
      <c r="AC27" s="2761"/>
      <c r="AD27" s="2761"/>
      <c r="AE27" s="2761"/>
      <c r="AF27" s="2761"/>
      <c r="AG27" s="2761"/>
      <c r="AH27" s="2761"/>
      <c r="AI27" s="2761"/>
      <c r="AJ27" s="2761"/>
      <c r="AK27" s="1755"/>
      <c r="AS27" s="1667">
        <v>14</v>
      </c>
    </row>
    <row customHeight="1" ht="14.25">
      <c r="Q28" s="888"/>
      <c r="R28" s="888"/>
      <c r="S28" s="1787"/>
      <c r="T28" s="875"/>
      <c r="U28" s="875"/>
      <c r="V28" s="834"/>
      <c r="W28" s="834"/>
      <c r="X28" s="834"/>
      <c r="Y28" s="834"/>
      <c r="Z28" s="834"/>
      <c r="AA28" s="834"/>
      <c r="AB28" s="834"/>
      <c r="AC28" s="834"/>
      <c r="AD28" s="834"/>
      <c r="AE28" s="834"/>
      <c r="AF28" s="834"/>
      <c r="AG28" s="834"/>
      <c r="AH28" s="834"/>
      <c r="AI28" s="834"/>
      <c r="AJ28" s="834"/>
      <c r="AK28" s="834"/>
      <c r="AL28" s="1021"/>
      <c r="AS28" s="1667">
        <v>0</v>
      </c>
    </row>
    <row s="47026" customFormat="1" customHeight="1" ht="25.5">
      <c r="A29" s="1880"/>
      <c r="B29" s="1880"/>
      <c r="C29" s="1880"/>
      <c r="D29" s="1880"/>
      <c r="E29" s="1880"/>
      <c r="F29" s="1880"/>
      <c r="G29" s="1880"/>
      <c r="H29" s="1880"/>
      <c r="I29" s="1880"/>
      <c r="J29" s="1880"/>
      <c r="K29" s="1880"/>
      <c r="L29" s="1881"/>
      <c r="M29" s="1880"/>
      <c r="N29" s="1880"/>
      <c r="O29" s="1880"/>
      <c r="S29" s="2762" t="s">
        <v>42</v>
      </c>
      <c r="T29" s="2762"/>
      <c r="U29" s="1884"/>
      <c r="V29" s="2763" t="str">
        <f>IF(TITLE_NAME_OR_PR_CHANGE="",IF(TITLE_NAME_OR_PR="","",TITLE_NAME_OR_PR),TITLE_NAME_OR_PR_CHANGE)</f>
        <v>Агентство по тарифам Приморского края</v>
      </c>
      <c r="W29" s="2763"/>
      <c r="X29" s="2763"/>
      <c r="Y29" s="2763"/>
      <c r="Z29" s="2763"/>
      <c r="AA29" s="2763"/>
      <c r="AB29" s="2763"/>
      <c r="AC29" s="838"/>
      <c r="AD29" s="2763" t="str">
        <f>IF(TITLE_NAME_OR_PR_CHANGE="",IF(TITLE_NAME_OR_PR="","",TITLE_NAME_OR_PR),TITLE_NAME_OR_PR_CHANGE)</f>
        <v>Агентство по тарифам Приморского края</v>
      </c>
      <c r="AE29" s="2763"/>
      <c r="AF29" s="2763"/>
      <c r="AG29" s="2763"/>
      <c r="AH29" s="2763"/>
      <c r="AI29" s="2763"/>
      <c r="AJ29" s="2763"/>
      <c r="AK29" s="838"/>
      <c r="AL29" s="838"/>
      <c r="AM29" s="792"/>
      <c r="AN29" s="880"/>
      <c r="AO29" s="880"/>
      <c r="AP29" s="880"/>
      <c r="AQ29" s="880"/>
      <c r="AR29" s="880"/>
      <c r="AS29" s="930">
        <v>0</v>
      </c>
    </row>
    <row s="47026" customFormat="1" customHeight="1" ht="18.75">
      <c r="A30" s="1880"/>
      <c r="B30" s="1880"/>
      <c r="C30" s="1880"/>
      <c r="D30" s="1880"/>
      <c r="E30" s="1880"/>
      <c r="F30" s="1880"/>
      <c r="G30" s="1880"/>
      <c r="H30" s="1880"/>
      <c r="I30" s="1880"/>
      <c r="J30" s="1880"/>
      <c r="K30" s="1880"/>
      <c r="L30" s="1881"/>
      <c r="M30" s="1880"/>
      <c r="N30" s="1880"/>
      <c r="O30" s="1880"/>
      <c r="S30" s="2762" t="s">
        <v>539</v>
      </c>
      <c r="T30" s="2762"/>
      <c r="U30" s="1884"/>
      <c r="V30" s="2776" t="str">
        <f>IF(TITLE_DATE_PR_CHANGE="",IF(TITLE_DATE_PR="","",TITLE_DATE_PR),TITLE_DATE_PR_CHANGE)</f>
        <v>45631.495844907404</v>
      </c>
      <c r="W30" s="2776"/>
      <c r="X30" s="2776"/>
      <c r="Y30" s="2776"/>
      <c r="Z30" s="2776"/>
      <c r="AA30" s="2776"/>
      <c r="AB30" s="2776"/>
      <c r="AC30" s="838"/>
      <c r="AD30" s="2776" t="str">
        <f>IF(TITLE_DATE_PR_CHANGE="",IF(TITLE_DATE_PR="","",TITLE_DATE_PR),TITLE_DATE_PR_CHANGE)</f>
        <v>45631.495844907404</v>
      </c>
      <c r="AE30" s="2776"/>
      <c r="AF30" s="2776"/>
      <c r="AG30" s="2776"/>
      <c r="AH30" s="2776"/>
      <c r="AI30" s="2776"/>
      <c r="AJ30" s="2776"/>
      <c r="AK30" s="838"/>
      <c r="AL30" s="838"/>
      <c r="AM30" s="792"/>
      <c r="AN30" s="880"/>
      <c r="AO30" s="880"/>
      <c r="AP30" s="880"/>
      <c r="AQ30" s="880"/>
      <c r="AR30" s="880"/>
      <c r="AS30" s="930">
        <v>0</v>
      </c>
    </row>
    <row s="47026" customFormat="1" customHeight="1" ht="18.75">
      <c r="A31" s="1880"/>
      <c r="B31" s="1880"/>
      <c r="C31" s="1880"/>
      <c r="D31" s="1880"/>
      <c r="E31" s="1880"/>
      <c r="F31" s="1880"/>
      <c r="G31" s="1880"/>
      <c r="H31" s="1880"/>
      <c r="I31" s="1880"/>
      <c r="J31" s="1880"/>
      <c r="K31" s="1880"/>
      <c r="L31" s="1881"/>
      <c r="M31" s="1880"/>
      <c r="N31" s="1880"/>
      <c r="O31" s="1880"/>
      <c r="S31" s="2762" t="s">
        <v>540</v>
      </c>
      <c r="T31" s="2762"/>
      <c r="U31" s="1884"/>
      <c r="V31" s="2763" t="str">
        <f>IF(TITLE_NUMBER_PR_CHANGE="",IF(TITLE_NUMBER_PR="","",TITLE_NUMBER_PR),TITLE_NUMBER_PR_CHANGE)</f>
        <v>53/9</v>
      </c>
      <c r="W31" s="2763"/>
      <c r="X31" s="2763"/>
      <c r="Y31" s="2763"/>
      <c r="Z31" s="2763"/>
      <c r="AA31" s="2763"/>
      <c r="AB31" s="2763"/>
      <c r="AC31" s="838"/>
      <c r="AD31" s="2763" t="str">
        <f>IF(TITLE_NUMBER_PR_CHANGE="",IF(TITLE_NUMBER_PR="","",TITLE_NUMBER_PR),TITLE_NUMBER_PR_CHANGE)</f>
        <v>53/9</v>
      </c>
      <c r="AE31" s="2763"/>
      <c r="AF31" s="2763"/>
      <c r="AG31" s="2763"/>
      <c r="AH31" s="2763"/>
      <c r="AI31" s="2763"/>
      <c r="AJ31" s="2763"/>
      <c r="AK31" s="838"/>
      <c r="AL31" s="838"/>
      <c r="AM31" s="792"/>
      <c r="AN31" s="880"/>
      <c r="AO31" s="880"/>
      <c r="AP31" s="880"/>
      <c r="AQ31" s="880"/>
      <c r="AR31" s="880"/>
      <c r="AS31" s="930">
        <v>0</v>
      </c>
    </row>
    <row s="47026" customFormat="1" customHeight="1" ht="18.75">
      <c r="A32" s="1880"/>
      <c r="B32" s="1880"/>
      <c r="C32" s="1880"/>
      <c r="D32" s="1880"/>
      <c r="E32" s="1880"/>
      <c r="F32" s="1880"/>
      <c r="G32" s="1880"/>
      <c r="H32" s="1880"/>
      <c r="I32" s="1880"/>
      <c r="J32" s="1880"/>
      <c r="K32" s="1880"/>
      <c r="L32" s="1881"/>
      <c r="M32" s="1880"/>
      <c r="N32" s="1880"/>
      <c r="O32" s="1880"/>
      <c r="S32" s="2762" t="s">
        <v>44</v>
      </c>
      <c r="T32" s="2762"/>
      <c r="U32" s="1884"/>
      <c r="V32" s="2763" t="str">
        <f>IF(TITLE_IST_PUB_CHANGE="",IF(TITLE_IST_PUB="","",TITLE_IST_PUB),TITLE_IST_PUB_CHANGE)</f>
        <v>http://pravo.gov.ru</v>
      </c>
      <c r="W32" s="2763"/>
      <c r="X32" s="2763"/>
      <c r="Y32" s="2763"/>
      <c r="Z32" s="2763"/>
      <c r="AA32" s="2763"/>
      <c r="AB32" s="2763"/>
      <c r="AC32" s="838"/>
      <c r="AD32" s="2763" t="str">
        <f>IF(TITLE_IST_PUB_CHANGE="",IF(TITLE_IST_PUB="","",TITLE_IST_PUB),TITLE_IST_PUB_CHANGE)</f>
        <v>http://pravo.gov.ru</v>
      </c>
      <c r="AE32" s="2763"/>
      <c r="AF32" s="2763"/>
      <c r="AG32" s="2763"/>
      <c r="AH32" s="2763"/>
      <c r="AI32" s="2763"/>
      <c r="AJ32" s="2763"/>
      <c r="AK32" s="838"/>
      <c r="AL32" s="838"/>
      <c r="AM32" s="792"/>
      <c r="AN32" s="880"/>
      <c r="AO32" s="880"/>
      <c r="AP32" s="880"/>
      <c r="AQ32" s="880"/>
      <c r="AR32" s="880"/>
      <c r="AS32" s="930">
        <v>0</v>
      </c>
    </row>
    <row customHeight="1" ht="14.25" hidden="1">
      <c r="P33" s="1840"/>
      <c r="Q33" s="888"/>
      <c r="R33" s="888"/>
      <c r="S33" s="1787"/>
      <c r="T33" s="875"/>
      <c r="U33" s="875"/>
      <c r="V33" s="834"/>
      <c r="W33" s="834"/>
      <c r="X33" s="834"/>
      <c r="Y33" s="834"/>
      <c r="Z33" s="834"/>
      <c r="AA33" s="834"/>
      <c r="AB33" s="834"/>
      <c r="AC33" s="834"/>
      <c r="AD33" s="834"/>
      <c r="AE33" s="834"/>
      <c r="AF33" s="834"/>
      <c r="AG33" s="834"/>
      <c r="AH33" s="834"/>
      <c r="AI33" s="834"/>
      <c r="AJ33" s="834"/>
      <c r="AK33" s="834"/>
      <c r="AL33" s="1021"/>
      <c r="AS33" s="1667">
        <v>0</v>
      </c>
    </row>
    <row s="47026" customFormat="1" customHeight="1" ht="18.75" hidden="1">
      <c r="A34" s="1880"/>
      <c r="B34" s="1880"/>
      <c r="C34" s="1880"/>
      <c r="D34" s="1880"/>
      <c r="E34" s="1880"/>
      <c r="F34" s="1880"/>
      <c r="G34" s="1880"/>
      <c r="H34" s="1880"/>
      <c r="I34" s="1880"/>
      <c r="J34" s="1880"/>
      <c r="K34" s="1880"/>
      <c r="L34" s="1881"/>
      <c r="M34" s="1880"/>
      <c r="N34" s="1880"/>
      <c r="O34" s="1880"/>
      <c r="S34" s="2762" t="s">
        <v>541</v>
      </c>
      <c r="T34" s="2762"/>
      <c r="U34" s="1884"/>
      <c r="V34" s="2776" t="str">
        <f>IF(TITLE_DATE_PR_CHANGE="",IF(TITLE_DATE_PR="","",TITLE_DATE_PR),TITLE_DATE_PR_CHANGE)</f>
        <v>45631.495844907404</v>
      </c>
      <c r="W34" s="2776"/>
      <c r="X34" s="2776"/>
      <c r="Y34" s="2776"/>
      <c r="Z34" s="2776"/>
      <c r="AA34" s="2776"/>
      <c r="AB34" s="2776"/>
      <c r="AC34" s="838"/>
      <c r="AD34" s="2776" t="str">
        <f>IF(TITLE_DATE_PR_CHANGE="",IF(TITLE_DATE_PR="","",TITLE_DATE_PR),TITLE_DATE_PR_CHANGE)</f>
        <v>45631.495844907404</v>
      </c>
      <c r="AE34" s="2776"/>
      <c r="AF34" s="2776"/>
      <c r="AG34" s="2776"/>
      <c r="AH34" s="2776"/>
      <c r="AI34" s="2776"/>
      <c r="AJ34" s="2776"/>
      <c r="AK34" s="838"/>
      <c r="AL34" s="838"/>
      <c r="AM34" s="792"/>
      <c r="AN34" s="880"/>
      <c r="AO34" s="880"/>
      <c r="AP34" s="880"/>
      <c r="AQ34" s="880"/>
      <c r="AR34" s="880"/>
      <c r="AS34" s="930">
        <v>0</v>
      </c>
    </row>
    <row s="47026" customFormat="1" customHeight="1" ht="18.75" hidden="1">
      <c r="A35" s="1880"/>
      <c r="B35" s="1880"/>
      <c r="C35" s="1880"/>
      <c r="D35" s="1880"/>
      <c r="E35" s="1880"/>
      <c r="F35" s="1880"/>
      <c r="G35" s="1880"/>
      <c r="H35" s="1880"/>
      <c r="I35" s="1880"/>
      <c r="J35" s="1880"/>
      <c r="K35" s="1880"/>
      <c r="L35" s="1881"/>
      <c r="M35" s="1880"/>
      <c r="N35" s="1880"/>
      <c r="O35" s="1880"/>
      <c r="S35" s="2762" t="s">
        <v>542</v>
      </c>
      <c r="T35" s="2762"/>
      <c r="U35" s="1884"/>
      <c r="V35" s="2763" t="str">
        <f>IF(TITLE_NUMBER_PR_CHANGE="",IF(TITLE_NUMBER_PR="","",TITLE_NUMBER_PR),TITLE_NUMBER_PR_CHANGE)</f>
        <v>53/9</v>
      </c>
      <c r="W35" s="2763"/>
      <c r="X35" s="2763"/>
      <c r="Y35" s="2763"/>
      <c r="Z35" s="2763"/>
      <c r="AA35" s="2763"/>
      <c r="AB35" s="2763"/>
      <c r="AC35" s="838"/>
      <c r="AD35" s="2763" t="str">
        <f>IF(TITLE_NUMBER_PR_CHANGE="",IF(TITLE_NUMBER_PR="","",TITLE_NUMBER_PR),TITLE_NUMBER_PR_CHANGE)</f>
        <v>53/9</v>
      </c>
      <c r="AE35" s="2763"/>
      <c r="AF35" s="2763"/>
      <c r="AG35" s="2763"/>
      <c r="AH35" s="2763"/>
      <c r="AI35" s="2763"/>
      <c r="AJ35" s="2763"/>
      <c r="AK35" s="838"/>
      <c r="AL35" s="838"/>
      <c r="AM35" s="792"/>
      <c r="AN35" s="880"/>
      <c r="AO35" s="880"/>
      <c r="AP35" s="880"/>
      <c r="AQ35" s="880"/>
      <c r="AR35" s="880"/>
      <c r="AS35" s="930">
        <v>0</v>
      </c>
    </row>
    <row s="47026" customFormat="1" customHeight="1" ht="0">
      <c r="A36" s="1880"/>
      <c r="B36" s="1880"/>
      <c r="C36" s="1880"/>
      <c r="D36" s="1880"/>
      <c r="E36" s="1880"/>
      <c r="F36" s="1880"/>
      <c r="G36" s="1880"/>
      <c r="H36" s="1880"/>
      <c r="I36" s="1880"/>
      <c r="J36" s="1880"/>
      <c r="K36" s="1880"/>
      <c r="L36" s="1881"/>
      <c r="M36" s="1880"/>
      <c r="N36" s="1880"/>
      <c r="O36" s="1880"/>
      <c r="S36" s="835"/>
      <c r="T36" s="835"/>
      <c r="U36" s="1731"/>
      <c r="V36" s="838"/>
      <c r="W36" s="838"/>
      <c r="X36" s="838"/>
      <c r="Y36" s="838"/>
      <c r="Z36" s="838"/>
      <c r="AA36" s="838"/>
      <c r="AB36" s="838"/>
      <c r="AC36" s="790" t="s">
        <v>543</v>
      </c>
      <c r="AD36" s="838"/>
      <c r="AE36" s="838"/>
      <c r="AF36" s="838"/>
      <c r="AG36" s="838"/>
      <c r="AH36" s="838"/>
      <c r="AI36" s="838"/>
      <c r="AJ36" s="838"/>
      <c r="AK36" s="790" t="s">
        <v>543</v>
      </c>
      <c r="AN36" s="880"/>
      <c r="AO36" s="880"/>
      <c r="AP36" s="880"/>
      <c r="AQ36" s="880"/>
      <c r="AR36" s="880"/>
      <c r="AS36" s="930">
        <v>0</v>
      </c>
    </row>
    <row customHeight="1" ht="14.699999999999998">
      <c r="Q37" s="888"/>
      <c r="R37" s="888"/>
      <c r="S37" s="1787"/>
      <c r="T37" s="875"/>
      <c r="U37" s="1756"/>
      <c r="V37" s="2764"/>
      <c r="W37" s="2764"/>
      <c r="X37" s="2764"/>
      <c r="Y37" s="2764"/>
      <c r="Z37" s="2764"/>
      <c r="AA37" s="2764"/>
      <c r="AB37" s="2764"/>
      <c r="AC37" s="2764"/>
      <c r="AD37" s="2764"/>
      <c r="AE37" s="2764"/>
      <c r="AF37" s="2764"/>
      <c r="AG37" s="2764"/>
      <c r="AH37" s="2764"/>
      <c r="AI37" s="2764"/>
      <c r="AJ37" s="2764"/>
      <c r="AK37" s="2764"/>
      <c r="AS37" s="1667">
        <v>14</v>
      </c>
    </row>
    <row customHeight="1" ht="14.699999999999998">
      <c r="Q38" s="888"/>
      <c r="R38" s="888"/>
      <c r="S38" s="2639" t="s">
        <v>418</v>
      </c>
      <c r="T38" s="2639"/>
      <c r="U38" s="2639"/>
      <c r="V38" s="2639"/>
      <c r="W38" s="2639"/>
      <c r="X38" s="2639"/>
      <c r="Y38" s="2639"/>
      <c r="Z38" s="2639"/>
      <c r="AA38" s="2639"/>
      <c r="AB38" s="2639"/>
      <c r="AC38" s="2639"/>
      <c r="AD38" s="2639"/>
      <c r="AE38" s="2639"/>
      <c r="AF38" s="2639"/>
      <c r="AG38" s="2639"/>
      <c r="AH38" s="2639"/>
      <c r="AI38" s="2639"/>
      <c r="AJ38" s="2639"/>
      <c r="AK38" s="2639"/>
      <c r="AL38" s="2639"/>
      <c r="AM38" s="2639" t="s">
        <v>419</v>
      </c>
      <c r="AS38" s="1667">
        <v>14</v>
      </c>
    </row>
    <row customHeight="1" ht="14.699999999999998">
      <c r="Q39" s="888"/>
      <c r="R39" s="888"/>
      <c r="S39" s="2785" t="s">
        <v>90</v>
      </c>
      <c r="T39" s="2721" t="s">
        <v>544</v>
      </c>
      <c r="U39" s="813"/>
      <c r="V39" s="2786" t="s">
        <v>545</v>
      </c>
      <c r="W39" s="2787"/>
      <c r="X39" s="2787"/>
      <c r="Y39" s="2787"/>
      <c r="Z39" s="2787"/>
      <c r="AA39" s="2787"/>
      <c r="AB39" s="2788"/>
      <c r="AC39" s="2789" t="s">
        <v>546</v>
      </c>
      <c r="AD39" s="2786" t="s">
        <v>545</v>
      </c>
      <c r="AE39" s="2787"/>
      <c r="AF39" s="2787"/>
      <c r="AG39" s="2787"/>
      <c r="AH39" s="2787"/>
      <c r="AI39" s="2787"/>
      <c r="AJ39" s="2788"/>
      <c r="AK39" s="2789" t="s">
        <v>547</v>
      </c>
      <c r="AL39" s="2792" t="s">
        <v>548</v>
      </c>
      <c r="AM39" s="2639"/>
      <c r="AS39" s="1667">
        <v>14</v>
      </c>
    </row>
    <row customHeight="1" ht="35.699999999999996">
      <c r="Q40" s="888"/>
      <c r="R40" s="888"/>
      <c r="S40" s="2785"/>
      <c r="T40" s="2721"/>
      <c r="U40" s="1543"/>
      <c r="V40" s="2772" t="s">
        <v>549</v>
      </c>
      <c r="W40" s="3122" t="s">
        <v>550</v>
      </c>
      <c r="X40" s="2774" t="s">
        <v>551</v>
      </c>
      <c r="Y40" s="2775"/>
      <c r="Z40" s="2774" t="s">
        <v>552</v>
      </c>
      <c r="AA40" s="2781"/>
      <c r="AB40" s="2775"/>
      <c r="AC40" s="2790"/>
      <c r="AD40" s="2772" t="s">
        <v>549</v>
      </c>
      <c r="AE40" s="2795" t="s">
        <v>550</v>
      </c>
      <c r="AF40" s="2774" t="s">
        <v>551</v>
      </c>
      <c r="AG40" s="2775"/>
      <c r="AH40" s="2774" t="s">
        <v>552</v>
      </c>
      <c r="AI40" s="2781"/>
      <c r="AJ40" s="2775"/>
      <c r="AK40" s="2790"/>
      <c r="AL40" s="2793"/>
      <c r="AM40" s="2639"/>
      <c r="AS40" s="1667">
        <v>34</v>
      </c>
    </row>
    <row customHeight="1" ht="35.699999999999996">
      <c r="A41" s="1882"/>
      <c r="B41" s="1882" t="s">
        <v>191</v>
      </c>
      <c r="C41" s="1882" t="s">
        <v>192</v>
      </c>
      <c r="D41" s="1882" t="s">
        <v>193</v>
      </c>
      <c r="E41" s="1876" t="s">
        <v>553</v>
      </c>
      <c r="F41" s="1876" t="s">
        <v>554</v>
      </c>
      <c r="G41" s="1876" t="s">
        <v>555</v>
      </c>
      <c r="H41" s="1876" t="s">
        <v>556</v>
      </c>
      <c r="I41" s="1876" t="s">
        <v>557</v>
      </c>
      <c r="J41" s="1876" t="s">
        <v>558</v>
      </c>
      <c r="K41" s="1876" t="s">
        <v>559</v>
      </c>
      <c r="L41" s="1876" t="s">
        <v>534</v>
      </c>
      <c r="Q41" s="888"/>
      <c r="R41" s="888"/>
      <c r="S41" s="2785"/>
      <c r="T41" s="2721"/>
      <c r="U41" s="814"/>
      <c r="V41" s="2773"/>
      <c r="W41" s="2796"/>
      <c r="X41" s="1734" t="s">
        <v>560</v>
      </c>
      <c r="Y41" s="1734" t="s">
        <v>561</v>
      </c>
      <c r="Z41" s="1733" t="s">
        <v>562</v>
      </c>
      <c r="AA41" s="2782" t="s">
        <v>563</v>
      </c>
      <c r="AB41" s="2783"/>
      <c r="AC41" s="2791"/>
      <c r="AD41" s="2773"/>
      <c r="AE41" s="2796"/>
      <c r="AF41" s="1734" t="s">
        <v>560</v>
      </c>
      <c r="AG41" s="1734" t="s">
        <v>561</v>
      </c>
      <c r="AH41" s="1825" t="s">
        <v>562</v>
      </c>
      <c r="AI41" s="2782" t="s">
        <v>563</v>
      </c>
      <c r="AJ41" s="2783"/>
      <c r="AK41" s="2791"/>
      <c r="AL41" s="2794"/>
      <c r="AM41" s="2639"/>
      <c r="AS41" s="1667">
        <v>34</v>
      </c>
    </row>
    <row s="47496" customFormat="1" customHeight="1" ht="11.25" hidden="1">
      <c r="A42" s="1882"/>
      <c r="B42" s="1882"/>
      <c r="C42" s="1882"/>
      <c r="D42" s="1882"/>
      <c r="E42" s="1882"/>
      <c r="F42" s="1882"/>
      <c r="G42" s="1882"/>
      <c r="H42" s="1882"/>
      <c r="I42" s="1882"/>
      <c r="J42" s="1882"/>
      <c r="K42" s="1882"/>
      <c r="L42" s="1876"/>
      <c r="M42" s="1874"/>
      <c r="N42" s="1874"/>
      <c r="O42" s="1874"/>
      <c r="P42" s="1758"/>
      <c r="Q42" s="1759"/>
      <c r="R42" s="1766">
        <v>1</v>
      </c>
      <c r="S42" s="1789" t="s">
        <v>101</v>
      </c>
      <c r="T42" s="1767" t="s">
        <v>105</v>
      </c>
      <c r="U42" s="1757" t="str">
        <f>OFFSET(U42,0,-1)</f>
        <v>2</v>
      </c>
      <c r="V42" s="1768">
        <f>OFFSET(V42,0,-1)+1</f>
        <v>3</v>
      </c>
      <c r="W42" s="1768"/>
      <c r="X42" s="1768">
        <f>OFFSET(X42,0,-1)+1</f>
        <v>1</v>
      </c>
      <c r="Y42" s="1768">
        <f>OFFSET(Y42,0,-1)+1</f>
        <v>2</v>
      </c>
      <c r="Z42" s="1768">
        <f>OFFSET(Z42,0,-1)+1</f>
        <v>3</v>
      </c>
      <c r="AA42" s="2784">
        <f>OFFSET(AA42,0,-1)+1</f>
        <v>4</v>
      </c>
      <c r="AB42" s="2784"/>
      <c r="AC42" s="1768">
        <f>OFFSET(AC42,0,-2)+1</f>
        <v>5</v>
      </c>
      <c r="AD42" s="1824">
        <f>OFFSET(AD42,0,-1)+1</f>
        <v>6</v>
      </c>
      <c r="AE42" s="1824"/>
      <c r="AF42" s="1824">
        <f>OFFSET(AF42,0,-1)+1</f>
        <v>1</v>
      </c>
      <c r="AG42" s="1824">
        <f>OFFSET(AG42,0,-1)+1</f>
        <v>2</v>
      </c>
      <c r="AH42" s="1824">
        <f>OFFSET(AH42,0,-1)+1</f>
        <v>3</v>
      </c>
      <c r="AI42" s="2784">
        <f>OFFSET(AI42,0,-1)+1</f>
        <v>4</v>
      </c>
      <c r="AJ42" s="2784"/>
      <c r="AK42" s="1824">
        <f>OFFSET(AK42,0,-2)+1</f>
        <v>5</v>
      </c>
      <c r="AL42" s="1757">
        <f>OFFSET(AL42,0,-1)</f>
        <v>5</v>
      </c>
      <c r="AM42" s="1768">
        <f>OFFSET(AM42,0,-1)+1</f>
        <v>6</v>
      </c>
      <c r="AN42" s="1023"/>
      <c r="AO42" s="1023"/>
      <c r="AP42" s="1023"/>
      <c r="AQ42" s="1023"/>
      <c r="AR42" s="1023"/>
      <c r="AS42" s="1008">
        <v>0</v>
      </c>
    </row>
    <row customHeight="1" ht="24">
      <c r="A43" s="1875" t="s">
        <v>207</v>
      </c>
      <c r="B43" s="1875"/>
      <c r="C43" s="1875"/>
      <c r="D43" s="1875"/>
      <c r="E43" s="2770">
        <v>1</v>
      </c>
      <c r="F43" s="1875"/>
      <c r="G43" s="1875"/>
      <c r="H43" s="1875"/>
      <c r="I43" s="1875"/>
      <c r="J43" s="1875"/>
      <c r="K43" s="1875"/>
      <c r="L43" s="1876"/>
      <c r="M43" s="1877"/>
      <c r="N43" s="1877"/>
      <c r="O43" s="1877"/>
      <c r="P43" s="873"/>
      <c r="Q43" s="872"/>
      <c r="R43" s="867"/>
      <c r="S43" s="1736">
        <f>INDEX(PT_DIFFERENTIATION_NUM_NTAR,MATCH(A43,PT_DIFFERENTIATION_NTAR_ID,0))</f>
        <v>0</v>
      </c>
      <c r="T43" s="810" t="s">
        <v>179</v>
      </c>
      <c r="U43" s="812"/>
      <c r="V43" s="2754"/>
      <c r="W43" s="2755"/>
      <c r="X43" s="2755"/>
      <c r="Y43" s="2755"/>
      <c r="Z43" s="2755"/>
      <c r="AA43" s="2755"/>
      <c r="AB43" s="2755"/>
      <c r="AC43" s="2756"/>
      <c r="AD43" s="2754" t="str">
        <f>INDEX(PT_DIFFERENTIATION_NTAR,MATCH(A43,PT_DIFFERENTIATION_NTAR_ID,0))</f>
        <v/>
      </c>
      <c r="AE43" s="2755"/>
      <c r="AF43" s="2755"/>
      <c r="AG43" s="2755"/>
      <c r="AH43" s="2755"/>
      <c r="AI43" s="2755"/>
      <c r="AJ43" s="2755"/>
      <c r="AK43" s="2755"/>
      <c r="AL43" s="2756"/>
      <c r="AM43" s="177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012"/>
      <c r="AP43" s="1012" t="str">
        <f>IF(T43="","",T43)</f>
        <v>Наименование тарифа</v>
      </c>
      <c r="AQ43" s="1012"/>
      <c r="AR43" s="1012"/>
      <c r="AS43" s="1667">
        <v>23</v>
      </c>
    </row>
    <row customHeight="1" ht="24">
      <c r="A44" s="1875" t="s">
        <v>207</v>
      </c>
      <c r="B44" s="1875" t="s">
        <v>208</v>
      </c>
      <c r="C44" s="1875"/>
      <c r="D44" s="1875"/>
      <c r="E44" s="2771"/>
      <c r="F44" s="2770">
        <v>1</v>
      </c>
      <c r="G44" s="1875"/>
      <c r="H44" s="1875"/>
      <c r="I44" s="1875"/>
      <c r="J44" s="1875"/>
      <c r="K44" s="1875"/>
      <c r="L44" s="1876"/>
      <c r="M44" s="1877"/>
      <c r="N44" s="1877"/>
      <c r="O44" s="1877"/>
      <c r="P44" s="1034"/>
      <c r="Q44" s="864"/>
      <c r="R44" s="865"/>
      <c r="S44" s="1736" t="str">
        <f>INDEX(PT_DIFFERENTIATION_NUM_TER,MATCH(B44,PT_DIFFERENTIATION_TER_ID,0))</f>
        <v>.</v>
      </c>
      <c r="T44" s="820" t="s">
        <v>515</v>
      </c>
      <c r="U44" s="812"/>
      <c r="V44" s="2754"/>
      <c r="W44" s="2755"/>
      <c r="X44" s="2755"/>
      <c r="Y44" s="2755"/>
      <c r="Z44" s="2755"/>
      <c r="AA44" s="2755"/>
      <c r="AB44" s="2755"/>
      <c r="AC44" s="2756"/>
      <c r="AD44" s="2754" t="str">
        <f>INDEX(PT_DIFFERENTIATION_TER,MATCH(B44,PT_DIFFERENTIATION_TER_ID,0))</f>
        <v/>
      </c>
      <c r="AE44" s="2755"/>
      <c r="AF44" s="2755"/>
      <c r="AG44" s="2755"/>
      <c r="AH44" s="2755"/>
      <c r="AI44" s="2755"/>
      <c r="AJ44" s="2755"/>
      <c r="AK44" s="2755"/>
      <c r="AL44" s="2756"/>
      <c r="AM44" s="1770" t="s">
        <v>516</v>
      </c>
      <c r="AO44" s="1012"/>
      <c r="AP44" s="1012" t="str">
        <f>IF(T44="","",T44)</f>
        <v>Территория действия тарифа</v>
      </c>
      <c r="AQ44" s="1012"/>
      <c r="AR44" s="1012"/>
      <c r="AS44" s="1667">
        <v>23</v>
      </c>
    </row>
    <row customHeight="1" ht="24">
      <c r="A45" s="1875" t="s">
        <v>207</v>
      </c>
      <c r="B45" s="1875" t="s">
        <v>208</v>
      </c>
      <c r="C45" s="1875" t="s">
        <v>209</v>
      </c>
      <c r="D45" s="1875"/>
      <c r="E45" s="2771"/>
      <c r="F45" s="2771"/>
      <c r="G45" s="2770">
        <v>1</v>
      </c>
      <c r="H45" s="1875"/>
      <c r="I45" s="1875"/>
      <c r="J45" s="1875"/>
      <c r="K45" s="1875"/>
      <c r="L45" s="1876"/>
      <c r="M45" s="1877"/>
      <c r="N45" s="1877"/>
      <c r="O45" s="1877"/>
      <c r="P45" s="866"/>
      <c r="Q45" s="864"/>
      <c r="R45" s="865"/>
      <c r="S45" s="1736" t="str">
        <f>INDEX(PT_DIFFERENTIATION_NUM_CS,MATCH(C45,PT_DIFFERENTIATION_CS_ID,0))</f>
        <v>..</v>
      </c>
      <c r="T45" s="821" t="s">
        <v>517</v>
      </c>
      <c r="U45" s="812"/>
      <c r="V45" s="2754"/>
      <c r="W45" s="2755"/>
      <c r="X45" s="2755"/>
      <c r="Y45" s="2755"/>
      <c r="Z45" s="2755"/>
      <c r="AA45" s="2755"/>
      <c r="AB45" s="2755"/>
      <c r="AC45" s="2756"/>
      <c r="AD45" s="2754" t="str">
        <f>INDEX(PT_DIFFERENTIATION_CS,MATCH(C45,PT_DIFFERENTIATION_CS_ID,0))</f>
        <v/>
      </c>
      <c r="AE45" s="2755"/>
      <c r="AF45" s="2755"/>
      <c r="AG45" s="2755"/>
      <c r="AH45" s="2755"/>
      <c r="AI45" s="2755"/>
      <c r="AJ45" s="2755"/>
      <c r="AK45" s="2755"/>
      <c r="AL45" s="2756"/>
      <c r="AM45" s="1770" t="s">
        <v>518</v>
      </c>
      <c r="AO45" s="1012"/>
      <c r="AP45" s="1012" t="str">
        <f>IF(T45="","",T45)</f>
        <v>Наименование системы теплоснабжения </v>
      </c>
      <c r="AQ45" s="1012"/>
      <c r="AR45" s="1012"/>
      <c r="AS45" s="1667">
        <v>23</v>
      </c>
    </row>
    <row customHeight="1" ht="24">
      <c r="A46" s="1875" t="s">
        <v>207</v>
      </c>
      <c r="B46" s="1875" t="s">
        <v>208</v>
      </c>
      <c r="C46" s="1875" t="s">
        <v>209</v>
      </c>
      <c r="D46" s="1875" t="s">
        <v>210</v>
      </c>
      <c r="E46" s="2771"/>
      <c r="F46" s="2771"/>
      <c r="G46" s="2771"/>
      <c r="H46" s="2770">
        <v>1</v>
      </c>
      <c r="I46" s="1875"/>
      <c r="J46" s="1875"/>
      <c r="K46" s="1875"/>
      <c r="L46" s="1876"/>
      <c r="M46" s="1877"/>
      <c r="N46" s="1877"/>
      <c r="O46" s="1877"/>
      <c r="P46" s="866"/>
      <c r="Q46" s="864"/>
      <c r="R46" s="865"/>
      <c r="S46" s="1736" t="str">
        <f>INDEX(PT_DIFFERENTIATION_NUM_IST_TE,MATCH(D46,PT_DIFFERENTIATION_IST_TE_ID,0))</f>
        <v>...</v>
      </c>
      <c r="T46" s="822" t="s">
        <v>519</v>
      </c>
      <c r="U46" s="812"/>
      <c r="V46" s="2754"/>
      <c r="W46" s="2755"/>
      <c r="X46" s="2755"/>
      <c r="Y46" s="2755"/>
      <c r="Z46" s="2755"/>
      <c r="AA46" s="2755"/>
      <c r="AB46" s="2755"/>
      <c r="AC46" s="2756"/>
      <c r="AD46" s="2754" t="str">
        <f>INDEX(PT_DIFFERENTIATION_IST_TE,MATCH(D46,PT_DIFFERENTIATION_IST_TE_ID,0))</f>
        <v/>
      </c>
      <c r="AE46" s="2755"/>
      <c r="AF46" s="2755"/>
      <c r="AG46" s="2755"/>
      <c r="AH46" s="2755"/>
      <c r="AI46" s="2755"/>
      <c r="AJ46" s="2755"/>
      <c r="AK46" s="2755"/>
      <c r="AL46" s="2756"/>
      <c r="AM46" s="1770" t="s">
        <v>520</v>
      </c>
      <c r="AO46" s="1012"/>
      <c r="AP46" s="1012" t="str">
        <f>IF(T46="","",T46)</f>
        <v>Источник тепловой энергии  </v>
      </c>
      <c r="AQ46" s="1012"/>
      <c r="AR46" s="1012"/>
      <c r="AS46" s="1667">
        <v>23</v>
      </c>
    </row>
    <row customHeight="1" ht="49.5">
      <c r="A47" s="1875" t="s">
        <v>207</v>
      </c>
      <c r="B47" s="1875" t="s">
        <v>208</v>
      </c>
      <c r="C47" s="1875" t="s">
        <v>209</v>
      </c>
      <c r="D47" s="1875" t="s">
        <v>210</v>
      </c>
      <c r="E47" s="2771"/>
      <c r="F47" s="2771"/>
      <c r="G47" s="2771"/>
      <c r="H47" s="2771"/>
      <c r="I47" s="2768" t="str">
        <f>S46&amp;".1"</f>
        <v>....1</v>
      </c>
      <c r="J47" s="1875"/>
      <c r="K47" s="1875"/>
      <c r="L47" s="1876" t="s">
        <v>521</v>
      </c>
      <c r="P47" s="2769">
        <v>1</v>
      </c>
      <c r="Q47" s="1732"/>
      <c r="R47" s="868"/>
      <c r="S47" s="1736" t="str">
        <f>$I47</f>
        <v>....1</v>
      </c>
      <c r="T47" s="797" t="s">
        <v>522</v>
      </c>
      <c r="U47" s="812"/>
      <c r="V47" s="2757"/>
      <c r="W47" s="2758"/>
      <c r="X47" s="2758"/>
      <c r="Y47" s="2758"/>
      <c r="Z47" s="2758"/>
      <c r="AA47" s="2758"/>
      <c r="AB47" s="2758"/>
      <c r="AC47" s="2759"/>
      <c r="AD47" s="2757"/>
      <c r="AE47" s="2758"/>
      <c r="AF47" s="2758"/>
      <c r="AG47" s="2758"/>
      <c r="AH47" s="2758"/>
      <c r="AI47" s="2758"/>
      <c r="AJ47" s="2758"/>
      <c r="AK47" s="2758"/>
      <c r="AL47" s="2759"/>
      <c r="AM47" s="1770" t="s">
        <v>523</v>
      </c>
      <c r="AO47" s="1012"/>
      <c r="AP47" s="1012" t="str">
        <f>IF(T47="","",T47)</f>
        <v>Схема подключения теплопотребляющей установки к коллектору источника тепловой энергии</v>
      </c>
      <c r="AQ47" s="1012"/>
      <c r="AR47" s="1012"/>
      <c r="AS47" s="1667">
        <v>47</v>
      </c>
    </row>
    <row customHeight="1" ht="24">
      <c r="A48" s="1875" t="s">
        <v>207</v>
      </c>
      <c r="B48" s="1875" t="s">
        <v>208</v>
      </c>
      <c r="C48" s="1875" t="s">
        <v>209</v>
      </c>
      <c r="D48" s="1875" t="s">
        <v>210</v>
      </c>
      <c r="E48" s="2771"/>
      <c r="F48" s="2771"/>
      <c r="G48" s="2771"/>
      <c r="H48" s="2771"/>
      <c r="I48" s="2798"/>
      <c r="J48" s="2768" t="str">
        <f>I47&amp;".1"</f>
        <v>....1.1</v>
      </c>
      <c r="K48" s="1875"/>
      <c r="L48" s="1876" t="s">
        <v>524</v>
      </c>
      <c r="P48" s="2769"/>
      <c r="Q48" s="2769">
        <v>1</v>
      </c>
      <c r="R48" s="869"/>
      <c r="S48" s="1736" t="str">
        <f>$J48</f>
        <v>....1.1</v>
      </c>
      <c r="T48" s="798" t="s">
        <v>525</v>
      </c>
      <c r="U48" s="812"/>
      <c r="V48" s="2757"/>
      <c r="W48" s="2758"/>
      <c r="X48" s="2758"/>
      <c r="Y48" s="2758"/>
      <c r="Z48" s="2758"/>
      <c r="AA48" s="2758"/>
      <c r="AB48" s="2758"/>
      <c r="AC48" s="2759"/>
      <c r="AD48" s="2757"/>
      <c r="AE48" s="2758"/>
      <c r="AF48" s="2758"/>
      <c r="AG48" s="2758"/>
      <c r="AH48" s="2758"/>
      <c r="AI48" s="2758"/>
      <c r="AJ48" s="2758"/>
      <c r="AK48" s="2758"/>
      <c r="AL48" s="2759"/>
      <c r="AM48" s="1770" t="s">
        <v>526</v>
      </c>
      <c r="AO48" s="1012"/>
      <c r="AP48" s="1012" t="str">
        <f>IF(T48="","",T48)</f>
        <v>Группа потребителей</v>
      </c>
      <c r="AQ48" s="1012"/>
      <c r="AR48" s="1012"/>
      <c r="AS48" s="1667">
        <v>23</v>
      </c>
    </row>
    <row customHeight="1" ht="24">
      <c r="A49" s="1875" t="s">
        <v>207</v>
      </c>
      <c r="B49" s="1875" t="s">
        <v>208</v>
      </c>
      <c r="C49" s="1875" t="s">
        <v>209</v>
      </c>
      <c r="D49" s="1875" t="s">
        <v>210</v>
      </c>
      <c r="E49" s="2771"/>
      <c r="F49" s="2771"/>
      <c r="G49" s="2771"/>
      <c r="H49" s="2771"/>
      <c r="I49" s="2798"/>
      <c r="J49" s="2798"/>
      <c r="K49" s="2768" t="str">
        <f>J48&amp;".1"</f>
        <v>....1.1.1</v>
      </c>
      <c r="L49" s="1876" t="s">
        <v>527</v>
      </c>
      <c r="P49" s="2769"/>
      <c r="Q49" s="2769"/>
      <c r="R49" s="869">
        <v>1</v>
      </c>
      <c r="S49" s="1736" t="str">
        <f>$K49</f>
        <v>....1.1.1</v>
      </c>
      <c r="T49" s="1859"/>
      <c r="U49" s="812"/>
      <c r="V49" s="1263"/>
      <c r="W49" s="837"/>
      <c r="X49" s="1263"/>
      <c r="Y49" s="1769"/>
      <c r="Z49" s="2777"/>
      <c r="AA49" s="2619" t="s">
        <v>63</v>
      </c>
      <c r="AB49" s="2777"/>
      <c r="AC49" s="2619" t="s">
        <v>63</v>
      </c>
      <c r="AD49" s="1263"/>
      <c r="AE49" s="837"/>
      <c r="AF49" s="1263"/>
      <c r="AG49" s="1769"/>
      <c r="AH49" s="2777"/>
      <c r="AI49" s="2619" t="s">
        <v>63</v>
      </c>
      <c r="AJ49" s="2799"/>
      <c r="AK49" s="2619" t="s">
        <v>63</v>
      </c>
      <c r="AL49" s="1860"/>
      <c r="AM49" s="2765" t="s">
        <v>528</v>
      </c>
      <c r="AN49" s="1023">
        <f>STRCHECKDATE(V50:AL50)</f>
      </c>
      <c r="AO49" s="1012"/>
      <c r="AP49" s="1012" t="str">
        <f>IF(T49="","",T49)</f>
        <v/>
      </c>
      <c r="AQ49" s="1012"/>
      <c r="AR49" s="1012"/>
      <c r="AS49" s="1667">
        <v>23</v>
      </c>
    </row>
    <row customHeight="1" ht="1.05">
      <c r="A50" s="1875" t="s">
        <v>207</v>
      </c>
      <c r="B50" s="1875" t="s">
        <v>208</v>
      </c>
      <c r="C50" s="1875" t="s">
        <v>209</v>
      </c>
      <c r="D50" s="1875" t="s">
        <v>210</v>
      </c>
      <c r="E50" s="2771"/>
      <c r="F50" s="2771"/>
      <c r="G50" s="2771"/>
      <c r="H50" s="2771"/>
      <c r="I50" s="2798"/>
      <c r="J50" s="2798"/>
      <c r="K50" s="2768"/>
      <c r="L50" s="1876"/>
      <c r="P50" s="2769"/>
      <c r="Q50" s="2769"/>
      <c r="R50" s="869"/>
      <c r="S50" s="1735"/>
      <c r="T50" s="812"/>
      <c r="U50" s="812"/>
      <c r="V50" s="837"/>
      <c r="W50" s="837"/>
      <c r="X50" s="837"/>
      <c r="Y50" s="840" t="str">
        <f>Z49&amp;"-"&amp;AB49</f>
        <v>-</v>
      </c>
      <c r="Z50" s="2778"/>
      <c r="AA50" s="2619"/>
      <c r="AB50" s="2778"/>
      <c r="AC50" s="2619"/>
      <c r="AD50" s="837"/>
      <c r="AE50" s="837"/>
      <c r="AF50" s="837"/>
      <c r="AG50" s="840" t="str">
        <f>AH49&amp;"-"&amp;AJ49</f>
        <v>-</v>
      </c>
      <c r="AH50" s="2778"/>
      <c r="AI50" s="2619"/>
      <c r="AJ50" s="2800"/>
      <c r="AK50" s="2619"/>
      <c r="AL50" s="1861"/>
      <c r="AM50" s="2766"/>
      <c r="AO50" s="1012"/>
      <c r="AP50" s="1012" t="str">
        <f>IF(T50="","",T50)</f>
        <v/>
      </c>
      <c r="AQ50" s="1012"/>
      <c r="AR50" s="1012"/>
      <c r="AS50" s="1667">
        <v>1</v>
      </c>
    </row>
    <row customHeight="1" ht="11.549999999999999">
      <c r="A51" s="1875" t="s">
        <v>207</v>
      </c>
      <c r="B51" s="1875" t="s">
        <v>208</v>
      </c>
      <c r="C51" s="1875" t="s">
        <v>209</v>
      </c>
      <c r="D51" s="1875" t="s">
        <v>210</v>
      </c>
      <c r="E51" s="2771"/>
      <c r="F51" s="2771"/>
      <c r="G51" s="2771"/>
      <c r="H51" s="2771"/>
      <c r="I51" s="2798"/>
      <c r="J51" s="2768"/>
      <c r="K51" s="1875"/>
      <c r="L51" s="1876"/>
      <c r="P51" s="2769"/>
      <c r="Q51" s="2769"/>
      <c r="R51" s="868"/>
      <c r="S51" s="1790"/>
      <c r="T51" s="800" t="s">
        <v>529</v>
      </c>
      <c r="U51" s="879"/>
      <c r="V51" s="879"/>
      <c r="W51" s="879"/>
      <c r="X51" s="879"/>
      <c r="Y51" s="879"/>
      <c r="Z51" s="879"/>
      <c r="AA51" s="879"/>
      <c r="AB51" s="879"/>
      <c r="AC51" s="879"/>
      <c r="AD51" s="879"/>
      <c r="AE51" s="879"/>
      <c r="AF51" s="879"/>
      <c r="AG51" s="879"/>
      <c r="AH51" s="879"/>
      <c r="AI51" s="879"/>
      <c r="AJ51" s="879"/>
      <c r="AK51" s="879"/>
      <c r="AL51" s="836"/>
      <c r="AM51" s="2767"/>
      <c r="AO51" s="1012"/>
      <c r="AP51" s="1012" t="str">
        <f>IF(T51="","",T51)</f>
        <v>Добавить вид теплоносителя (параметры теплоносителя)</v>
      </c>
      <c r="AQ51" s="1012"/>
      <c r="AR51" s="1012"/>
      <c r="AS51" s="1667">
        <v>11</v>
      </c>
    </row>
    <row customHeight="1" ht="11.549999999999999">
      <c r="A52" s="1875" t="s">
        <v>207</v>
      </c>
      <c r="B52" s="1875" t="s">
        <v>208</v>
      </c>
      <c r="C52" s="1875" t="s">
        <v>209</v>
      </c>
      <c r="D52" s="1875" t="s">
        <v>210</v>
      </c>
      <c r="E52" s="2771"/>
      <c r="F52" s="2771"/>
      <c r="G52" s="2771"/>
      <c r="H52" s="2771"/>
      <c r="I52" s="2768"/>
      <c r="J52" s="1875"/>
      <c r="K52" s="1875"/>
      <c r="L52" s="1876"/>
      <c r="P52" s="2769"/>
      <c r="Q52" s="1732"/>
      <c r="R52" s="868"/>
      <c r="S52" s="1790"/>
      <c r="T52" s="799" t="s">
        <v>530</v>
      </c>
      <c r="U52" s="879"/>
      <c r="V52" s="879"/>
      <c r="W52" s="879"/>
      <c r="X52" s="879"/>
      <c r="Y52" s="879"/>
      <c r="Z52" s="879"/>
      <c r="AA52" s="879"/>
      <c r="AB52" s="879"/>
      <c r="AC52" s="878"/>
      <c r="AD52" s="879"/>
      <c r="AE52" s="879"/>
      <c r="AF52" s="879"/>
      <c r="AG52" s="879"/>
      <c r="AH52" s="879"/>
      <c r="AI52" s="879"/>
      <c r="AJ52" s="879"/>
      <c r="AK52" s="878"/>
      <c r="AL52" s="879"/>
      <c r="AM52" s="815"/>
      <c r="AO52" s="1012"/>
      <c r="AP52" s="1012" t="str">
        <f>IF(T52="","",T52)</f>
        <v>Добавить группу потребителей</v>
      </c>
      <c r="AQ52" s="1012"/>
      <c r="AR52" s="1012"/>
      <c r="AS52" s="1667">
        <v>11</v>
      </c>
    </row>
    <row customHeight="1" ht="14.699999999999998">
      <c r="A53" s="1875" t="s">
        <v>207</v>
      </c>
      <c r="B53" s="1875" t="s">
        <v>208</v>
      </c>
      <c r="C53" s="1875" t="s">
        <v>209</v>
      </c>
      <c r="D53" s="1875" t="s">
        <v>210</v>
      </c>
      <c r="E53" s="2771"/>
      <c r="F53" s="2771"/>
      <c r="G53" s="2771"/>
      <c r="H53" s="2770"/>
      <c r="I53" s="1875"/>
      <c r="J53" s="1875"/>
      <c r="K53" s="1875"/>
      <c r="L53" s="1876"/>
      <c r="M53" s="1877"/>
      <c r="N53" s="1877"/>
      <c r="O53" s="1049"/>
      <c r="P53" s="872"/>
      <c r="Q53" s="887"/>
      <c r="R53" s="867"/>
      <c r="S53" s="1790"/>
      <c r="T53" s="877" t="s">
        <v>531</v>
      </c>
      <c r="U53" s="879"/>
      <c r="V53" s="879"/>
      <c r="W53" s="879"/>
      <c r="X53" s="879"/>
      <c r="Y53" s="879"/>
      <c r="Z53" s="879"/>
      <c r="AA53" s="879"/>
      <c r="AB53" s="879"/>
      <c r="AC53" s="878"/>
      <c r="AD53" s="879"/>
      <c r="AE53" s="879"/>
      <c r="AF53" s="879"/>
      <c r="AG53" s="879"/>
      <c r="AH53" s="879"/>
      <c r="AI53" s="879"/>
      <c r="AJ53" s="879"/>
      <c r="AK53" s="878"/>
      <c r="AL53" s="879"/>
      <c r="AM53" s="815"/>
      <c r="AO53" s="1012"/>
      <c r="AP53" s="1012" t="str">
        <f>IF(T53="","",T53)</f>
        <v>Добавить схему подключения</v>
      </c>
      <c r="AQ53" s="1012"/>
      <c r="AR53" s="1012"/>
      <c r="AS53" s="1667">
        <v>14</v>
      </c>
    </row>
    <row s="46890" customFormat="1" customHeight="1" ht="1.05">
      <c r="A54" s="1855" t="s">
        <v>207</v>
      </c>
      <c r="B54" s="1855" t="s">
        <v>208</v>
      </c>
      <c r="C54" s="1855" t="s">
        <v>209</v>
      </c>
      <c r="D54" s="1826"/>
      <c r="E54" s="2771"/>
      <c r="F54" s="2771"/>
      <c r="G54" s="2770"/>
      <c r="H54" s="1826"/>
      <c r="I54" s="1826"/>
      <c r="J54" s="1826"/>
      <c r="K54" s="1826"/>
      <c r="L54" s="1851"/>
      <c r="M54" s="1827"/>
      <c r="N54" s="1827"/>
      <c r="P54" s="1828"/>
      <c r="Q54" s="1829"/>
      <c r="R54" s="1828"/>
      <c r="S54" s="1834"/>
      <c r="T54" s="1837" t="s">
        <v>532</v>
      </c>
      <c r="U54" s="1836"/>
      <c r="V54" s="1836"/>
      <c r="W54" s="1836"/>
      <c r="X54" s="1836"/>
      <c r="Y54" s="1836"/>
      <c r="Z54" s="1836"/>
      <c r="AA54" s="1836"/>
      <c r="AB54" s="1836"/>
      <c r="AC54" s="1836"/>
      <c r="AD54" s="1836"/>
      <c r="AE54" s="1836"/>
      <c r="AF54" s="1836"/>
      <c r="AG54" s="1836"/>
      <c r="AH54" s="1836"/>
      <c r="AI54" s="1836"/>
      <c r="AJ54" s="1836"/>
      <c r="AK54" s="1836"/>
      <c r="AL54" s="1836"/>
      <c r="AM54" s="1836"/>
      <c r="AO54" s="1301"/>
      <c r="AP54" s="1301" t="str">
        <f>IF(T54="","",T54)</f>
        <v>Добавить источник для дифференциации</v>
      </c>
      <c r="AQ54" s="1301"/>
      <c r="AR54" s="1301"/>
      <c r="AS54" s="1030">
        <v>1</v>
      </c>
    </row>
    <row s="46890" customFormat="1" customHeight="1" ht="1.05">
      <c r="A55" s="1855" t="s">
        <v>207</v>
      </c>
      <c r="B55" s="1855" t="s">
        <v>208</v>
      </c>
      <c r="C55" s="1826"/>
      <c r="D55" s="1826"/>
      <c r="E55" s="2771"/>
      <c r="F55" s="2770"/>
      <c r="G55" s="1826"/>
      <c r="H55" s="1826"/>
      <c r="I55" s="1826"/>
      <c r="J55" s="1826"/>
      <c r="K55" s="1826"/>
      <c r="L55" s="1851"/>
      <c r="M55" s="1833"/>
      <c r="N55" s="1833"/>
      <c r="P55" s="1828"/>
      <c r="Q55" s="1829"/>
      <c r="R55" s="1828"/>
      <c r="S55" s="1834"/>
      <c r="T55" s="1837" t="s">
        <v>321</v>
      </c>
      <c r="U55" s="1836"/>
      <c r="V55" s="1836"/>
      <c r="W55" s="1836"/>
      <c r="X55" s="1836"/>
      <c r="Y55" s="1836"/>
      <c r="Z55" s="1836"/>
      <c r="AA55" s="1836"/>
      <c r="AB55" s="1836"/>
      <c r="AC55" s="1836"/>
      <c r="AD55" s="1836"/>
      <c r="AE55" s="1836"/>
      <c r="AF55" s="1836"/>
      <c r="AG55" s="1836"/>
      <c r="AH55" s="1836"/>
      <c r="AI55" s="1836"/>
      <c r="AJ55" s="1836"/>
      <c r="AK55" s="1836"/>
      <c r="AL55" s="1836"/>
      <c r="AM55" s="1836"/>
      <c r="AO55" s="1301"/>
      <c r="AP55" s="1301" t="str">
        <f>IF(T55="","",T55)</f>
        <v>Добавить централизованную систему для дифференциации</v>
      </c>
      <c r="AQ55" s="1301"/>
      <c r="AR55" s="1301"/>
      <c r="AS55" s="1030">
        <v>1</v>
      </c>
    </row>
    <row s="46890" customFormat="1" customHeight="1" ht="1.05">
      <c r="A56" s="1855" t="s">
        <v>207</v>
      </c>
      <c r="B56" s="1855"/>
      <c r="C56" s="1855"/>
      <c r="D56" s="1855"/>
      <c r="E56" s="2770"/>
      <c r="F56" s="1855"/>
      <c r="G56" s="1855"/>
      <c r="H56" s="1855"/>
      <c r="I56" s="1855"/>
      <c r="J56" s="1855"/>
      <c r="K56" s="1855"/>
      <c r="L56" s="1858"/>
      <c r="M56" s="1833"/>
      <c r="N56" s="1833"/>
      <c r="O56" s="1030"/>
      <c r="P56" s="892"/>
      <c r="Q56" s="1856"/>
      <c r="R56" s="892"/>
      <c r="S56" s="1834"/>
      <c r="T56" s="1837" t="s">
        <v>385</v>
      </c>
      <c r="U56" s="1836"/>
      <c r="V56" s="1836"/>
      <c r="W56" s="1836"/>
      <c r="X56" s="1836"/>
      <c r="Y56" s="1836"/>
      <c r="Z56" s="1836"/>
      <c r="AA56" s="1836"/>
      <c r="AB56" s="1836"/>
      <c r="AC56" s="1836"/>
      <c r="AD56" s="1836"/>
      <c r="AE56" s="1836"/>
      <c r="AF56" s="1836"/>
      <c r="AG56" s="1836"/>
      <c r="AH56" s="1836"/>
      <c r="AI56" s="1836"/>
      <c r="AJ56" s="1836"/>
      <c r="AK56" s="1836"/>
      <c r="AL56" s="1836"/>
      <c r="AM56" s="1836"/>
      <c r="AO56" s="1012"/>
      <c r="AP56" s="1012" t="str">
        <f>IF(T56="","",T56)</f>
        <v>Добавить территорию для дифференциации</v>
      </c>
      <c r="AQ56" s="1012"/>
      <c r="AR56" s="1012"/>
      <c r="AS56" s="1023">
        <v>1</v>
      </c>
    </row>
    <row s="46890" customFormat="1" customHeight="1" ht="1.05">
      <c r="A57" s="1826"/>
      <c r="B57" s="1826"/>
      <c r="C57" s="1826"/>
      <c r="D57" s="1826"/>
      <c r="E57" s="1855"/>
      <c r="F57" s="1826"/>
      <c r="G57" s="1826"/>
      <c r="H57" s="1826"/>
      <c r="I57" s="1826"/>
      <c r="J57" s="1826"/>
      <c r="K57" s="1826"/>
      <c r="L57" s="1851"/>
      <c r="M57" s="1833"/>
      <c r="N57" s="1833"/>
      <c r="P57" s="1828"/>
      <c r="Q57" s="1829"/>
      <c r="R57" s="1828"/>
      <c r="S57" s="1834"/>
      <c r="T57" s="1837" t="s">
        <v>386</v>
      </c>
      <c r="U57" s="1836"/>
      <c r="V57" s="1836"/>
      <c r="W57" s="1836"/>
      <c r="X57" s="1836"/>
      <c r="Y57" s="1836"/>
      <c r="Z57" s="1836"/>
      <c r="AA57" s="1836"/>
      <c r="AB57" s="1836"/>
      <c r="AC57" s="1836"/>
      <c r="AD57" s="1836"/>
      <c r="AE57" s="1836"/>
      <c r="AF57" s="1836"/>
      <c r="AG57" s="1836"/>
      <c r="AH57" s="1836"/>
      <c r="AI57" s="1836"/>
      <c r="AJ57" s="1836"/>
      <c r="AK57" s="1836"/>
      <c r="AL57" s="1836"/>
      <c r="AM57" s="1836"/>
      <c r="AO57" s="1301"/>
      <c r="AP57" s="1301" t="str">
        <f>IF(T57="","",T57)</f>
        <v>Добавить наименование тарифа</v>
      </c>
      <c r="AQ57" s="1301"/>
      <c r="AR57" s="1301"/>
      <c r="AS57" s="1030">
        <v>1</v>
      </c>
    </row>
    <row customHeight="1" ht="11.549999999999999">
      <c r="M58" s="1672"/>
      <c r="N58" s="1672"/>
      <c r="O58" s="1049"/>
      <c r="P58" s="1667"/>
      <c r="Q58" s="1667"/>
      <c r="R58" s="1667"/>
      <c r="S58" s="1667"/>
      <c r="AN58" s="1667"/>
      <c r="AO58" s="1667"/>
      <c r="AP58" s="1667"/>
      <c r="AQ58" s="1667"/>
      <c r="AR58" s="1667"/>
      <c r="AS58" s="1667">
        <v>11</v>
      </c>
    </row>
    <row customHeight="1" ht="28.5">
      <c r="O59" s="1049"/>
      <c r="S59" s="1765"/>
      <c r="T59" s="2797"/>
      <c r="U59" s="2797"/>
      <c r="V59" s="2797"/>
      <c r="W59" s="2797"/>
      <c r="X59" s="2797"/>
      <c r="Y59" s="2797"/>
      <c r="Z59" s="2797"/>
      <c r="AA59" s="2797"/>
      <c r="AB59" s="2797"/>
      <c r="AC59" s="2797"/>
      <c r="AD59" s="2797"/>
      <c r="AE59" s="2797"/>
      <c r="AF59" s="2797"/>
      <c r="AG59" s="2797"/>
      <c r="AH59" s="2797"/>
      <c r="AI59" s="2797"/>
      <c r="AJ59" s="2797"/>
      <c r="AK59" s="2797"/>
      <c r="AL59" s="2797"/>
      <c r="AM59" s="2797"/>
      <c r="AS59" s="1667">
        <v>27</v>
      </c>
    </row>
    <row customHeight="1" ht="67.2">
      <c r="O60" s="1049"/>
      <c r="P60" s="1815"/>
      <c r="T60" s="2797"/>
      <c r="U60" s="2797"/>
      <c r="V60" s="2797"/>
      <c r="W60" s="2797"/>
      <c r="X60" s="2797"/>
      <c r="Y60" s="2797"/>
      <c r="Z60" s="2797"/>
      <c r="AA60" s="2797"/>
      <c r="AB60" s="2797"/>
      <c r="AC60" s="2797"/>
      <c r="AD60" s="2797"/>
      <c r="AE60" s="2797"/>
      <c r="AF60" s="2797"/>
      <c r="AG60" s="2797"/>
      <c r="AH60" s="2797"/>
      <c r="AI60" s="2797"/>
      <c r="AJ60" s="2797"/>
      <c r="AK60" s="2797"/>
      <c r="AL60" s="2797"/>
      <c r="AM60" s="2797"/>
      <c r="AS60" s="1667">
        <v>64</v>
      </c>
    </row>
    <row customHeight="1" ht="14.699999999999998">
      <c r="O61" s="1049"/>
      <c r="AS61" s="1667">
        <v>14</v>
      </c>
    </row>
    <row customHeight="1" ht="18.75">
      <c r="O62" s="1049"/>
      <c r="P62" s="1840"/>
      <c r="S62" s="1765"/>
      <c r="T62" s="2797"/>
      <c r="U62" s="2797"/>
      <c r="V62" s="2797"/>
      <c r="W62" s="2797"/>
      <c r="X62" s="2797"/>
      <c r="Y62" s="2797"/>
      <c r="Z62" s="2797"/>
      <c r="AA62" s="2797"/>
      <c r="AB62" s="2797"/>
      <c r="AC62" s="2797"/>
      <c r="AD62" s="2797"/>
      <c r="AE62" s="2797"/>
      <c r="AF62" s="2797"/>
      <c r="AG62" s="2797"/>
      <c r="AH62" s="2797"/>
      <c r="AI62" s="2797"/>
      <c r="AJ62" s="2797"/>
      <c r="AK62" s="2797"/>
      <c r="AL62" s="2797"/>
      <c r="AM62" s="2797"/>
      <c r="AS62" s="1667">
        <v>18</v>
      </c>
    </row>
    <row customHeight="1" ht="18.75">
      <c r="O63" s="1049"/>
      <c r="P63" s="1840"/>
      <c r="T63" s="2797"/>
      <c r="U63" s="2797"/>
      <c r="V63" s="2797"/>
      <c r="W63" s="2797"/>
      <c r="X63" s="2797"/>
      <c r="Y63" s="2797"/>
      <c r="Z63" s="2797"/>
      <c r="AA63" s="2797"/>
      <c r="AB63" s="2797"/>
      <c r="AC63" s="2797"/>
      <c r="AD63" s="2797"/>
      <c r="AE63" s="2797"/>
      <c r="AF63" s="2797"/>
      <c r="AG63" s="2797"/>
      <c r="AH63" s="2797"/>
      <c r="AI63" s="2797"/>
      <c r="AJ63" s="2797"/>
      <c r="AK63" s="2797"/>
      <c r="AL63" s="2797"/>
      <c r="AM63" s="2797"/>
      <c r="AS63" s="1667">
        <v>18</v>
      </c>
    </row>
    <row customHeight="1" ht="29.25">
      <c r="O64" s="1049"/>
      <c r="P64" s="1840"/>
      <c r="S64" s="1765"/>
      <c r="T64" s="2797"/>
      <c r="U64" s="2797"/>
      <c r="V64" s="2797"/>
      <c r="W64" s="2797"/>
      <c r="X64" s="2797"/>
      <c r="Y64" s="2797"/>
      <c r="Z64" s="2797"/>
      <c r="AA64" s="2797"/>
      <c r="AB64" s="2797"/>
      <c r="AC64" s="2797"/>
      <c r="AD64" s="2797"/>
      <c r="AE64" s="2797"/>
      <c r="AF64" s="2797"/>
      <c r="AG64" s="2797"/>
      <c r="AH64" s="2797"/>
      <c r="AI64" s="2797"/>
      <c r="AJ64" s="2797"/>
      <c r="AK64" s="2797"/>
      <c r="AL64" s="2797"/>
      <c r="AM64" s="2797"/>
      <c r="AS64" s="1667">
        <v>28</v>
      </c>
    </row>
    <row customHeight="1" ht="22.5" hidden="1">
      <c r="A65" s="1672" t="s">
        <v>84</v>
      </c>
      <c r="B65" s="1672">
        <v>0</v>
      </c>
      <c r="C65" s="1672">
        <v>0</v>
      </c>
      <c r="D65" s="1672">
        <v>0</v>
      </c>
      <c r="E65" s="1672">
        <v>0</v>
      </c>
      <c r="F65" s="1672">
        <v>0</v>
      </c>
      <c r="G65" s="1672">
        <v>0</v>
      </c>
      <c r="H65" s="1672">
        <v>0</v>
      </c>
      <c r="I65" s="1672">
        <v>0</v>
      </c>
      <c r="J65" s="1672">
        <v>0</v>
      </c>
      <c r="K65" s="1672">
        <v>0</v>
      </c>
      <c r="L65" s="1841">
        <v>0</v>
      </c>
      <c r="M65" s="1874">
        <v>0</v>
      </c>
      <c r="N65" s="1874">
        <v>0</v>
      </c>
      <c r="O65" s="1874">
        <v>0</v>
      </c>
      <c r="P65" s="1730">
        <v>3</v>
      </c>
      <c r="Q65" s="856">
        <v>3</v>
      </c>
      <c r="R65" s="856">
        <v>3</v>
      </c>
      <c r="S65" s="1093">
        <v>12</v>
      </c>
      <c r="T65" s="1667">
        <v>35</v>
      </c>
      <c r="U65" s="1667">
        <v>0</v>
      </c>
      <c r="V65" s="1667">
        <v>0</v>
      </c>
      <c r="W65" s="1667">
        <v>0</v>
      </c>
      <c r="X65" s="1667">
        <v>0</v>
      </c>
      <c r="Y65" s="1667">
        <v>0</v>
      </c>
      <c r="Z65" s="1667">
        <v>0</v>
      </c>
      <c r="AA65" s="1667">
        <v>0</v>
      </c>
      <c r="AB65" s="1667">
        <v>0</v>
      </c>
      <c r="AC65" s="1667">
        <v>0</v>
      </c>
      <c r="AD65" s="1667">
        <v>24</v>
      </c>
      <c r="AE65" s="1667">
        <v>0</v>
      </c>
      <c r="AF65" s="1667">
        <v>24</v>
      </c>
      <c r="AG65" s="1667">
        <v>24</v>
      </c>
      <c r="AH65" s="1667">
        <v>11</v>
      </c>
      <c r="AI65" s="1667">
        <v>3</v>
      </c>
      <c r="AJ65" s="1667">
        <v>11</v>
      </c>
      <c r="AK65" s="1667">
        <v>0</v>
      </c>
      <c r="AL65" s="1667">
        <v>4</v>
      </c>
      <c r="AM65" s="1667">
        <v>115</v>
      </c>
      <c r="AN65" s="1023">
        <v>10</v>
      </c>
      <c r="AO65" s="1023">
        <v>10</v>
      </c>
      <c r="AP65" s="1023">
        <v>10</v>
      </c>
      <c r="AQ65" s="1023">
        <v>10</v>
      </c>
      <c r="AR65" s="1023">
        <v>10</v>
      </c>
      <c r="AS65" s="1667">
        <v>23</v>
      </c>
    </row>
  </sheetData>
  <sheetProtection formatColumns="0" formatRows="0" autoFilter="0" sort="0" insertRows="0" insertColumns="1" deleteRows="0" deleteColumns="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1776683-B21D-10BE-9FEB-8213B3787676}"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46889" width="10.57421875" hidden="1"/>
    <col min="2" max="2" style="46889" width="11.00390625" hidden="1" customWidth="1"/>
    <col min="3" max="3" style="46889" width="10.57421875" hidden="1"/>
    <col min="4" max="4" style="46889" width="11.8515625" hidden="1" customWidth="1"/>
    <col min="5" max="5" style="46889" width="10.00390625" hidden="1" customWidth="1"/>
    <col min="6" max="6" style="46889" width="8.7109375" hidden="1" customWidth="1"/>
    <col min="7" max="7" style="46889" width="7.57421875" hidden="1" customWidth="1"/>
    <col min="8" max="8" style="46889" width="11.421875" hidden="1" customWidth="1"/>
    <col min="9" max="9" style="46889" width="12.00390625" hidden="1" customWidth="1"/>
    <col min="10" max="10" style="46889" width="9.8515625" hidden="1" customWidth="1"/>
    <col min="11" max="11" style="46889" width="11.421875" hidden="1" customWidth="1"/>
    <col min="12" max="12" style="47738" width="19.140625" hidden="1" customWidth="1"/>
    <col min="13" max="14" style="47739" width="12.28125" hidden="1" customWidth="1"/>
    <col min="15" max="15" style="47739" width="23.421875" hidden="1" customWidth="1"/>
    <col min="16" max="16" style="47740" width="3.00390625" customWidth="1"/>
    <col min="17" max="18" style="47741" width="3.00390625" customWidth="1"/>
    <col min="19" max="19" style="47742" width="12.00390625" customWidth="1"/>
    <col min="20" max="20" style="46808" width="31.00390625" customWidth="1"/>
    <col min="21" max="21" style="46808" width="0.140625" customWidth="1"/>
    <col min="22" max="22" style="46808" width="24.7109375" hidden="1" customWidth="1"/>
    <col min="23" max="23" style="46808" width="0.140625" hidden="1" customWidth="1"/>
    <col min="24" max="25" style="46808" width="24.7109375" hidden="1" customWidth="1"/>
    <col min="26" max="26" style="46808" width="11.7109375" hidden="1" customWidth="1"/>
    <col min="27" max="27" style="46808" width="3.7109375" hidden="1" customWidth="1"/>
    <col min="28" max="28" style="46808" width="11.7109375" hidden="1" customWidth="1"/>
    <col min="29" max="29" style="46808" width="8.57421875" hidden="1" customWidth="1"/>
    <col min="30" max="30" style="46808" width="24.7109375" customWidth="1"/>
    <col min="31" max="31" style="46808" width="0.140625" customWidth="1"/>
    <col min="32" max="33" style="46808" width="24.00390625" customWidth="1"/>
    <col min="34" max="34" style="46808" width="11.00390625" customWidth="1"/>
    <col min="35" max="35" style="46808" width="3.7109375" customWidth="1"/>
    <col min="36" max="36" style="46808" width="11.00390625" customWidth="1"/>
    <col min="37" max="37" style="46808" width="8.57421875" hidden="1" customWidth="1"/>
    <col min="38" max="38" style="46808" width="4.00390625" customWidth="1"/>
    <col min="39" max="39" style="46808" width="115.00390625" customWidth="1"/>
    <col min="40" max="44" style="46890" width="10.00390625" customWidth="1"/>
    <col min="45" max="45" style="46808" width="10.57421875" hidden="1"/>
  </cols>
  <sheetData>
    <row customHeight="1" ht="22.5" hidden="1">
      <c r="Y1" s="839"/>
      <c r="Z1" s="839"/>
      <c r="AG1" s="839"/>
      <c r="AH1" s="839"/>
      <c r="AS1" s="1667" t="s">
        <v>14</v>
      </c>
    </row>
    <row customHeight="1" ht="21" hidden="1">
      <c r="A2" s="1875"/>
      <c r="B2" s="1875"/>
      <c r="C2" s="1875"/>
      <c r="D2" s="1875"/>
      <c r="E2" s="2770">
        <v>1</v>
      </c>
      <c r="F2" s="1875"/>
      <c r="G2" s="1875"/>
      <c r="H2" s="1875"/>
      <c r="I2" s="1875"/>
      <c r="J2" s="1875"/>
      <c r="K2" s="1875"/>
      <c r="L2" s="1876"/>
      <c r="M2" s="1877"/>
      <c r="N2" s="1877"/>
      <c r="O2" s="1877"/>
      <c r="P2" s="873"/>
      <c r="Q2" s="872"/>
      <c r="R2" s="867"/>
      <c r="S2" s="1848">
        <f>INDEX(PT_DIFFERENTIATION_NUM_NTAR,MATCH(A2,PT_DIFFERENTIATION_NTAR_ID,0))</f>
      </c>
      <c r="T2" s="810" t="s">
        <v>179</v>
      </c>
      <c r="U2" s="812"/>
      <c r="V2" s="2754"/>
      <c r="W2" s="2755"/>
      <c r="X2" s="2755"/>
      <c r="Y2" s="2755"/>
      <c r="Z2" s="2755"/>
      <c r="AA2" s="2755"/>
      <c r="AB2" s="2755"/>
      <c r="AC2" s="2756"/>
      <c r="AD2" s="2754">
        <f>INDEX(PT_DIFFERENTIATION_NTAR,MATCH(A2,PT_DIFFERENTIATION_NTAR_ID,0))</f>
      </c>
      <c r="AE2" s="2755"/>
      <c r="AF2" s="2755"/>
      <c r="AG2" s="2755"/>
      <c r="AH2" s="2755"/>
      <c r="AI2" s="2755"/>
      <c r="AJ2" s="2755"/>
      <c r="AK2" s="2755"/>
      <c r="AL2" s="2756"/>
      <c r="AM2" s="1770" t="s">
        <v>514</v>
      </c>
      <c r="AO2" s="1012"/>
      <c r="AP2" s="1012" t="str">
        <f>IF(T2="","",T2)</f>
        <v>Наименование тарифа</v>
      </c>
      <c r="AQ2" s="1012"/>
      <c r="AR2" s="1012"/>
      <c r="AS2" s="1667">
        <v>0</v>
      </c>
    </row>
    <row customHeight="1" ht="21" hidden="1">
      <c r="A3" s="1875"/>
      <c r="B3" s="1875"/>
      <c r="C3" s="1875"/>
      <c r="D3" s="1875"/>
      <c r="E3" s="2771"/>
      <c r="F3" s="2770">
        <v>1</v>
      </c>
      <c r="G3" s="1875"/>
      <c r="H3" s="1875"/>
      <c r="I3" s="1875"/>
      <c r="J3" s="1875"/>
      <c r="K3" s="1875"/>
      <c r="L3" s="1876"/>
      <c r="M3" s="1877"/>
      <c r="N3" s="1877"/>
      <c r="O3" s="1877"/>
      <c r="P3" s="1844"/>
      <c r="Q3" s="864"/>
      <c r="R3" s="865"/>
      <c r="S3" s="1848">
        <f>INDEX(PT_DIFFERENTIATION_NUM_TER,MATCH(B3,PT_DIFFERENTIATION_TER_ID,0))</f>
      </c>
      <c r="T3" s="820" t="s">
        <v>515</v>
      </c>
      <c r="U3" s="812"/>
      <c r="V3" s="2754"/>
      <c r="W3" s="2755"/>
      <c r="X3" s="2755"/>
      <c r="Y3" s="2755"/>
      <c r="Z3" s="2755"/>
      <c r="AA3" s="2755"/>
      <c r="AB3" s="2755"/>
      <c r="AC3" s="2756"/>
      <c r="AD3" s="2754">
        <f>INDEX(PT_DIFFERENTIATION_TER,MATCH(B3,PT_DIFFERENTIATION_TER_ID,0))</f>
      </c>
      <c r="AE3" s="2755"/>
      <c r="AF3" s="2755"/>
      <c r="AG3" s="2755"/>
      <c r="AH3" s="2755"/>
      <c r="AI3" s="2755"/>
      <c r="AJ3" s="2755"/>
      <c r="AK3" s="2755"/>
      <c r="AL3" s="2756"/>
      <c r="AM3" s="1770" t="s">
        <v>516</v>
      </c>
      <c r="AO3" s="1012"/>
      <c r="AP3" s="1012" t="str">
        <f>IF(T3="","",T3)</f>
        <v>Территория действия тарифа</v>
      </c>
      <c r="AQ3" s="1012"/>
      <c r="AR3" s="1012"/>
      <c r="AS3" s="1667">
        <v>0</v>
      </c>
    </row>
    <row customHeight="1" ht="23.25" hidden="1">
      <c r="A4" s="1875"/>
      <c r="B4" s="1875"/>
      <c r="C4" s="1875"/>
      <c r="D4" s="1875"/>
      <c r="E4" s="2771"/>
      <c r="F4" s="2771"/>
      <c r="G4" s="2770">
        <v>1</v>
      </c>
      <c r="H4" s="1875"/>
      <c r="I4" s="1875"/>
      <c r="J4" s="1875"/>
      <c r="K4" s="1875"/>
      <c r="L4" s="1876"/>
      <c r="M4" s="1877"/>
      <c r="N4" s="1877"/>
      <c r="O4" s="1877"/>
      <c r="P4" s="866"/>
      <c r="Q4" s="864"/>
      <c r="R4" s="865"/>
      <c r="S4" s="1848">
        <f>INDEX(PT_DIFFERENTIATION_NUM_CS,MATCH(C4,PT_DIFFERENTIATION_CS_ID,0))</f>
      </c>
      <c r="T4" s="821" t="s">
        <v>517</v>
      </c>
      <c r="U4" s="812"/>
      <c r="V4" s="2754"/>
      <c r="W4" s="2755"/>
      <c r="X4" s="2755"/>
      <c r="Y4" s="2755"/>
      <c r="Z4" s="2755"/>
      <c r="AA4" s="2755"/>
      <c r="AB4" s="2755"/>
      <c r="AC4" s="2756"/>
      <c r="AD4" s="2754">
        <f>INDEX(PT_DIFFERENTIATION_CS,MATCH(C4,PT_DIFFERENTIATION_CS_ID,0))</f>
      </c>
      <c r="AE4" s="2755"/>
      <c r="AF4" s="2755"/>
      <c r="AG4" s="2755"/>
      <c r="AH4" s="2755"/>
      <c r="AI4" s="2755"/>
      <c r="AJ4" s="2755"/>
      <c r="AK4" s="2755"/>
      <c r="AL4" s="2756"/>
      <c r="AM4" s="1770" t="s">
        <v>518</v>
      </c>
      <c r="AO4" s="1012"/>
      <c r="AP4" s="1012" t="str">
        <f>IF(T4="","",T4)</f>
        <v>Наименование системы теплоснабжения </v>
      </c>
      <c r="AQ4" s="1012"/>
      <c r="AR4" s="1012"/>
      <c r="AS4" s="1667">
        <v>0</v>
      </c>
    </row>
    <row customHeight="1" ht="21" hidden="1">
      <c r="A5" s="1875"/>
      <c r="B5" s="1875"/>
      <c r="C5" s="1875"/>
      <c r="D5" s="1875"/>
      <c r="E5" s="2771"/>
      <c r="F5" s="2771"/>
      <c r="G5" s="2771"/>
      <c r="H5" s="2770">
        <v>1</v>
      </c>
      <c r="I5" s="1875"/>
      <c r="J5" s="1875"/>
      <c r="K5" s="1875"/>
      <c r="L5" s="1876"/>
      <c r="M5" s="1877"/>
      <c r="N5" s="1877"/>
      <c r="O5" s="1877"/>
      <c r="P5" s="866"/>
      <c r="Q5" s="864"/>
      <c r="R5" s="865"/>
      <c r="S5" s="1848">
        <f>INDEX(PT_DIFFERENTIATION_NUM_IST_TE,MATCH(D5,PT_DIFFERENTIATION_IST_TE_ID,0))</f>
      </c>
      <c r="T5" s="822" t="s">
        <v>519</v>
      </c>
      <c r="U5" s="812"/>
      <c r="V5" s="2754"/>
      <c r="W5" s="2755"/>
      <c r="X5" s="2755"/>
      <c r="Y5" s="2755"/>
      <c r="Z5" s="2755"/>
      <c r="AA5" s="2755"/>
      <c r="AB5" s="2755"/>
      <c r="AC5" s="2756"/>
      <c r="AD5" s="2754">
        <f>INDEX(PT_DIFFERENTIATION_IST_TE,MATCH(D5,PT_DIFFERENTIATION_IST_TE_ID,0))</f>
      </c>
      <c r="AE5" s="2755"/>
      <c r="AF5" s="2755"/>
      <c r="AG5" s="2755"/>
      <c r="AH5" s="2755"/>
      <c r="AI5" s="2755"/>
      <c r="AJ5" s="2755"/>
      <c r="AK5" s="2755"/>
      <c r="AL5" s="2756"/>
      <c r="AM5" s="1770" t="s">
        <v>520</v>
      </c>
      <c r="AO5" s="1012"/>
      <c r="AP5" s="1012" t="str">
        <f>IF(T5="","",T5)</f>
        <v>Источник тепловой энергии  </v>
      </c>
      <c r="AQ5" s="1012"/>
      <c r="AR5" s="1012"/>
      <c r="AS5" s="1667">
        <v>0</v>
      </c>
    </row>
    <row customHeight="1" ht="47.25" hidden="1">
      <c r="A6" s="1875"/>
      <c r="B6" s="1875"/>
      <c r="C6" s="1875"/>
      <c r="D6" s="1875"/>
      <c r="E6" s="2771"/>
      <c r="F6" s="2771"/>
      <c r="G6" s="2771"/>
      <c r="H6" s="2771"/>
      <c r="I6" s="2768">
        <f>S5&amp;".1"</f>
      </c>
      <c r="J6" s="1875"/>
      <c r="K6" s="1875"/>
      <c r="L6" s="1876" t="s">
        <v>521</v>
      </c>
      <c r="M6" s="1049"/>
      <c r="P6" s="2769">
        <v>1</v>
      </c>
      <c r="Q6" s="1843"/>
      <c r="R6" s="868"/>
      <c r="S6" s="1848">
        <f>$I6</f>
      </c>
      <c r="T6" s="797" t="s">
        <v>522</v>
      </c>
      <c r="U6" s="812"/>
      <c r="V6" s="2757"/>
      <c r="W6" s="2758"/>
      <c r="X6" s="2758"/>
      <c r="Y6" s="2758"/>
      <c r="Z6" s="2758"/>
      <c r="AA6" s="2758"/>
      <c r="AB6" s="2758"/>
      <c r="AC6" s="2759"/>
      <c r="AD6" s="2757"/>
      <c r="AE6" s="2758"/>
      <c r="AF6" s="2758"/>
      <c r="AG6" s="2758"/>
      <c r="AH6" s="2758"/>
      <c r="AI6" s="2758"/>
      <c r="AJ6" s="2758"/>
      <c r="AK6" s="2758"/>
      <c r="AL6" s="2759"/>
      <c r="AM6" s="1770" t="s">
        <v>523</v>
      </c>
      <c r="AO6" s="1012"/>
      <c r="AP6" s="1012" t="str">
        <f>IF(T6="","",T6)</f>
        <v>Схема подключения теплопотребляющей установки к коллектору источника тепловой энергии</v>
      </c>
      <c r="AQ6" s="1012"/>
      <c r="AR6" s="1012"/>
      <c r="AS6" s="1667">
        <v>0</v>
      </c>
    </row>
    <row customHeight="1" ht="21" hidden="1">
      <c r="A7" s="1875"/>
      <c r="B7" s="1875"/>
      <c r="C7" s="1875"/>
      <c r="D7" s="1875"/>
      <c r="E7" s="2771"/>
      <c r="F7" s="2771"/>
      <c r="G7" s="2771"/>
      <c r="H7" s="2771"/>
      <c r="I7" s="2798"/>
      <c r="J7" s="2768">
        <f>I6&amp;".1"</f>
      </c>
      <c r="K7" s="1875"/>
      <c r="L7" s="1876" t="s">
        <v>524</v>
      </c>
      <c r="M7" s="1049"/>
      <c r="N7" s="1878"/>
      <c r="P7" s="2769"/>
      <c r="Q7" s="2769">
        <v>1</v>
      </c>
      <c r="R7" s="869"/>
      <c r="S7" s="1848">
        <f>$J7</f>
      </c>
      <c r="T7" s="798" t="s">
        <v>525</v>
      </c>
      <c r="U7" s="812"/>
      <c r="V7" s="2757"/>
      <c r="W7" s="2758"/>
      <c r="X7" s="2758"/>
      <c r="Y7" s="2758"/>
      <c r="Z7" s="2758"/>
      <c r="AA7" s="2758"/>
      <c r="AB7" s="2758"/>
      <c r="AC7" s="2759"/>
      <c r="AD7" s="2757"/>
      <c r="AE7" s="2758"/>
      <c r="AF7" s="2758"/>
      <c r="AG7" s="2758"/>
      <c r="AH7" s="2758"/>
      <c r="AI7" s="2758"/>
      <c r="AJ7" s="2758"/>
      <c r="AK7" s="2758"/>
      <c r="AL7" s="2759"/>
      <c r="AM7" s="1770" t="s">
        <v>526</v>
      </c>
      <c r="AO7" s="1012"/>
      <c r="AP7" s="1012" t="str">
        <f>IF(T7="","",T7)</f>
        <v>Группа потребителей</v>
      </c>
      <c r="AQ7" s="1012"/>
      <c r="AR7" s="1012"/>
      <c r="AS7" s="1667">
        <v>0</v>
      </c>
    </row>
    <row customHeight="1" ht="21" hidden="1">
      <c r="A8" s="1875"/>
      <c r="B8" s="1875"/>
      <c r="C8" s="1875"/>
      <c r="D8" s="1875"/>
      <c r="E8" s="2771"/>
      <c r="F8" s="2771"/>
      <c r="G8" s="2771"/>
      <c r="H8" s="2771"/>
      <c r="I8" s="2798"/>
      <c r="J8" s="2798"/>
      <c r="K8" s="2768">
        <f>J7&amp;".1"</f>
      </c>
      <c r="L8" s="1876" t="s">
        <v>527</v>
      </c>
      <c r="M8" s="1049"/>
      <c r="N8" s="1878"/>
      <c r="O8" s="1878"/>
      <c r="P8" s="2769"/>
      <c r="Q8" s="2769"/>
      <c r="R8" s="869">
        <v>1</v>
      </c>
      <c r="S8" s="1848">
        <f>$K8</f>
      </c>
      <c r="T8" s="1859"/>
      <c r="U8" s="812"/>
      <c r="V8" s="1263"/>
      <c r="W8" s="837"/>
      <c r="X8" s="1263"/>
      <c r="Y8" s="1769"/>
      <c r="Z8" s="2777"/>
      <c r="AA8" s="2619" t="s">
        <v>63</v>
      </c>
      <c r="AB8" s="2777"/>
      <c r="AC8" s="2619" t="s">
        <v>63</v>
      </c>
      <c r="AD8" s="1263"/>
      <c r="AE8" s="837"/>
      <c r="AF8" s="1263"/>
      <c r="AG8" s="1769"/>
      <c r="AH8" s="2777"/>
      <c r="AI8" s="2619" t="s">
        <v>63</v>
      </c>
      <c r="AJ8" s="2777"/>
      <c r="AK8" s="2619" t="s">
        <v>63</v>
      </c>
      <c r="AL8" s="837"/>
      <c r="AM8" s="2765" t="s">
        <v>528</v>
      </c>
      <c r="AN8" s="1023">
        <f>STRCHECKDATE(V9:AL9)</f>
      </c>
      <c r="AO8" s="1012"/>
      <c r="AP8" s="1012" t="str">
        <f>IF(T8="","",T8)</f>
        <v/>
      </c>
      <c r="AQ8" s="1012"/>
      <c r="AR8" s="1012"/>
      <c r="AS8" s="1667">
        <v>0</v>
      </c>
    </row>
    <row customHeight="1" ht="0.75" hidden="1">
      <c r="A9" s="1875"/>
      <c r="B9" s="1875"/>
      <c r="C9" s="1875"/>
      <c r="D9" s="1875"/>
      <c r="E9" s="2771"/>
      <c r="F9" s="2771"/>
      <c r="G9" s="2771"/>
      <c r="H9" s="2771"/>
      <c r="I9" s="2798"/>
      <c r="J9" s="2798"/>
      <c r="K9" s="2768"/>
      <c r="L9" s="1876"/>
      <c r="M9" s="1049"/>
      <c r="N9" s="1878"/>
      <c r="O9" s="1878"/>
      <c r="P9" s="2769"/>
      <c r="Q9" s="2769"/>
      <c r="R9" s="869"/>
      <c r="S9" s="1854"/>
      <c r="T9" s="812"/>
      <c r="U9" s="812"/>
      <c r="V9" s="837"/>
      <c r="W9" s="837"/>
      <c r="X9" s="837"/>
      <c r="Y9" s="840" t="str">
        <f>Z8&amp;"-"&amp;AB8</f>
        <v>-</v>
      </c>
      <c r="Z9" s="2778"/>
      <c r="AA9" s="2619"/>
      <c r="AB9" s="2778"/>
      <c r="AC9" s="2619"/>
      <c r="AD9" s="837"/>
      <c r="AE9" s="837"/>
      <c r="AF9" s="837"/>
      <c r="AG9" s="840" t="str">
        <f>AH8&amp;"-"&amp;AJ8</f>
        <v>-</v>
      </c>
      <c r="AH9" s="2778"/>
      <c r="AI9" s="2619"/>
      <c r="AJ9" s="2778"/>
      <c r="AK9" s="2619"/>
      <c r="AL9" s="837"/>
      <c r="AM9" s="2766"/>
      <c r="AO9" s="1012"/>
      <c r="AP9" s="1012" t="str">
        <f>IF(T9="","",T9)</f>
        <v/>
      </c>
      <c r="AQ9" s="1012"/>
      <c r="AR9" s="1012"/>
      <c r="AS9" s="1667">
        <v>0</v>
      </c>
    </row>
    <row customHeight="1" ht="15" hidden="1">
      <c r="A10" s="1875"/>
      <c r="B10" s="1875"/>
      <c r="C10" s="1875"/>
      <c r="D10" s="1875"/>
      <c r="E10" s="2771"/>
      <c r="F10" s="2771"/>
      <c r="G10" s="2771"/>
      <c r="H10" s="2771"/>
      <c r="I10" s="2798"/>
      <c r="J10" s="2768"/>
      <c r="K10" s="1875"/>
      <c r="L10" s="1876"/>
      <c r="M10" s="1049"/>
      <c r="N10" s="1878"/>
      <c r="P10" s="2769"/>
      <c r="Q10" s="2769"/>
      <c r="R10" s="868"/>
      <c r="S10" s="1790"/>
      <c r="T10" s="800" t="s">
        <v>529</v>
      </c>
      <c r="U10" s="879"/>
      <c r="V10" s="879"/>
      <c r="W10" s="879"/>
      <c r="X10" s="879"/>
      <c r="Y10" s="879"/>
      <c r="Z10" s="879"/>
      <c r="AA10" s="879"/>
      <c r="AB10" s="879"/>
      <c r="AC10" s="879"/>
      <c r="AD10" s="879"/>
      <c r="AE10" s="879"/>
      <c r="AF10" s="879"/>
      <c r="AG10" s="879"/>
      <c r="AH10" s="879"/>
      <c r="AI10" s="879"/>
      <c r="AJ10" s="879"/>
      <c r="AK10" s="879"/>
      <c r="AL10" s="836"/>
      <c r="AM10" s="2767"/>
      <c r="AO10" s="1012"/>
      <c r="AP10" s="1012" t="str">
        <f>IF(T10="","",T10)</f>
        <v>Добавить вид теплоносителя (параметры теплоносителя)</v>
      </c>
      <c r="AQ10" s="1012"/>
      <c r="AR10" s="1012"/>
      <c r="AS10" s="1667">
        <v>0</v>
      </c>
    </row>
    <row customHeight="1" ht="15" hidden="1">
      <c r="A11" s="1875"/>
      <c r="B11" s="1875"/>
      <c r="C11" s="1875"/>
      <c r="D11" s="1875"/>
      <c r="E11" s="2771"/>
      <c r="F11" s="2771"/>
      <c r="G11" s="2771"/>
      <c r="H11" s="2771"/>
      <c r="I11" s="2768"/>
      <c r="J11" s="1875"/>
      <c r="K11" s="1875"/>
      <c r="L11" s="1876"/>
      <c r="M11" s="1049"/>
      <c r="P11" s="2769"/>
      <c r="Q11" s="1843"/>
      <c r="R11" s="868"/>
      <c r="S11" s="1790"/>
      <c r="T11" s="799" t="s">
        <v>530</v>
      </c>
      <c r="U11" s="879"/>
      <c r="V11" s="879"/>
      <c r="W11" s="879"/>
      <c r="X11" s="879"/>
      <c r="Y11" s="879"/>
      <c r="Z11" s="879"/>
      <c r="AA11" s="879"/>
      <c r="AB11" s="879"/>
      <c r="AC11" s="878"/>
      <c r="AD11" s="879"/>
      <c r="AE11" s="879"/>
      <c r="AF11" s="879"/>
      <c r="AG11" s="879"/>
      <c r="AH11" s="879"/>
      <c r="AI11" s="879"/>
      <c r="AJ11" s="879"/>
      <c r="AK11" s="878"/>
      <c r="AL11" s="879"/>
      <c r="AM11" s="815"/>
      <c r="AO11" s="1012"/>
      <c r="AP11" s="1012" t="str">
        <f>IF(T11="","",T11)</f>
        <v>Добавить группу потребителей</v>
      </c>
      <c r="AQ11" s="1012"/>
      <c r="AR11" s="1012"/>
      <c r="AS11" s="1667">
        <v>0</v>
      </c>
    </row>
    <row customHeight="1" ht="14.25" hidden="1">
      <c r="A12" s="1875"/>
      <c r="B12" s="1875"/>
      <c r="C12" s="1875"/>
      <c r="D12" s="1875"/>
      <c r="E12" s="2771"/>
      <c r="F12" s="2771"/>
      <c r="G12" s="2771"/>
      <c r="H12" s="2770"/>
      <c r="I12" s="1875"/>
      <c r="J12" s="1875"/>
      <c r="K12" s="1875"/>
      <c r="L12" s="1876"/>
      <c r="M12" s="1877"/>
      <c r="N12" s="1877"/>
      <c r="O12" s="1049"/>
      <c r="P12" s="872"/>
      <c r="Q12" s="887"/>
      <c r="R12" s="867"/>
      <c r="S12" s="1790"/>
      <c r="T12" s="877" t="s">
        <v>531</v>
      </c>
      <c r="U12" s="879"/>
      <c r="V12" s="879"/>
      <c r="W12" s="879"/>
      <c r="X12" s="879"/>
      <c r="Y12" s="879"/>
      <c r="Z12" s="879"/>
      <c r="AA12" s="879"/>
      <c r="AB12" s="879"/>
      <c r="AC12" s="878"/>
      <c r="AD12" s="879"/>
      <c r="AE12" s="879"/>
      <c r="AF12" s="879"/>
      <c r="AG12" s="879"/>
      <c r="AH12" s="879"/>
      <c r="AI12" s="879"/>
      <c r="AJ12" s="879"/>
      <c r="AK12" s="878"/>
      <c r="AL12" s="879"/>
      <c r="AM12" s="815"/>
      <c r="AO12" s="1012"/>
      <c r="AP12" s="1012" t="str">
        <f>IF(T12="","",T12)</f>
        <v>Добавить схему подключения</v>
      </c>
      <c r="AQ12" s="1012"/>
      <c r="AR12" s="1012"/>
      <c r="AS12" s="1667">
        <v>0</v>
      </c>
    </row>
    <row s="46890" customFormat="1" customHeight="1" ht="0.75" hidden="1">
      <c r="A13" s="1826"/>
      <c r="B13" s="1826"/>
      <c r="C13" s="1826"/>
      <c r="D13" s="1826"/>
      <c r="E13" s="2771"/>
      <c r="F13" s="2771"/>
      <c r="G13" s="2770"/>
      <c r="H13" s="1826"/>
      <c r="I13" s="1826"/>
      <c r="J13" s="1826"/>
      <c r="K13" s="1826"/>
      <c r="L13" s="1851"/>
      <c r="M13" s="1827"/>
      <c r="N13" s="1827"/>
      <c r="P13" s="1828"/>
      <c r="Q13" s="1829"/>
      <c r="R13" s="1828"/>
      <c r="S13" s="1830"/>
      <c r="T13" s="1831" t="s">
        <v>532</v>
      </c>
      <c r="U13" s="1832"/>
      <c r="V13" s="1832"/>
      <c r="W13" s="1832"/>
      <c r="X13" s="1832"/>
      <c r="Y13" s="1832"/>
      <c r="Z13" s="1832"/>
      <c r="AA13" s="1832"/>
      <c r="AB13" s="1832"/>
      <c r="AC13" s="1832"/>
      <c r="AD13" s="1832"/>
      <c r="AE13" s="1832"/>
      <c r="AF13" s="1832"/>
      <c r="AG13" s="1832"/>
      <c r="AH13" s="1832"/>
      <c r="AI13" s="1832"/>
      <c r="AJ13" s="1832"/>
      <c r="AK13" s="1832"/>
      <c r="AL13" s="1832"/>
      <c r="AM13" s="1832"/>
      <c r="AO13" s="1301"/>
      <c r="AP13" s="1301" t="str">
        <f>IF(T13="","",T13)</f>
        <v>Добавить источник для дифференциации</v>
      </c>
      <c r="AQ13" s="1301"/>
      <c r="AR13" s="1301"/>
      <c r="AS13" s="1030">
        <v>0</v>
      </c>
    </row>
    <row s="46890" customFormat="1" customHeight="1" ht="0.75" hidden="1">
      <c r="A14" s="1826"/>
      <c r="B14" s="1826"/>
      <c r="C14" s="1826"/>
      <c r="D14" s="1826"/>
      <c r="E14" s="2771"/>
      <c r="F14" s="2770"/>
      <c r="G14" s="1826"/>
      <c r="H14" s="1826"/>
      <c r="I14" s="1826"/>
      <c r="J14" s="1826"/>
      <c r="K14" s="1826"/>
      <c r="L14" s="1851"/>
      <c r="M14" s="1833"/>
      <c r="N14" s="1833"/>
      <c r="P14" s="1828"/>
      <c r="Q14" s="1829"/>
      <c r="R14" s="1828"/>
      <c r="S14" s="1834"/>
      <c r="T14" s="1835" t="s">
        <v>321</v>
      </c>
      <c r="U14" s="1836"/>
      <c r="V14" s="1836"/>
      <c r="W14" s="1836"/>
      <c r="X14" s="1836"/>
      <c r="Y14" s="1836"/>
      <c r="Z14" s="1836"/>
      <c r="AA14" s="1836"/>
      <c r="AB14" s="1836"/>
      <c r="AC14" s="1836"/>
      <c r="AD14" s="1836"/>
      <c r="AE14" s="1836"/>
      <c r="AF14" s="1836"/>
      <c r="AG14" s="1836"/>
      <c r="AH14" s="1836"/>
      <c r="AI14" s="1836"/>
      <c r="AJ14" s="1836"/>
      <c r="AK14" s="1836"/>
      <c r="AL14" s="1836"/>
      <c r="AM14" s="1836"/>
      <c r="AO14" s="1301"/>
      <c r="AP14" s="1301" t="str">
        <f>IF(T14="","",T14)</f>
        <v>Добавить централизованную систему для дифференциации</v>
      </c>
      <c r="AQ14" s="1301"/>
      <c r="AR14" s="1301"/>
      <c r="AS14" s="1030">
        <v>0</v>
      </c>
    </row>
    <row s="46890" customFormat="1" customHeight="1" ht="0.75" hidden="1">
      <c r="A15" s="1826"/>
      <c r="B15" s="1826"/>
      <c r="C15" s="1826"/>
      <c r="D15" s="1826"/>
      <c r="E15" s="2770"/>
      <c r="F15" s="1826"/>
      <c r="G15" s="1826"/>
      <c r="H15" s="1826"/>
      <c r="I15" s="1826"/>
      <c r="J15" s="1826"/>
      <c r="K15" s="1826"/>
      <c r="L15" s="1851"/>
      <c r="M15" s="1833"/>
      <c r="N15" s="1833"/>
      <c r="P15" s="1828"/>
      <c r="Q15" s="1829"/>
      <c r="R15" s="1828"/>
      <c r="S15" s="1834"/>
      <c r="T15" s="1837" t="s">
        <v>385</v>
      </c>
      <c r="U15" s="1836"/>
      <c r="V15" s="1836"/>
      <c r="W15" s="1836"/>
      <c r="X15" s="1836"/>
      <c r="Y15" s="1836"/>
      <c r="Z15" s="1836"/>
      <c r="AA15" s="1836"/>
      <c r="AB15" s="1836"/>
      <c r="AC15" s="1836"/>
      <c r="AD15" s="1836"/>
      <c r="AE15" s="1836"/>
      <c r="AF15" s="1836"/>
      <c r="AG15" s="1836"/>
      <c r="AH15" s="1836"/>
      <c r="AI15" s="1836"/>
      <c r="AJ15" s="1836"/>
      <c r="AK15" s="1836"/>
      <c r="AL15" s="1836"/>
      <c r="AM15" s="1836"/>
      <c r="AO15" s="1301"/>
      <c r="AP15" s="1301" t="str">
        <f>IF(T15="","",T15)</f>
        <v>Добавить территорию для дифференциации</v>
      </c>
      <c r="AQ15" s="1301"/>
      <c r="AR15" s="1301"/>
      <c r="AS15" s="1030">
        <v>0</v>
      </c>
    </row>
    <row customHeight="1" ht="14.25" hidden="1">
      <c r="AC16" s="839"/>
      <c r="AK16" s="839"/>
      <c r="AS16" s="1667">
        <v>0</v>
      </c>
    </row>
    <row customHeight="1" ht="14.25" hidden="1">
      <c r="AD17" s="1872"/>
      <c r="AE17" s="1872"/>
      <c r="AF17" s="1872"/>
      <c r="AG17" s="1873"/>
      <c r="AH17" s="2779"/>
      <c r="AI17" s="2780" t="s">
        <v>63</v>
      </c>
      <c r="AJ17" s="2779"/>
      <c r="AK17" s="2780" t="s">
        <v>63</v>
      </c>
      <c r="AS17" s="1667">
        <v>0</v>
      </c>
    </row>
    <row customHeight="1" ht="14.25" hidden="1">
      <c r="AD18" s="1872"/>
      <c r="AE18" s="1872"/>
      <c r="AF18" s="1872"/>
      <c r="AG18" s="840" t="str">
        <f>AH17&amp;"-"&amp;AJ17</f>
        <v>-</v>
      </c>
      <c r="AH18" s="2780"/>
      <c r="AI18" s="2780"/>
      <c r="AJ18" s="2780"/>
      <c r="AK18" s="2780"/>
      <c r="AS18" s="1667">
        <v>0</v>
      </c>
    </row>
    <row customHeight="1" ht="14.25" hidden="1">
      <c r="AK19" s="839"/>
      <c r="AS19" s="1667">
        <v>0</v>
      </c>
    </row>
    <row s="46889" customFormat="1" customHeight="1" ht="22.5" hidden="1">
      <c r="L20" s="1841"/>
      <c r="M20" s="1874"/>
      <c r="N20" s="1874"/>
      <c r="O20" s="1879" t="s">
        <v>533</v>
      </c>
      <c r="P20" s="1874"/>
      <c r="Q20" s="1883"/>
      <c r="R20" s="1883"/>
      <c r="S20" s="1241"/>
      <c r="Z20" s="1879"/>
      <c r="AB20" s="1879"/>
      <c r="AC20" s="1878"/>
      <c r="AH20" s="1879"/>
      <c r="AJ20" s="1879"/>
      <c r="AK20" s="1878"/>
      <c r="AN20" s="1023"/>
      <c r="AO20" s="1023"/>
      <c r="AP20" s="1023"/>
      <c r="AQ20" s="1023"/>
      <c r="AR20" s="1023"/>
      <c r="AS20" s="1672">
        <v>0</v>
      </c>
    </row>
    <row s="46889" customFormat="1" customHeight="1" ht="14.25" hidden="1">
      <c r="L21" s="1841"/>
      <c r="M21" s="1874"/>
      <c r="N21" s="1874"/>
      <c r="O21" s="1874"/>
      <c r="P21" s="1874"/>
      <c r="Q21" s="1883"/>
      <c r="R21" s="1883"/>
      <c r="S21" s="1241"/>
      <c r="AC21" s="1878"/>
      <c r="AK21" s="1878"/>
      <c r="AN21" s="1023"/>
      <c r="AO21" s="1023"/>
      <c r="AP21" s="1023"/>
      <c r="AQ21" s="1023"/>
      <c r="AR21" s="1023"/>
      <c r="AS21" s="1672">
        <v>0</v>
      </c>
    </row>
    <row s="46889" customFormat="1" customHeight="1" ht="14.25" hidden="1">
      <c r="L22" s="1841"/>
      <c r="M22" s="1874"/>
      <c r="N22" s="1874"/>
      <c r="O22" s="1876" t="s">
        <v>534</v>
      </c>
      <c r="P22" s="1874"/>
      <c r="Q22" s="1883"/>
      <c r="R22" s="1883"/>
      <c r="S22" s="1241"/>
      <c r="T22" s="1672" t="s">
        <v>535</v>
      </c>
      <c r="AA22" s="698" t="s">
        <v>536</v>
      </c>
      <c r="AC22" s="698" t="s">
        <v>537</v>
      </c>
      <c r="AD22" s="1672" t="s">
        <v>535</v>
      </c>
      <c r="AI22" s="698" t="s">
        <v>538</v>
      </c>
      <c r="AK22" s="698" t="s">
        <v>537</v>
      </c>
      <c r="AN22" s="1023"/>
      <c r="AO22" s="1023"/>
      <c r="AP22" s="1023"/>
      <c r="AQ22" s="1023"/>
      <c r="AR22" s="1023"/>
      <c r="AS22" s="1672">
        <v>0</v>
      </c>
    </row>
    <row customHeight="1" ht="14.25" hidden="1">
      <c r="O23" s="1876"/>
      <c r="AS23" s="1667">
        <v>0</v>
      </c>
    </row>
    <row customHeight="1" ht="14.25" hidden="1">
      <c r="O24" s="1876"/>
      <c r="AS24" s="1667">
        <v>0</v>
      </c>
    </row>
    <row customHeight="1" ht="14.699999999999998">
      <c r="Q25" s="888"/>
      <c r="R25" s="888"/>
      <c r="S25" s="1787"/>
      <c r="T25" s="875"/>
      <c r="U25" s="875"/>
      <c r="V25" s="1021"/>
      <c r="W25" s="1021"/>
      <c r="X25" s="1021"/>
      <c r="Y25" s="1021"/>
      <c r="Z25" s="1021"/>
      <c r="AA25" s="1021"/>
      <c r="AB25" s="1021"/>
      <c r="AC25" s="1021"/>
      <c r="AD25" s="1021"/>
      <c r="AE25" s="1021"/>
      <c r="AF25" s="1021"/>
      <c r="AG25" s="1021"/>
      <c r="AH25" s="1021"/>
      <c r="AI25" s="1021"/>
      <c r="AJ25" s="1021"/>
      <c r="AK25" s="1021"/>
      <c r="AS25" s="1667">
        <v>14</v>
      </c>
    </row>
    <row customHeight="1" ht="14.699999999999998">
      <c r="Q26" s="888"/>
      <c r="R26" s="888"/>
      <c r="S26" s="2760"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760"/>
      <c r="U26" s="2760"/>
      <c r="V26" s="2760"/>
      <c r="W26" s="2760"/>
      <c r="X26" s="2760"/>
      <c r="Y26" s="2760"/>
      <c r="Z26" s="2760"/>
      <c r="AA26" s="2760"/>
      <c r="AB26" s="2760"/>
      <c r="AC26" s="2760"/>
      <c r="AD26" s="2760"/>
      <c r="AE26" s="2760"/>
      <c r="AF26" s="2760"/>
      <c r="AG26" s="2760"/>
      <c r="AH26" s="2760"/>
      <c r="AI26" s="2760"/>
      <c r="AJ26" s="2760"/>
      <c r="AK26" s="1755"/>
      <c r="AS26" s="1667">
        <v>14</v>
      </c>
    </row>
    <row customHeight="1" ht="14.699999999999998">
      <c r="Q27" s="888"/>
      <c r="R27" s="888"/>
      <c r="S27" s="2761" t="str">
        <f>IF(org=0,"Не определено",org)</f>
        <v>КГУП "Примтеплоэнерго"</v>
      </c>
      <c r="T27" s="2761"/>
      <c r="U27" s="2761"/>
      <c r="V27" s="2761"/>
      <c r="W27" s="2761"/>
      <c r="X27" s="2761"/>
      <c r="Y27" s="2761"/>
      <c r="Z27" s="2761"/>
      <c r="AA27" s="2761"/>
      <c r="AB27" s="2761"/>
      <c r="AC27" s="2761"/>
      <c r="AD27" s="2761"/>
      <c r="AE27" s="2761"/>
      <c r="AF27" s="2761"/>
      <c r="AG27" s="2761"/>
      <c r="AH27" s="2761"/>
      <c r="AI27" s="2761"/>
      <c r="AJ27" s="2761"/>
      <c r="AK27" s="1755"/>
      <c r="AS27" s="1667">
        <v>14</v>
      </c>
    </row>
    <row customHeight="1" ht="14.25">
      <c r="Q28" s="888"/>
      <c r="R28" s="888"/>
      <c r="S28" s="1787"/>
      <c r="T28" s="875"/>
      <c r="U28" s="875"/>
      <c r="V28" s="834"/>
      <c r="W28" s="834"/>
      <c r="X28" s="834"/>
      <c r="Y28" s="834"/>
      <c r="Z28" s="834"/>
      <c r="AA28" s="834"/>
      <c r="AB28" s="834"/>
      <c r="AC28" s="834"/>
      <c r="AD28" s="834"/>
      <c r="AE28" s="834"/>
      <c r="AF28" s="834"/>
      <c r="AG28" s="834"/>
      <c r="AH28" s="834"/>
      <c r="AI28" s="834"/>
      <c r="AJ28" s="834"/>
      <c r="AK28" s="834"/>
      <c r="AL28" s="1021"/>
      <c r="AS28" s="1667">
        <v>0</v>
      </c>
    </row>
    <row s="47026" customFormat="1" customHeight="1" ht="25.5">
      <c r="A29" s="1880"/>
      <c r="B29" s="1880"/>
      <c r="C29" s="1880"/>
      <c r="D29" s="1880"/>
      <c r="E29" s="1880"/>
      <c r="F29" s="1880"/>
      <c r="G29" s="1880"/>
      <c r="H29" s="1880"/>
      <c r="I29" s="1880"/>
      <c r="J29" s="1880"/>
      <c r="K29" s="1880"/>
      <c r="L29" s="1881"/>
      <c r="M29" s="1880"/>
      <c r="N29" s="1880"/>
      <c r="O29" s="1880"/>
      <c r="S29" s="2762" t="s">
        <v>42</v>
      </c>
      <c r="T29" s="2762"/>
      <c r="U29" s="1884"/>
      <c r="V29" s="2763" t="str">
        <f>IF(TITLE_NAME_OR_PR_CHANGE="",IF(TITLE_NAME_OR_PR="","",TITLE_NAME_OR_PR),TITLE_NAME_OR_PR_CHANGE)</f>
        <v>Агентство по тарифам Приморского края</v>
      </c>
      <c r="W29" s="2763"/>
      <c r="X29" s="2763"/>
      <c r="Y29" s="2763"/>
      <c r="Z29" s="2763"/>
      <c r="AA29" s="2763"/>
      <c r="AB29" s="2763"/>
      <c r="AC29" s="838"/>
      <c r="AD29" s="2763" t="str">
        <f>IF(TITLE_NAME_OR_PR_CHANGE="",IF(TITLE_NAME_OR_PR="","",TITLE_NAME_OR_PR),TITLE_NAME_OR_PR_CHANGE)</f>
        <v>Агентство по тарифам Приморского края</v>
      </c>
      <c r="AE29" s="2763"/>
      <c r="AF29" s="2763"/>
      <c r="AG29" s="2763"/>
      <c r="AH29" s="2763"/>
      <c r="AI29" s="2763"/>
      <c r="AJ29" s="2763"/>
      <c r="AK29" s="838"/>
      <c r="AL29" s="838"/>
      <c r="AM29" s="792"/>
      <c r="AN29" s="880"/>
      <c r="AO29" s="880"/>
      <c r="AP29" s="880"/>
      <c r="AQ29" s="880"/>
      <c r="AR29" s="880"/>
      <c r="AS29" s="930">
        <v>0</v>
      </c>
    </row>
    <row s="47026" customFormat="1" customHeight="1" ht="18.75">
      <c r="A30" s="1880"/>
      <c r="B30" s="1880"/>
      <c r="C30" s="1880"/>
      <c r="D30" s="1880"/>
      <c r="E30" s="1880"/>
      <c r="F30" s="1880"/>
      <c r="G30" s="1880"/>
      <c r="H30" s="1880"/>
      <c r="I30" s="1880"/>
      <c r="J30" s="1880"/>
      <c r="K30" s="1880"/>
      <c r="L30" s="1881"/>
      <c r="M30" s="1880"/>
      <c r="N30" s="1880"/>
      <c r="O30" s="1880"/>
      <c r="S30" s="2762" t="s">
        <v>539</v>
      </c>
      <c r="T30" s="2762"/>
      <c r="U30" s="1884"/>
      <c r="V30" s="2776" t="str">
        <f>IF(TITLE_DATE_PR_CHANGE="",IF(TITLE_DATE_PR="","",TITLE_DATE_PR),TITLE_DATE_PR_CHANGE)</f>
        <v>45631.495844907404</v>
      </c>
      <c r="W30" s="2776"/>
      <c r="X30" s="2776"/>
      <c r="Y30" s="2776"/>
      <c r="Z30" s="2776"/>
      <c r="AA30" s="2776"/>
      <c r="AB30" s="2776"/>
      <c r="AC30" s="838"/>
      <c r="AD30" s="2776" t="str">
        <f>IF(TITLE_DATE_PR_CHANGE="",IF(TITLE_DATE_PR="","",TITLE_DATE_PR),TITLE_DATE_PR_CHANGE)</f>
        <v>45631.495844907404</v>
      </c>
      <c r="AE30" s="2776"/>
      <c r="AF30" s="2776"/>
      <c r="AG30" s="2776"/>
      <c r="AH30" s="2776"/>
      <c r="AI30" s="2776"/>
      <c r="AJ30" s="2776"/>
      <c r="AK30" s="838"/>
      <c r="AL30" s="838"/>
      <c r="AM30" s="792"/>
      <c r="AN30" s="880"/>
      <c r="AO30" s="880"/>
      <c r="AP30" s="880"/>
      <c r="AQ30" s="880"/>
      <c r="AR30" s="880"/>
      <c r="AS30" s="930">
        <v>0</v>
      </c>
    </row>
    <row s="47026" customFormat="1" customHeight="1" ht="18.75">
      <c r="A31" s="1880"/>
      <c r="B31" s="1880"/>
      <c r="C31" s="1880"/>
      <c r="D31" s="1880"/>
      <c r="E31" s="1880"/>
      <c r="F31" s="1880"/>
      <c r="G31" s="1880"/>
      <c r="H31" s="1880"/>
      <c r="I31" s="1880"/>
      <c r="J31" s="1880"/>
      <c r="K31" s="1880"/>
      <c r="L31" s="1881"/>
      <c r="M31" s="1880"/>
      <c r="N31" s="1880"/>
      <c r="O31" s="1880"/>
      <c r="S31" s="2762" t="s">
        <v>540</v>
      </c>
      <c r="T31" s="2762"/>
      <c r="U31" s="1884"/>
      <c r="V31" s="2763" t="str">
        <f>IF(TITLE_NUMBER_PR_CHANGE="",IF(TITLE_NUMBER_PR="","",TITLE_NUMBER_PR),TITLE_NUMBER_PR_CHANGE)</f>
        <v>53/9</v>
      </c>
      <c r="W31" s="2763"/>
      <c r="X31" s="2763"/>
      <c r="Y31" s="2763"/>
      <c r="Z31" s="2763"/>
      <c r="AA31" s="2763"/>
      <c r="AB31" s="2763"/>
      <c r="AC31" s="838"/>
      <c r="AD31" s="2763" t="str">
        <f>IF(TITLE_NUMBER_PR_CHANGE="",IF(TITLE_NUMBER_PR="","",TITLE_NUMBER_PR),TITLE_NUMBER_PR_CHANGE)</f>
        <v>53/9</v>
      </c>
      <c r="AE31" s="2763"/>
      <c r="AF31" s="2763"/>
      <c r="AG31" s="2763"/>
      <c r="AH31" s="2763"/>
      <c r="AI31" s="2763"/>
      <c r="AJ31" s="2763"/>
      <c r="AK31" s="838"/>
      <c r="AL31" s="838"/>
      <c r="AM31" s="792"/>
      <c r="AN31" s="880"/>
      <c r="AO31" s="880"/>
      <c r="AP31" s="880"/>
      <c r="AQ31" s="880"/>
      <c r="AR31" s="880"/>
      <c r="AS31" s="930">
        <v>0</v>
      </c>
    </row>
    <row s="47026" customFormat="1" customHeight="1" ht="18.75">
      <c r="A32" s="1880"/>
      <c r="B32" s="1880"/>
      <c r="C32" s="1880"/>
      <c r="D32" s="1880"/>
      <c r="E32" s="1880"/>
      <c r="F32" s="1880"/>
      <c r="G32" s="1880"/>
      <c r="H32" s="1880"/>
      <c r="I32" s="1880"/>
      <c r="J32" s="1880"/>
      <c r="K32" s="1880"/>
      <c r="L32" s="1881"/>
      <c r="M32" s="1880"/>
      <c r="N32" s="1880"/>
      <c r="O32" s="1880"/>
      <c r="S32" s="2762" t="s">
        <v>44</v>
      </c>
      <c r="T32" s="2762"/>
      <c r="U32" s="1884"/>
      <c r="V32" s="2763" t="str">
        <f>IF(TITLE_IST_PUB_CHANGE="",IF(TITLE_IST_PUB="","",TITLE_IST_PUB),TITLE_IST_PUB_CHANGE)</f>
        <v>http://pravo.gov.ru</v>
      </c>
      <c r="W32" s="2763"/>
      <c r="X32" s="2763"/>
      <c r="Y32" s="2763"/>
      <c r="Z32" s="2763"/>
      <c r="AA32" s="2763"/>
      <c r="AB32" s="2763"/>
      <c r="AC32" s="838"/>
      <c r="AD32" s="2763" t="str">
        <f>IF(TITLE_IST_PUB_CHANGE="",IF(TITLE_IST_PUB="","",TITLE_IST_PUB),TITLE_IST_PUB_CHANGE)</f>
        <v>http://pravo.gov.ru</v>
      </c>
      <c r="AE32" s="2763"/>
      <c r="AF32" s="2763"/>
      <c r="AG32" s="2763"/>
      <c r="AH32" s="2763"/>
      <c r="AI32" s="2763"/>
      <c r="AJ32" s="2763"/>
      <c r="AK32" s="838"/>
      <c r="AL32" s="838"/>
      <c r="AM32" s="792"/>
      <c r="AN32" s="880"/>
      <c r="AO32" s="880"/>
      <c r="AP32" s="880"/>
      <c r="AQ32" s="880"/>
      <c r="AR32" s="880"/>
      <c r="AS32" s="930">
        <v>0</v>
      </c>
    </row>
    <row customHeight="1" ht="14.25" hidden="1">
      <c r="Q33" s="888"/>
      <c r="R33" s="888"/>
      <c r="S33" s="1787"/>
      <c r="T33" s="875"/>
      <c r="U33" s="875"/>
      <c r="V33" s="834"/>
      <c r="W33" s="834"/>
      <c r="X33" s="834"/>
      <c r="Y33" s="834"/>
      <c r="Z33" s="834"/>
      <c r="AA33" s="834"/>
      <c r="AB33" s="834"/>
      <c r="AC33" s="834"/>
      <c r="AD33" s="834"/>
      <c r="AE33" s="834"/>
      <c r="AF33" s="834"/>
      <c r="AG33" s="834"/>
      <c r="AH33" s="834"/>
      <c r="AI33" s="834"/>
      <c r="AJ33" s="834"/>
      <c r="AK33" s="834"/>
      <c r="AL33" s="1021"/>
      <c r="AS33" s="1667">
        <v>0</v>
      </c>
    </row>
    <row s="47026" customFormat="1" customHeight="1" ht="18.75" hidden="1">
      <c r="A34" s="1880"/>
      <c r="B34" s="1880"/>
      <c r="C34" s="1880"/>
      <c r="D34" s="1880"/>
      <c r="E34" s="1880"/>
      <c r="F34" s="1880"/>
      <c r="G34" s="1880"/>
      <c r="H34" s="1880"/>
      <c r="I34" s="1880"/>
      <c r="J34" s="1880"/>
      <c r="K34" s="1880"/>
      <c r="L34" s="1881"/>
      <c r="M34" s="1880"/>
      <c r="N34" s="1880"/>
      <c r="O34" s="1880"/>
      <c r="S34" s="2762" t="s">
        <v>541</v>
      </c>
      <c r="T34" s="2762"/>
      <c r="U34" s="1884"/>
      <c r="V34" s="2776" t="str">
        <f>IF(TITLE_DATE_PR_CHANGE="",IF(TITLE_DATE_PR="","",TITLE_DATE_PR),TITLE_DATE_PR_CHANGE)</f>
        <v>45631.495844907404</v>
      </c>
      <c r="W34" s="2776"/>
      <c r="X34" s="2776"/>
      <c r="Y34" s="2776"/>
      <c r="Z34" s="2776"/>
      <c r="AA34" s="2776"/>
      <c r="AB34" s="2776"/>
      <c r="AC34" s="838"/>
      <c r="AD34" s="2776" t="str">
        <f>IF(TITLE_DATE_PR_CHANGE="",IF(TITLE_DATE_PR="","",TITLE_DATE_PR),TITLE_DATE_PR_CHANGE)</f>
        <v>45631.495844907404</v>
      </c>
      <c r="AE34" s="2776"/>
      <c r="AF34" s="2776"/>
      <c r="AG34" s="2776"/>
      <c r="AH34" s="2776"/>
      <c r="AI34" s="2776"/>
      <c r="AJ34" s="2776"/>
      <c r="AK34" s="838"/>
      <c r="AL34" s="838"/>
      <c r="AM34" s="792"/>
      <c r="AN34" s="880"/>
      <c r="AO34" s="880"/>
      <c r="AP34" s="880"/>
      <c r="AQ34" s="880"/>
      <c r="AR34" s="880"/>
      <c r="AS34" s="930">
        <v>0</v>
      </c>
    </row>
    <row s="47026" customFormat="1" customHeight="1" ht="18.75" hidden="1">
      <c r="A35" s="1880"/>
      <c r="B35" s="1880"/>
      <c r="C35" s="1880"/>
      <c r="D35" s="1880"/>
      <c r="E35" s="1880"/>
      <c r="F35" s="1880"/>
      <c r="G35" s="1880"/>
      <c r="H35" s="1880"/>
      <c r="I35" s="1880"/>
      <c r="J35" s="1880"/>
      <c r="K35" s="1880"/>
      <c r="L35" s="1881"/>
      <c r="M35" s="1880"/>
      <c r="N35" s="1880"/>
      <c r="O35" s="1880"/>
      <c r="S35" s="2762" t="s">
        <v>542</v>
      </c>
      <c r="T35" s="2762"/>
      <c r="U35" s="1884"/>
      <c r="V35" s="2763" t="str">
        <f>IF(TITLE_NUMBER_PR_CHANGE="",IF(TITLE_NUMBER_PR="","",TITLE_NUMBER_PR),TITLE_NUMBER_PR_CHANGE)</f>
        <v>53/9</v>
      </c>
      <c r="W35" s="2763"/>
      <c r="X35" s="2763"/>
      <c r="Y35" s="2763"/>
      <c r="Z35" s="2763"/>
      <c r="AA35" s="2763"/>
      <c r="AB35" s="2763"/>
      <c r="AC35" s="838"/>
      <c r="AD35" s="2763" t="str">
        <f>IF(TITLE_NUMBER_PR_CHANGE="",IF(TITLE_NUMBER_PR="","",TITLE_NUMBER_PR),TITLE_NUMBER_PR_CHANGE)</f>
        <v>53/9</v>
      </c>
      <c r="AE35" s="2763"/>
      <c r="AF35" s="2763"/>
      <c r="AG35" s="2763"/>
      <c r="AH35" s="2763"/>
      <c r="AI35" s="2763"/>
      <c r="AJ35" s="2763"/>
      <c r="AK35" s="838"/>
      <c r="AL35" s="838"/>
      <c r="AM35" s="792"/>
      <c r="AN35" s="880"/>
      <c r="AO35" s="880"/>
      <c r="AP35" s="880"/>
      <c r="AQ35" s="880"/>
      <c r="AR35" s="880"/>
      <c r="AS35" s="930">
        <v>0</v>
      </c>
    </row>
    <row s="47026" customFormat="1" customHeight="1" ht="0">
      <c r="A36" s="1880"/>
      <c r="B36" s="1880"/>
      <c r="C36" s="1880"/>
      <c r="D36" s="1880"/>
      <c r="E36" s="1880"/>
      <c r="F36" s="1880"/>
      <c r="G36" s="1880"/>
      <c r="H36" s="1880"/>
      <c r="I36" s="1880"/>
      <c r="J36" s="1880"/>
      <c r="K36" s="1880"/>
      <c r="L36" s="1881"/>
      <c r="M36" s="1880"/>
      <c r="N36" s="1880"/>
      <c r="O36" s="1880"/>
      <c r="S36" s="835"/>
      <c r="T36" s="835"/>
      <c r="U36" s="1852"/>
      <c r="V36" s="838"/>
      <c r="W36" s="838"/>
      <c r="X36" s="838"/>
      <c r="Y36" s="838"/>
      <c r="Z36" s="838"/>
      <c r="AA36" s="838"/>
      <c r="AB36" s="838"/>
      <c r="AC36" s="790" t="s">
        <v>543</v>
      </c>
      <c r="AD36" s="838"/>
      <c r="AE36" s="838"/>
      <c r="AF36" s="838"/>
      <c r="AG36" s="838"/>
      <c r="AH36" s="838"/>
      <c r="AI36" s="838"/>
      <c r="AJ36" s="838"/>
      <c r="AK36" s="790" t="s">
        <v>543</v>
      </c>
      <c r="AN36" s="880"/>
      <c r="AO36" s="880"/>
      <c r="AP36" s="880"/>
      <c r="AQ36" s="880"/>
      <c r="AR36" s="880"/>
      <c r="AS36" s="930">
        <v>0</v>
      </c>
    </row>
    <row customHeight="1" ht="14.699999999999998">
      <c r="Q37" s="888"/>
      <c r="R37" s="888"/>
      <c r="S37" s="1787"/>
      <c r="T37" s="875"/>
      <c r="U37" s="1756"/>
      <c r="V37" s="2764"/>
      <c r="W37" s="2764"/>
      <c r="X37" s="2764"/>
      <c r="Y37" s="2764"/>
      <c r="Z37" s="2764"/>
      <c r="AA37" s="2764"/>
      <c r="AB37" s="2764"/>
      <c r="AC37" s="2764"/>
      <c r="AD37" s="2764"/>
      <c r="AE37" s="2764"/>
      <c r="AF37" s="2764"/>
      <c r="AG37" s="2764"/>
      <c r="AH37" s="2764"/>
      <c r="AI37" s="2764"/>
      <c r="AJ37" s="2764"/>
      <c r="AK37" s="2764"/>
      <c r="AS37" s="1667">
        <v>14</v>
      </c>
    </row>
    <row customHeight="1" ht="14.699999999999998">
      <c r="Q38" s="888"/>
      <c r="R38" s="888"/>
      <c r="S38" s="2639" t="s">
        <v>418</v>
      </c>
      <c r="T38" s="2639"/>
      <c r="U38" s="2639"/>
      <c r="V38" s="2639"/>
      <c r="W38" s="2639"/>
      <c r="X38" s="2639"/>
      <c r="Y38" s="2639"/>
      <c r="Z38" s="2639"/>
      <c r="AA38" s="2639"/>
      <c r="AB38" s="2639"/>
      <c r="AC38" s="2639"/>
      <c r="AD38" s="2639"/>
      <c r="AE38" s="2639"/>
      <c r="AF38" s="2639"/>
      <c r="AG38" s="2639"/>
      <c r="AH38" s="2639"/>
      <c r="AI38" s="2639"/>
      <c r="AJ38" s="2639"/>
      <c r="AK38" s="2639"/>
      <c r="AL38" s="2639"/>
      <c r="AM38" s="2639" t="s">
        <v>419</v>
      </c>
      <c r="AS38" s="1667">
        <v>14</v>
      </c>
    </row>
    <row customHeight="1" ht="14.699999999999998">
      <c r="Q39" s="888"/>
      <c r="R39" s="888"/>
      <c r="S39" s="2785" t="s">
        <v>90</v>
      </c>
      <c r="T39" s="2721" t="s">
        <v>544</v>
      </c>
      <c r="U39" s="813"/>
      <c r="V39" s="2786" t="s">
        <v>545</v>
      </c>
      <c r="W39" s="2787"/>
      <c r="X39" s="2787"/>
      <c r="Y39" s="2787"/>
      <c r="Z39" s="2787"/>
      <c r="AA39" s="2787"/>
      <c r="AB39" s="2788"/>
      <c r="AC39" s="2789" t="s">
        <v>546</v>
      </c>
      <c r="AD39" s="2786" t="s">
        <v>545</v>
      </c>
      <c r="AE39" s="2787"/>
      <c r="AF39" s="2787"/>
      <c r="AG39" s="2787"/>
      <c r="AH39" s="2787"/>
      <c r="AI39" s="2787"/>
      <c r="AJ39" s="2788"/>
      <c r="AK39" s="2789" t="s">
        <v>547</v>
      </c>
      <c r="AL39" s="2792" t="s">
        <v>548</v>
      </c>
      <c r="AM39" s="2639"/>
      <c r="AS39" s="1667">
        <v>14</v>
      </c>
    </row>
    <row customHeight="1" ht="35.699999999999996">
      <c r="Q40" s="888"/>
      <c r="R40" s="888"/>
      <c r="S40" s="2785"/>
      <c r="T40" s="2721"/>
      <c r="U40" s="1543"/>
      <c r="V40" s="2772" t="s">
        <v>549</v>
      </c>
      <c r="W40" s="2795" t="s">
        <v>550</v>
      </c>
      <c r="X40" s="2774" t="s">
        <v>551</v>
      </c>
      <c r="Y40" s="2775"/>
      <c r="Z40" s="2774" t="s">
        <v>564</v>
      </c>
      <c r="AA40" s="2781"/>
      <c r="AB40" s="2775"/>
      <c r="AC40" s="2790"/>
      <c r="AD40" s="2772" t="s">
        <v>549</v>
      </c>
      <c r="AE40" s="2795" t="s">
        <v>550</v>
      </c>
      <c r="AF40" s="2774" t="s">
        <v>551</v>
      </c>
      <c r="AG40" s="2775"/>
      <c r="AH40" s="2774" t="s">
        <v>552</v>
      </c>
      <c r="AI40" s="2781"/>
      <c r="AJ40" s="2775"/>
      <c r="AK40" s="2790"/>
      <c r="AL40" s="2793"/>
      <c r="AM40" s="2639"/>
      <c r="AS40" s="1667">
        <v>34</v>
      </c>
    </row>
    <row customHeight="1" ht="35.699999999999996">
      <c r="A41" s="1882"/>
      <c r="B41" s="1882" t="s">
        <v>191</v>
      </c>
      <c r="C41" s="1882" t="s">
        <v>192</v>
      </c>
      <c r="D41" s="1882" t="s">
        <v>193</v>
      </c>
      <c r="E41" s="1876" t="s">
        <v>553</v>
      </c>
      <c r="F41" s="1876" t="s">
        <v>554</v>
      </c>
      <c r="G41" s="1876" t="s">
        <v>555</v>
      </c>
      <c r="H41" s="1876" t="s">
        <v>556</v>
      </c>
      <c r="I41" s="1876" t="s">
        <v>557</v>
      </c>
      <c r="J41" s="1876" t="s">
        <v>558</v>
      </c>
      <c r="K41" s="1876" t="s">
        <v>559</v>
      </c>
      <c r="L41" s="1876" t="s">
        <v>534</v>
      </c>
      <c r="Q41" s="888"/>
      <c r="R41" s="888"/>
      <c r="S41" s="2785"/>
      <c r="T41" s="2721"/>
      <c r="U41" s="814"/>
      <c r="V41" s="2773"/>
      <c r="W41" s="2796"/>
      <c r="X41" s="1734" t="s">
        <v>560</v>
      </c>
      <c r="Y41" s="1734" t="s">
        <v>561</v>
      </c>
      <c r="Z41" s="1850" t="s">
        <v>562</v>
      </c>
      <c r="AA41" s="2782" t="s">
        <v>563</v>
      </c>
      <c r="AB41" s="2783"/>
      <c r="AC41" s="2791"/>
      <c r="AD41" s="2773"/>
      <c r="AE41" s="2796"/>
      <c r="AF41" s="1734" t="s">
        <v>560</v>
      </c>
      <c r="AG41" s="1734" t="s">
        <v>561</v>
      </c>
      <c r="AH41" s="1850" t="s">
        <v>562</v>
      </c>
      <c r="AI41" s="2782" t="s">
        <v>563</v>
      </c>
      <c r="AJ41" s="2783"/>
      <c r="AK41" s="2791"/>
      <c r="AL41" s="2794"/>
      <c r="AM41" s="2639"/>
      <c r="AS41" s="1667">
        <v>34</v>
      </c>
    </row>
    <row s="47496" customFormat="1" customHeight="1" ht="11.25" hidden="1">
      <c r="A42" s="1882"/>
      <c r="B42" s="1882"/>
      <c r="C42" s="1882"/>
      <c r="D42" s="1882"/>
      <c r="E42" s="1882"/>
      <c r="F42" s="1882"/>
      <c r="G42" s="1882"/>
      <c r="H42" s="1882"/>
      <c r="I42" s="1882"/>
      <c r="J42" s="1882"/>
      <c r="K42" s="1882"/>
      <c r="L42" s="1876"/>
      <c r="M42" s="1874"/>
      <c r="N42" s="1874"/>
      <c r="O42" s="1874"/>
      <c r="P42" s="1758"/>
      <c r="Q42" s="1759"/>
      <c r="R42" s="1766">
        <v>1</v>
      </c>
      <c r="S42" s="1789" t="s">
        <v>101</v>
      </c>
      <c r="T42" s="1767" t="s">
        <v>105</v>
      </c>
      <c r="U42" s="1757" t="str">
        <f>OFFSET(U42,0,-1)</f>
        <v>2</v>
      </c>
      <c r="V42" s="1847">
        <f>OFFSET(V42,0,-1)+1</f>
        <v>3</v>
      </c>
      <c r="W42" s="1847"/>
      <c r="X42" s="1847">
        <f>OFFSET(X42,0,-1)+1</f>
        <v>1</v>
      </c>
      <c r="Y42" s="1847">
        <f>OFFSET(Y42,0,-1)+1</f>
        <v>2</v>
      </c>
      <c r="Z42" s="1847">
        <f>OFFSET(Z42,0,-1)+1</f>
        <v>3</v>
      </c>
      <c r="AA42" s="2784">
        <f>OFFSET(AA42,0,-1)+1</f>
        <v>4</v>
      </c>
      <c r="AB42" s="2784"/>
      <c r="AC42" s="1847">
        <f>OFFSET(AC42,0,-2)+1</f>
        <v>5</v>
      </c>
      <c r="AD42" s="1847">
        <f>OFFSET(AD42,0,-1)+1</f>
        <v>6</v>
      </c>
      <c r="AE42" s="1847"/>
      <c r="AF42" s="1847">
        <f>OFFSET(AF42,0,-1)+1</f>
        <v>1</v>
      </c>
      <c r="AG42" s="1847">
        <f>OFFSET(AG42,0,-1)+1</f>
        <v>2</v>
      </c>
      <c r="AH42" s="1847">
        <f>OFFSET(AH42,0,-1)+1</f>
        <v>3</v>
      </c>
      <c r="AI42" s="2784">
        <f>OFFSET(AI42,0,-1)+1</f>
        <v>4</v>
      </c>
      <c r="AJ42" s="2784"/>
      <c r="AK42" s="1847">
        <f>OFFSET(AK42,0,-2)+1</f>
        <v>5</v>
      </c>
      <c r="AL42" s="1757">
        <f>OFFSET(AL42,0,-1)</f>
        <v>5</v>
      </c>
      <c r="AM42" s="1847">
        <f>OFFSET(AM42,0,-1)+1</f>
        <v>6</v>
      </c>
      <c r="AN42" s="1023"/>
      <c r="AO42" s="1023"/>
      <c r="AP42" s="1023"/>
      <c r="AQ42" s="1023"/>
      <c r="AR42" s="1023"/>
      <c r="AS42" s="1008">
        <v>0</v>
      </c>
    </row>
    <row customHeight="1" ht="22.049999999999997">
      <c r="A43" s="1875" t="s">
        <v>212</v>
      </c>
      <c r="B43" s="1875"/>
      <c r="C43" s="1875"/>
      <c r="D43" s="1875"/>
      <c r="E43" s="2770">
        <v>1</v>
      </c>
      <c r="F43" s="1875"/>
      <c r="G43" s="1875"/>
      <c r="H43" s="1875"/>
      <c r="I43" s="1875"/>
      <c r="J43" s="1875"/>
      <c r="K43" s="1875"/>
      <c r="L43" s="1876"/>
      <c r="M43" s="1877"/>
      <c r="N43" s="1877"/>
      <c r="O43" s="1877"/>
      <c r="P43" s="873"/>
      <c r="Q43" s="872"/>
      <c r="R43" s="867"/>
      <c r="S43" s="1848">
        <f>INDEX(PT_DIFFERENTIATION_NUM_NTAR,MATCH(A43,PT_DIFFERENTIATION_NTAR_ID,0))</f>
        <v>0</v>
      </c>
      <c r="T43" s="810" t="s">
        <v>179</v>
      </c>
      <c r="U43" s="812"/>
      <c r="V43" s="2754"/>
      <c r="W43" s="2755"/>
      <c r="X43" s="2755"/>
      <c r="Y43" s="2755"/>
      <c r="Z43" s="2755"/>
      <c r="AA43" s="2755"/>
      <c r="AB43" s="2755"/>
      <c r="AC43" s="2756"/>
      <c r="AD43" s="2754" t="str">
        <f>INDEX(PT_DIFFERENTIATION_NTAR,MATCH(A43,PT_DIFFERENTIATION_NTAR_ID,0))</f>
        <v/>
      </c>
      <c r="AE43" s="2755"/>
      <c r="AF43" s="2755"/>
      <c r="AG43" s="2755"/>
      <c r="AH43" s="2755"/>
      <c r="AI43" s="2755"/>
      <c r="AJ43" s="2755"/>
      <c r="AK43" s="2755"/>
      <c r="AL43" s="2756"/>
      <c r="AM43" s="177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012"/>
      <c r="AP43" s="1012" t="str">
        <f>IF(T43="","",T43)</f>
        <v>Наименование тарифа</v>
      </c>
      <c r="AQ43" s="1012"/>
      <c r="AR43" s="1012"/>
      <c r="AS43" s="1667">
        <v>21</v>
      </c>
    </row>
    <row customHeight="1" ht="22.049999999999997">
      <c r="A44" s="1875" t="s">
        <v>212</v>
      </c>
      <c r="B44" s="1875" t="s">
        <v>213</v>
      </c>
      <c r="C44" s="1875"/>
      <c r="D44" s="1875"/>
      <c r="E44" s="2771"/>
      <c r="F44" s="2770">
        <v>1</v>
      </c>
      <c r="G44" s="1875"/>
      <c r="H44" s="1875"/>
      <c r="I44" s="1875"/>
      <c r="J44" s="1875"/>
      <c r="K44" s="1875"/>
      <c r="L44" s="1876"/>
      <c r="M44" s="1877"/>
      <c r="N44" s="1877"/>
      <c r="O44" s="1877"/>
      <c r="P44" s="1844"/>
      <c r="Q44" s="864"/>
      <c r="R44" s="865"/>
      <c r="S44" s="1848" t="str">
        <f>INDEX(PT_DIFFERENTIATION_NUM_TER,MATCH(B44,PT_DIFFERENTIATION_TER_ID,0))</f>
        <v>.</v>
      </c>
      <c r="T44" s="820" t="s">
        <v>515</v>
      </c>
      <c r="U44" s="812"/>
      <c r="V44" s="2754"/>
      <c r="W44" s="2755"/>
      <c r="X44" s="2755"/>
      <c r="Y44" s="2755"/>
      <c r="Z44" s="2755"/>
      <c r="AA44" s="2755"/>
      <c r="AB44" s="2755"/>
      <c r="AC44" s="2756"/>
      <c r="AD44" s="2754" t="str">
        <f>INDEX(PT_DIFFERENTIATION_TER,MATCH(B44,PT_DIFFERENTIATION_TER_ID,0))</f>
        <v/>
      </c>
      <c r="AE44" s="2755"/>
      <c r="AF44" s="2755"/>
      <c r="AG44" s="2755"/>
      <c r="AH44" s="2755"/>
      <c r="AI44" s="2755"/>
      <c r="AJ44" s="2755"/>
      <c r="AK44" s="2755"/>
      <c r="AL44" s="2756"/>
      <c r="AM44" s="1770" t="s">
        <v>516</v>
      </c>
      <c r="AO44" s="1012"/>
      <c r="AP44" s="1012" t="str">
        <f>IF(T44="","",T44)</f>
        <v>Территория действия тарифа</v>
      </c>
      <c r="AQ44" s="1012"/>
      <c r="AR44" s="1012"/>
      <c r="AS44" s="1667">
        <v>21</v>
      </c>
    </row>
    <row customHeight="1" ht="24">
      <c r="A45" s="1875" t="s">
        <v>212</v>
      </c>
      <c r="B45" s="1875" t="s">
        <v>213</v>
      </c>
      <c r="C45" s="1875" t="s">
        <v>214</v>
      </c>
      <c r="D45" s="1875"/>
      <c r="E45" s="2771"/>
      <c r="F45" s="2771"/>
      <c r="G45" s="2770">
        <v>1</v>
      </c>
      <c r="H45" s="1875"/>
      <c r="I45" s="1875"/>
      <c r="J45" s="1875"/>
      <c r="K45" s="1875"/>
      <c r="L45" s="1876"/>
      <c r="M45" s="1877"/>
      <c r="N45" s="1877"/>
      <c r="O45" s="1877"/>
      <c r="P45" s="866"/>
      <c r="Q45" s="864"/>
      <c r="R45" s="865"/>
      <c r="S45" s="1848" t="str">
        <f>INDEX(PT_DIFFERENTIATION_NUM_CS,MATCH(C45,PT_DIFFERENTIATION_CS_ID,0))</f>
        <v>..</v>
      </c>
      <c r="T45" s="821" t="s">
        <v>517</v>
      </c>
      <c r="U45" s="812"/>
      <c r="V45" s="2754"/>
      <c r="W45" s="2755"/>
      <c r="X45" s="2755"/>
      <c r="Y45" s="2755"/>
      <c r="Z45" s="2755"/>
      <c r="AA45" s="2755"/>
      <c r="AB45" s="2755"/>
      <c r="AC45" s="2756"/>
      <c r="AD45" s="2754" t="str">
        <f>INDEX(PT_DIFFERENTIATION_CS,MATCH(C45,PT_DIFFERENTIATION_CS_ID,0))</f>
        <v/>
      </c>
      <c r="AE45" s="2755"/>
      <c r="AF45" s="2755"/>
      <c r="AG45" s="2755"/>
      <c r="AH45" s="2755"/>
      <c r="AI45" s="2755"/>
      <c r="AJ45" s="2755"/>
      <c r="AK45" s="2755"/>
      <c r="AL45" s="2756"/>
      <c r="AM45" s="1770" t="s">
        <v>518</v>
      </c>
      <c r="AO45" s="1012"/>
      <c r="AP45" s="1012" t="str">
        <f>IF(T45="","",T45)</f>
        <v>Наименование системы теплоснабжения </v>
      </c>
      <c r="AQ45" s="1012"/>
      <c r="AR45" s="1012"/>
      <c r="AS45" s="1667">
        <v>23</v>
      </c>
    </row>
    <row customHeight="1" ht="22.049999999999997">
      <c r="A46" s="1875" t="s">
        <v>212</v>
      </c>
      <c r="B46" s="1875" t="s">
        <v>213</v>
      </c>
      <c r="C46" s="1875" t="s">
        <v>214</v>
      </c>
      <c r="D46" s="1875" t="s">
        <v>215</v>
      </c>
      <c r="E46" s="2771"/>
      <c r="F46" s="2771"/>
      <c r="G46" s="2771"/>
      <c r="H46" s="2770">
        <v>1</v>
      </c>
      <c r="I46" s="1875"/>
      <c r="J46" s="1875"/>
      <c r="K46" s="1875"/>
      <c r="L46" s="1876"/>
      <c r="M46" s="1877"/>
      <c r="N46" s="1877"/>
      <c r="O46" s="1877"/>
      <c r="P46" s="866"/>
      <c r="Q46" s="864"/>
      <c r="R46" s="865"/>
      <c r="S46" s="1848" t="str">
        <f>INDEX(PT_DIFFERENTIATION_NUM_IST_TE,MATCH(D46,PT_DIFFERENTIATION_IST_TE_ID,0))</f>
        <v>...</v>
      </c>
      <c r="T46" s="822" t="s">
        <v>519</v>
      </c>
      <c r="U46" s="812"/>
      <c r="V46" s="2754"/>
      <c r="W46" s="2755"/>
      <c r="X46" s="2755"/>
      <c r="Y46" s="2755"/>
      <c r="Z46" s="2755"/>
      <c r="AA46" s="2755"/>
      <c r="AB46" s="2755"/>
      <c r="AC46" s="2756"/>
      <c r="AD46" s="2754" t="str">
        <f>INDEX(PT_DIFFERENTIATION_IST_TE,MATCH(D46,PT_DIFFERENTIATION_IST_TE_ID,0))</f>
        <v/>
      </c>
      <c r="AE46" s="2755"/>
      <c r="AF46" s="2755"/>
      <c r="AG46" s="2755"/>
      <c r="AH46" s="2755"/>
      <c r="AI46" s="2755"/>
      <c r="AJ46" s="2755"/>
      <c r="AK46" s="2755"/>
      <c r="AL46" s="2756"/>
      <c r="AM46" s="1770" t="s">
        <v>520</v>
      </c>
      <c r="AO46" s="1012"/>
      <c r="AP46" s="1012" t="str">
        <f>IF(T46="","",T46)</f>
        <v>Источник тепловой энергии  </v>
      </c>
      <c r="AQ46" s="1012"/>
      <c r="AR46" s="1012"/>
      <c r="AS46" s="1667">
        <v>21</v>
      </c>
    </row>
    <row customHeight="1" ht="49.5">
      <c r="A47" s="1875" t="s">
        <v>212</v>
      </c>
      <c r="B47" s="1875" t="s">
        <v>213</v>
      </c>
      <c r="C47" s="1875" t="s">
        <v>214</v>
      </c>
      <c r="D47" s="1875" t="s">
        <v>215</v>
      </c>
      <c r="E47" s="2771"/>
      <c r="F47" s="2771"/>
      <c r="G47" s="2771"/>
      <c r="H47" s="2771"/>
      <c r="I47" s="2768" t="str">
        <f>S46&amp;".1"</f>
        <v>....1</v>
      </c>
      <c r="J47" s="1875"/>
      <c r="K47" s="1875"/>
      <c r="L47" s="1876" t="s">
        <v>521</v>
      </c>
      <c r="P47" s="2769">
        <v>1</v>
      </c>
      <c r="Q47" s="1843"/>
      <c r="R47" s="868"/>
      <c r="S47" s="1848" t="str">
        <f>$I47</f>
        <v>....1</v>
      </c>
      <c r="T47" s="797" t="s">
        <v>522</v>
      </c>
      <c r="U47" s="812"/>
      <c r="V47" s="2757"/>
      <c r="W47" s="2758"/>
      <c r="X47" s="2758"/>
      <c r="Y47" s="2758"/>
      <c r="Z47" s="2758"/>
      <c r="AA47" s="2758"/>
      <c r="AB47" s="2758"/>
      <c r="AC47" s="2759"/>
      <c r="AD47" s="2757"/>
      <c r="AE47" s="2758"/>
      <c r="AF47" s="2758"/>
      <c r="AG47" s="2758"/>
      <c r="AH47" s="2758"/>
      <c r="AI47" s="2758"/>
      <c r="AJ47" s="2758"/>
      <c r="AK47" s="2758"/>
      <c r="AL47" s="2759"/>
      <c r="AM47" s="1770" t="s">
        <v>523</v>
      </c>
      <c r="AO47" s="1012"/>
      <c r="AP47" s="1012" t="str">
        <f>IF(T47="","",T47)</f>
        <v>Схема подключения теплопотребляющей установки к коллектору источника тепловой энергии</v>
      </c>
      <c r="AQ47" s="1012"/>
      <c r="AR47" s="1012"/>
      <c r="AS47" s="1667">
        <v>47</v>
      </c>
    </row>
    <row customHeight="1" ht="22.049999999999997">
      <c r="A48" s="1875" t="s">
        <v>212</v>
      </c>
      <c r="B48" s="1875" t="s">
        <v>213</v>
      </c>
      <c r="C48" s="1875" t="s">
        <v>214</v>
      </c>
      <c r="D48" s="1875" t="s">
        <v>215</v>
      </c>
      <c r="E48" s="2771"/>
      <c r="F48" s="2771"/>
      <c r="G48" s="2771"/>
      <c r="H48" s="2771"/>
      <c r="I48" s="2798"/>
      <c r="J48" s="2768" t="str">
        <f>I47&amp;".1"</f>
        <v>....1.1</v>
      </c>
      <c r="K48" s="1875"/>
      <c r="L48" s="1876" t="s">
        <v>524</v>
      </c>
      <c r="P48" s="2769"/>
      <c r="Q48" s="2769">
        <v>1</v>
      </c>
      <c r="R48" s="869"/>
      <c r="S48" s="1848" t="str">
        <f>$J48</f>
        <v>....1.1</v>
      </c>
      <c r="T48" s="798" t="s">
        <v>525</v>
      </c>
      <c r="U48" s="812"/>
      <c r="V48" s="2757"/>
      <c r="W48" s="2758"/>
      <c r="X48" s="2758"/>
      <c r="Y48" s="2758"/>
      <c r="Z48" s="2758"/>
      <c r="AA48" s="2758"/>
      <c r="AB48" s="2758"/>
      <c r="AC48" s="2759"/>
      <c r="AD48" s="2757"/>
      <c r="AE48" s="2758"/>
      <c r="AF48" s="2758"/>
      <c r="AG48" s="2758"/>
      <c r="AH48" s="2758"/>
      <c r="AI48" s="2758"/>
      <c r="AJ48" s="2758"/>
      <c r="AK48" s="2758"/>
      <c r="AL48" s="2759"/>
      <c r="AM48" s="1770" t="s">
        <v>526</v>
      </c>
      <c r="AO48" s="1012"/>
      <c r="AP48" s="1012" t="str">
        <f>IF(T48="","",T48)</f>
        <v>Группа потребителей</v>
      </c>
      <c r="AQ48" s="1012"/>
      <c r="AR48" s="1012"/>
      <c r="AS48" s="1667">
        <v>21</v>
      </c>
    </row>
    <row customHeight="1" ht="22.049999999999997">
      <c r="A49" s="1875" t="s">
        <v>212</v>
      </c>
      <c r="B49" s="1875" t="s">
        <v>213</v>
      </c>
      <c r="C49" s="1875" t="s">
        <v>214</v>
      </c>
      <c r="D49" s="1875" t="s">
        <v>215</v>
      </c>
      <c r="E49" s="2771"/>
      <c r="F49" s="2771"/>
      <c r="G49" s="2771"/>
      <c r="H49" s="2771"/>
      <c r="I49" s="2798"/>
      <c r="J49" s="2798"/>
      <c r="K49" s="2768" t="str">
        <f>J48&amp;".1"</f>
        <v>....1.1.1</v>
      </c>
      <c r="L49" s="1876" t="s">
        <v>527</v>
      </c>
      <c r="P49" s="2769"/>
      <c r="Q49" s="2769"/>
      <c r="R49" s="869">
        <v>1</v>
      </c>
      <c r="S49" s="1848" t="str">
        <f>$K49</f>
        <v>....1.1.1</v>
      </c>
      <c r="T49" s="1859"/>
      <c r="U49" s="812"/>
      <c r="V49" s="1263"/>
      <c r="W49" s="837"/>
      <c r="X49" s="1263"/>
      <c r="Y49" s="1769"/>
      <c r="Z49" s="2777"/>
      <c r="AA49" s="2619" t="s">
        <v>63</v>
      </c>
      <c r="AB49" s="2777"/>
      <c r="AC49" s="2619" t="s">
        <v>63</v>
      </c>
      <c r="AD49" s="1263"/>
      <c r="AE49" s="837"/>
      <c r="AF49" s="1263"/>
      <c r="AG49" s="1769"/>
      <c r="AH49" s="2777"/>
      <c r="AI49" s="2619" t="s">
        <v>63</v>
      </c>
      <c r="AJ49" s="2799"/>
      <c r="AK49" s="2619" t="s">
        <v>63</v>
      </c>
      <c r="AL49" s="1860"/>
      <c r="AM49" s="2765" t="s">
        <v>528</v>
      </c>
      <c r="AN49" s="1023">
        <f>STRCHECKDATE(V50:AL50)</f>
      </c>
      <c r="AO49" s="1012"/>
      <c r="AP49" s="1012" t="str">
        <f>IF(T49="","",T49)</f>
        <v/>
      </c>
      <c r="AQ49" s="1012"/>
      <c r="AR49" s="1012"/>
      <c r="AS49" s="1667">
        <v>21</v>
      </c>
    </row>
    <row customHeight="1" ht="1.05">
      <c r="A50" s="1875" t="s">
        <v>212</v>
      </c>
      <c r="B50" s="1875" t="s">
        <v>213</v>
      </c>
      <c r="C50" s="1875" t="s">
        <v>214</v>
      </c>
      <c r="D50" s="1875" t="s">
        <v>215</v>
      </c>
      <c r="E50" s="2771"/>
      <c r="F50" s="2771"/>
      <c r="G50" s="2771"/>
      <c r="H50" s="2771"/>
      <c r="I50" s="2798"/>
      <c r="J50" s="2798"/>
      <c r="K50" s="2768"/>
      <c r="L50" s="1876"/>
      <c r="P50" s="2769"/>
      <c r="Q50" s="2769"/>
      <c r="R50" s="869"/>
      <c r="S50" s="1854"/>
      <c r="T50" s="812"/>
      <c r="U50" s="812"/>
      <c r="V50" s="837"/>
      <c r="W50" s="837"/>
      <c r="X50" s="837"/>
      <c r="Y50" s="840" t="str">
        <f>Z49&amp;"-"&amp;AB49</f>
        <v>-</v>
      </c>
      <c r="Z50" s="2778"/>
      <c r="AA50" s="2619"/>
      <c r="AB50" s="2778"/>
      <c r="AC50" s="2619"/>
      <c r="AD50" s="837"/>
      <c r="AE50" s="837"/>
      <c r="AF50" s="837"/>
      <c r="AG50" s="840" t="str">
        <f>AH49&amp;"-"&amp;AJ49</f>
        <v>-</v>
      </c>
      <c r="AH50" s="2778"/>
      <c r="AI50" s="2619"/>
      <c r="AJ50" s="2800"/>
      <c r="AK50" s="2619"/>
      <c r="AL50" s="1861"/>
      <c r="AM50" s="2766"/>
      <c r="AO50" s="1012"/>
      <c r="AP50" s="1012" t="str">
        <f>IF(T50="","",T50)</f>
        <v/>
      </c>
      <c r="AQ50" s="1012"/>
      <c r="AR50" s="1012"/>
      <c r="AS50" s="1667">
        <v>1</v>
      </c>
    </row>
    <row customHeight="1" ht="11.549999999999999">
      <c r="A51" s="1875" t="s">
        <v>212</v>
      </c>
      <c r="B51" s="1875" t="s">
        <v>213</v>
      </c>
      <c r="C51" s="1875" t="s">
        <v>214</v>
      </c>
      <c r="D51" s="1875" t="s">
        <v>215</v>
      </c>
      <c r="E51" s="2771"/>
      <c r="F51" s="2771"/>
      <c r="G51" s="2771"/>
      <c r="H51" s="2771"/>
      <c r="I51" s="2798"/>
      <c r="J51" s="2768"/>
      <c r="K51" s="1875"/>
      <c r="L51" s="1876"/>
      <c r="P51" s="2769"/>
      <c r="Q51" s="2769"/>
      <c r="R51" s="868"/>
      <c r="S51" s="1790"/>
      <c r="T51" s="800" t="s">
        <v>529</v>
      </c>
      <c r="U51" s="879"/>
      <c r="V51" s="879"/>
      <c r="W51" s="879"/>
      <c r="X51" s="879"/>
      <c r="Y51" s="879"/>
      <c r="Z51" s="879"/>
      <c r="AA51" s="879"/>
      <c r="AB51" s="879"/>
      <c r="AC51" s="879"/>
      <c r="AD51" s="879"/>
      <c r="AE51" s="879"/>
      <c r="AF51" s="879"/>
      <c r="AG51" s="879"/>
      <c r="AH51" s="879"/>
      <c r="AI51" s="879"/>
      <c r="AJ51" s="879"/>
      <c r="AK51" s="879"/>
      <c r="AL51" s="836"/>
      <c r="AM51" s="2767"/>
      <c r="AO51" s="1012"/>
      <c r="AP51" s="1012" t="str">
        <f>IF(T51="","",T51)</f>
        <v>Добавить вид теплоносителя (параметры теплоносителя)</v>
      </c>
      <c r="AQ51" s="1012"/>
      <c r="AR51" s="1012"/>
      <c r="AS51" s="1667">
        <v>11</v>
      </c>
    </row>
    <row customHeight="1" ht="11.549999999999999">
      <c r="A52" s="1875" t="s">
        <v>212</v>
      </c>
      <c r="B52" s="1875" t="s">
        <v>213</v>
      </c>
      <c r="C52" s="1875" t="s">
        <v>214</v>
      </c>
      <c r="D52" s="1875" t="s">
        <v>215</v>
      </c>
      <c r="E52" s="2771"/>
      <c r="F52" s="2771"/>
      <c r="G52" s="2771"/>
      <c r="H52" s="2771"/>
      <c r="I52" s="2768"/>
      <c r="J52" s="1875"/>
      <c r="K52" s="1875"/>
      <c r="L52" s="1876"/>
      <c r="P52" s="2769"/>
      <c r="Q52" s="1843"/>
      <c r="R52" s="868"/>
      <c r="S52" s="1790"/>
      <c r="T52" s="799" t="s">
        <v>530</v>
      </c>
      <c r="U52" s="879"/>
      <c r="V52" s="879"/>
      <c r="W52" s="879"/>
      <c r="X52" s="879"/>
      <c r="Y52" s="879"/>
      <c r="Z52" s="879"/>
      <c r="AA52" s="879"/>
      <c r="AB52" s="879"/>
      <c r="AC52" s="878"/>
      <c r="AD52" s="879"/>
      <c r="AE52" s="879"/>
      <c r="AF52" s="879"/>
      <c r="AG52" s="879"/>
      <c r="AH52" s="879"/>
      <c r="AI52" s="879"/>
      <c r="AJ52" s="879"/>
      <c r="AK52" s="878"/>
      <c r="AL52" s="879"/>
      <c r="AM52" s="815"/>
      <c r="AO52" s="1012"/>
      <c r="AP52" s="1012" t="str">
        <f>IF(T52="","",T52)</f>
        <v>Добавить группу потребителей</v>
      </c>
      <c r="AQ52" s="1012"/>
      <c r="AR52" s="1012"/>
      <c r="AS52" s="1667">
        <v>11</v>
      </c>
    </row>
    <row customHeight="1" ht="14.699999999999998">
      <c r="A53" s="1875" t="s">
        <v>212</v>
      </c>
      <c r="B53" s="1875" t="s">
        <v>213</v>
      </c>
      <c r="C53" s="1875" t="s">
        <v>214</v>
      </c>
      <c r="D53" s="1875" t="s">
        <v>215</v>
      </c>
      <c r="E53" s="2771"/>
      <c r="F53" s="2771"/>
      <c r="G53" s="2771"/>
      <c r="H53" s="2770"/>
      <c r="I53" s="1875"/>
      <c r="J53" s="1875"/>
      <c r="K53" s="1875"/>
      <c r="L53" s="1876"/>
      <c r="M53" s="1877"/>
      <c r="N53" s="1877"/>
      <c r="O53" s="1049"/>
      <c r="P53" s="872"/>
      <c r="Q53" s="887"/>
      <c r="R53" s="867"/>
      <c r="S53" s="1790"/>
      <c r="T53" s="877" t="s">
        <v>531</v>
      </c>
      <c r="U53" s="879"/>
      <c r="V53" s="879"/>
      <c r="W53" s="879"/>
      <c r="X53" s="879"/>
      <c r="Y53" s="879"/>
      <c r="Z53" s="879"/>
      <c r="AA53" s="879"/>
      <c r="AB53" s="879"/>
      <c r="AC53" s="878"/>
      <c r="AD53" s="879"/>
      <c r="AE53" s="879"/>
      <c r="AF53" s="879"/>
      <c r="AG53" s="879"/>
      <c r="AH53" s="879"/>
      <c r="AI53" s="879"/>
      <c r="AJ53" s="879"/>
      <c r="AK53" s="878"/>
      <c r="AL53" s="879"/>
      <c r="AM53" s="815"/>
      <c r="AO53" s="1012"/>
      <c r="AP53" s="1012" t="str">
        <f>IF(T53="","",T53)</f>
        <v>Добавить схему подключения</v>
      </c>
      <c r="AQ53" s="1012"/>
      <c r="AR53" s="1012"/>
      <c r="AS53" s="1667">
        <v>14</v>
      </c>
    </row>
    <row s="46890" customFormat="1" customHeight="1" ht="1.05">
      <c r="A54" s="1855" t="s">
        <v>212</v>
      </c>
      <c r="B54" s="1855" t="s">
        <v>213</v>
      </c>
      <c r="C54" s="1855" t="s">
        <v>214</v>
      </c>
      <c r="D54" s="1826"/>
      <c r="E54" s="2771"/>
      <c r="F54" s="2771"/>
      <c r="G54" s="2770"/>
      <c r="H54" s="1826"/>
      <c r="I54" s="1826"/>
      <c r="J54" s="1826"/>
      <c r="K54" s="1826"/>
      <c r="L54" s="1851"/>
      <c r="M54" s="1827"/>
      <c r="N54" s="1827"/>
      <c r="P54" s="1828"/>
      <c r="Q54" s="1829"/>
      <c r="R54" s="1828"/>
      <c r="S54" s="1834"/>
      <c r="T54" s="1837" t="s">
        <v>532</v>
      </c>
      <c r="U54" s="1836"/>
      <c r="V54" s="1836"/>
      <c r="W54" s="1836"/>
      <c r="X54" s="1836"/>
      <c r="Y54" s="1836"/>
      <c r="Z54" s="1836"/>
      <c r="AA54" s="1836"/>
      <c r="AB54" s="1836"/>
      <c r="AC54" s="1836"/>
      <c r="AD54" s="1836"/>
      <c r="AE54" s="1836"/>
      <c r="AF54" s="1836"/>
      <c r="AG54" s="1836"/>
      <c r="AH54" s="1836"/>
      <c r="AI54" s="1836"/>
      <c r="AJ54" s="1836"/>
      <c r="AK54" s="1836"/>
      <c r="AL54" s="1836"/>
      <c r="AM54" s="1836"/>
      <c r="AO54" s="1301"/>
      <c r="AP54" s="1301" t="str">
        <f>IF(T54="","",T54)</f>
        <v>Добавить источник для дифференциации</v>
      </c>
      <c r="AQ54" s="1301"/>
      <c r="AR54" s="1301"/>
      <c r="AS54" s="1030">
        <v>1</v>
      </c>
    </row>
    <row s="46890" customFormat="1" customHeight="1" ht="1.05">
      <c r="A55" s="1855" t="s">
        <v>212</v>
      </c>
      <c r="B55" s="1855" t="s">
        <v>213</v>
      </c>
      <c r="C55" s="1826"/>
      <c r="D55" s="1826"/>
      <c r="E55" s="2771"/>
      <c r="F55" s="2770"/>
      <c r="G55" s="1826"/>
      <c r="H55" s="1826"/>
      <c r="I55" s="1826"/>
      <c r="J55" s="1826"/>
      <c r="K55" s="1826"/>
      <c r="L55" s="1851"/>
      <c r="M55" s="1833"/>
      <c r="N55" s="1833"/>
      <c r="P55" s="1828"/>
      <c r="Q55" s="1829"/>
      <c r="R55" s="1828"/>
      <c r="S55" s="1834"/>
      <c r="T55" s="1837" t="s">
        <v>321</v>
      </c>
      <c r="U55" s="1836"/>
      <c r="V55" s="1836"/>
      <c r="W55" s="1836"/>
      <c r="X55" s="1836"/>
      <c r="Y55" s="1836"/>
      <c r="Z55" s="1836"/>
      <c r="AA55" s="1836"/>
      <c r="AB55" s="1836"/>
      <c r="AC55" s="1836"/>
      <c r="AD55" s="1836"/>
      <c r="AE55" s="1836"/>
      <c r="AF55" s="1836"/>
      <c r="AG55" s="1836"/>
      <c r="AH55" s="1836"/>
      <c r="AI55" s="1836"/>
      <c r="AJ55" s="1836"/>
      <c r="AK55" s="1836"/>
      <c r="AL55" s="1836"/>
      <c r="AM55" s="1836"/>
      <c r="AO55" s="1301"/>
      <c r="AP55" s="1301" t="str">
        <f>IF(T55="","",T55)</f>
        <v>Добавить централизованную систему для дифференциации</v>
      </c>
      <c r="AQ55" s="1301"/>
      <c r="AR55" s="1301"/>
      <c r="AS55" s="1030">
        <v>1</v>
      </c>
    </row>
    <row s="46890" customFormat="1" customHeight="1" ht="1.05">
      <c r="A56" s="1855" t="s">
        <v>212</v>
      </c>
      <c r="B56" s="1855"/>
      <c r="C56" s="1855"/>
      <c r="D56" s="1855"/>
      <c r="E56" s="2770"/>
      <c r="F56" s="1855"/>
      <c r="G56" s="1855"/>
      <c r="H56" s="1855"/>
      <c r="I56" s="1855"/>
      <c r="J56" s="1855"/>
      <c r="K56" s="1855"/>
      <c r="L56" s="1858"/>
      <c r="M56" s="1833"/>
      <c r="N56" s="1833"/>
      <c r="O56" s="1030"/>
      <c r="P56" s="892"/>
      <c r="Q56" s="1856"/>
      <c r="R56" s="892"/>
      <c r="S56" s="1834"/>
      <c r="T56" s="1837" t="s">
        <v>385</v>
      </c>
      <c r="U56" s="1836"/>
      <c r="V56" s="1836"/>
      <c r="W56" s="1836"/>
      <c r="X56" s="1836"/>
      <c r="Y56" s="1836"/>
      <c r="Z56" s="1836"/>
      <c r="AA56" s="1836"/>
      <c r="AB56" s="1836"/>
      <c r="AC56" s="1836"/>
      <c r="AD56" s="1836"/>
      <c r="AE56" s="1836"/>
      <c r="AF56" s="1836"/>
      <c r="AG56" s="1836"/>
      <c r="AH56" s="1836"/>
      <c r="AI56" s="1836"/>
      <c r="AJ56" s="1836"/>
      <c r="AK56" s="1836"/>
      <c r="AL56" s="1836"/>
      <c r="AM56" s="1836"/>
      <c r="AO56" s="1012"/>
      <c r="AP56" s="1012" t="str">
        <f>IF(T56="","",T56)</f>
        <v>Добавить территорию для дифференциации</v>
      </c>
      <c r="AQ56" s="1012"/>
      <c r="AR56" s="1012"/>
      <c r="AS56" s="1023">
        <v>1</v>
      </c>
    </row>
    <row s="46890" customFormat="1" customHeight="1" ht="1.05">
      <c r="A57" s="1826"/>
      <c r="B57" s="1826"/>
      <c r="C57" s="1826"/>
      <c r="D57" s="1826"/>
      <c r="E57" s="1855"/>
      <c r="F57" s="1826"/>
      <c r="G57" s="1826"/>
      <c r="H57" s="1826"/>
      <c r="I57" s="1826"/>
      <c r="J57" s="1826"/>
      <c r="K57" s="1826"/>
      <c r="L57" s="1851"/>
      <c r="M57" s="1833"/>
      <c r="N57" s="1833"/>
      <c r="P57" s="1828"/>
      <c r="Q57" s="1829"/>
      <c r="R57" s="1828"/>
      <c r="S57" s="1834"/>
      <c r="T57" s="1837" t="s">
        <v>386</v>
      </c>
      <c r="U57" s="1836"/>
      <c r="V57" s="1836"/>
      <c r="W57" s="1836"/>
      <c r="X57" s="1836"/>
      <c r="Y57" s="1836"/>
      <c r="Z57" s="1836"/>
      <c r="AA57" s="1836"/>
      <c r="AB57" s="1836"/>
      <c r="AC57" s="1836"/>
      <c r="AD57" s="1836"/>
      <c r="AE57" s="1836"/>
      <c r="AF57" s="1836"/>
      <c r="AG57" s="1836"/>
      <c r="AH57" s="1836"/>
      <c r="AI57" s="1836"/>
      <c r="AJ57" s="1836"/>
      <c r="AK57" s="1836"/>
      <c r="AL57" s="1836"/>
      <c r="AM57" s="1836"/>
      <c r="AO57" s="1301"/>
      <c r="AP57" s="1301" t="str">
        <f>IF(T57="","",T57)</f>
        <v>Добавить наименование тарифа</v>
      </c>
      <c r="AQ57" s="1301"/>
      <c r="AR57" s="1301"/>
      <c r="AS57" s="1030">
        <v>1</v>
      </c>
    </row>
    <row customHeight="1" ht="11.549999999999999">
      <c r="M58" s="1672"/>
      <c r="N58" s="1672"/>
      <c r="O58" s="1049"/>
      <c r="P58" s="1667"/>
      <c r="Q58" s="1667"/>
      <c r="R58" s="1667"/>
      <c r="S58" s="1667"/>
      <c r="AN58" s="1667"/>
      <c r="AO58" s="1667"/>
      <c r="AP58" s="1667"/>
      <c r="AQ58" s="1667"/>
      <c r="AR58" s="1667"/>
      <c r="AS58" s="1667">
        <v>11</v>
      </c>
    </row>
    <row customHeight="1" ht="28.5">
      <c r="O59" s="1049"/>
      <c r="S59" s="1765"/>
      <c r="T59" s="2797"/>
      <c r="U59" s="2797"/>
      <c r="V59" s="2797"/>
      <c r="W59" s="2797"/>
      <c r="X59" s="2797"/>
      <c r="Y59" s="2797"/>
      <c r="Z59" s="2797"/>
      <c r="AA59" s="2797"/>
      <c r="AB59" s="2797"/>
      <c r="AC59" s="2797"/>
      <c r="AD59" s="2797"/>
      <c r="AE59" s="2797"/>
      <c r="AF59" s="2797"/>
      <c r="AG59" s="2797"/>
      <c r="AH59" s="2797"/>
      <c r="AI59" s="2797"/>
      <c r="AJ59" s="2797"/>
      <c r="AK59" s="2797"/>
      <c r="AL59" s="2797"/>
      <c r="AM59" s="2797"/>
      <c r="AS59" s="1667">
        <v>27</v>
      </c>
    </row>
    <row customHeight="1" ht="65.25">
      <c r="O60" s="1049"/>
      <c r="T60" s="2797"/>
      <c r="U60" s="2797"/>
      <c r="V60" s="2797"/>
      <c r="W60" s="2797"/>
      <c r="X60" s="2797"/>
      <c r="Y60" s="2797"/>
      <c r="Z60" s="2797"/>
      <c r="AA60" s="2797"/>
      <c r="AB60" s="2797"/>
      <c r="AC60" s="2797"/>
      <c r="AD60" s="2797"/>
      <c r="AE60" s="2797"/>
      <c r="AF60" s="2797"/>
      <c r="AG60" s="2797"/>
      <c r="AH60" s="2797"/>
      <c r="AI60" s="2797"/>
      <c r="AJ60" s="2797"/>
      <c r="AK60" s="2797"/>
      <c r="AL60" s="2797"/>
      <c r="AM60" s="2797"/>
      <c r="AS60" s="1667">
        <v>62</v>
      </c>
    </row>
    <row customHeight="1" ht="14.699999999999998">
      <c r="O61" s="1049"/>
      <c r="AS61" s="1667">
        <v>14</v>
      </c>
    </row>
    <row customHeight="1" ht="18.75">
      <c r="O62" s="1049"/>
      <c r="S62" s="1765"/>
      <c r="T62" s="2797"/>
      <c r="U62" s="2797"/>
      <c r="V62" s="2797"/>
      <c r="W62" s="2797"/>
      <c r="X62" s="2797"/>
      <c r="Y62" s="2797"/>
      <c r="Z62" s="2797"/>
      <c r="AA62" s="2797"/>
      <c r="AB62" s="2797"/>
      <c r="AC62" s="2797"/>
      <c r="AD62" s="2797"/>
      <c r="AE62" s="2797"/>
      <c r="AF62" s="2797"/>
      <c r="AG62" s="2797"/>
      <c r="AH62" s="2797"/>
      <c r="AI62" s="2797"/>
      <c r="AJ62" s="2797"/>
      <c r="AK62" s="2797"/>
      <c r="AL62" s="2797"/>
      <c r="AM62" s="2797"/>
      <c r="AS62" s="1667">
        <v>18</v>
      </c>
    </row>
    <row customHeight="1" ht="18.75">
      <c r="O63" s="1049"/>
      <c r="T63" s="2797"/>
      <c r="U63" s="2797"/>
      <c r="V63" s="2797"/>
      <c r="W63" s="2797"/>
      <c r="X63" s="2797"/>
      <c r="Y63" s="2797"/>
      <c r="Z63" s="2797"/>
      <c r="AA63" s="2797"/>
      <c r="AB63" s="2797"/>
      <c r="AC63" s="2797"/>
      <c r="AD63" s="2797"/>
      <c r="AE63" s="2797"/>
      <c r="AF63" s="2797"/>
      <c r="AG63" s="2797"/>
      <c r="AH63" s="2797"/>
      <c r="AI63" s="2797"/>
      <c r="AJ63" s="2797"/>
      <c r="AK63" s="2797"/>
      <c r="AL63" s="2797"/>
      <c r="AM63" s="2797"/>
      <c r="AS63" s="1667">
        <v>18</v>
      </c>
    </row>
    <row customHeight="1" ht="29.25">
      <c r="O64" s="1049"/>
      <c r="S64" s="1765"/>
      <c r="T64" s="2797"/>
      <c r="U64" s="2797"/>
      <c r="V64" s="2797"/>
      <c r="W64" s="2797"/>
      <c r="X64" s="2797"/>
      <c r="Y64" s="2797"/>
      <c r="Z64" s="2797"/>
      <c r="AA64" s="2797"/>
      <c r="AB64" s="2797"/>
      <c r="AC64" s="2797"/>
      <c r="AD64" s="2797"/>
      <c r="AE64" s="2797"/>
      <c r="AF64" s="2797"/>
      <c r="AG64" s="2797"/>
      <c r="AH64" s="2797"/>
      <c r="AI64" s="2797"/>
      <c r="AJ64" s="2797"/>
      <c r="AK64" s="2797"/>
      <c r="AL64" s="2797"/>
      <c r="AM64" s="2797"/>
      <c r="AS64" s="1667">
        <v>28</v>
      </c>
    </row>
    <row customHeight="1" ht="22.5" hidden="1">
      <c r="A65" s="1672" t="s">
        <v>84</v>
      </c>
      <c r="B65" s="1672">
        <v>0</v>
      </c>
      <c r="C65" s="1672">
        <v>0</v>
      </c>
      <c r="D65" s="1672">
        <v>0</v>
      </c>
      <c r="E65" s="1672">
        <v>0</v>
      </c>
      <c r="F65" s="1672">
        <v>0</v>
      </c>
      <c r="G65" s="1672">
        <v>0</v>
      </c>
      <c r="H65" s="1672">
        <v>0</v>
      </c>
      <c r="I65" s="1672">
        <v>0</v>
      </c>
      <c r="J65" s="1672">
        <v>0</v>
      </c>
      <c r="K65" s="1672">
        <v>0</v>
      </c>
      <c r="L65" s="1841">
        <v>0</v>
      </c>
      <c r="M65" s="1874">
        <v>0</v>
      </c>
      <c r="N65" s="1874">
        <v>0</v>
      </c>
      <c r="O65" s="1874">
        <v>0</v>
      </c>
      <c r="P65" s="1840">
        <v>3</v>
      </c>
      <c r="Q65" s="856">
        <v>3</v>
      </c>
      <c r="R65" s="856">
        <v>3</v>
      </c>
      <c r="S65" s="1093">
        <v>12</v>
      </c>
      <c r="T65" s="1667">
        <v>31</v>
      </c>
      <c r="U65" s="1667">
        <v>0</v>
      </c>
      <c r="V65" s="1667">
        <v>0</v>
      </c>
      <c r="W65" s="1667">
        <v>0</v>
      </c>
      <c r="X65" s="1667">
        <v>0</v>
      </c>
      <c r="Y65" s="1667">
        <v>0</v>
      </c>
      <c r="Z65" s="1667">
        <v>0</v>
      </c>
      <c r="AA65" s="1667">
        <v>0</v>
      </c>
      <c r="AB65" s="1667">
        <v>0</v>
      </c>
      <c r="AC65" s="1667">
        <v>0</v>
      </c>
      <c r="AD65" s="1667">
        <v>24</v>
      </c>
      <c r="AE65" s="1667">
        <v>0</v>
      </c>
      <c r="AF65" s="1667">
        <v>24</v>
      </c>
      <c r="AG65" s="1667">
        <v>24</v>
      </c>
      <c r="AH65" s="1667">
        <v>11</v>
      </c>
      <c r="AI65" s="1667">
        <v>3</v>
      </c>
      <c r="AJ65" s="1667">
        <v>11</v>
      </c>
      <c r="AK65" s="1667">
        <v>0</v>
      </c>
      <c r="AL65" s="1667">
        <v>4</v>
      </c>
      <c r="AM65" s="1667">
        <v>115</v>
      </c>
      <c r="AN65" s="1023">
        <v>10</v>
      </c>
      <c r="AO65" s="1023">
        <v>10</v>
      </c>
      <c r="AP65" s="1023">
        <v>10</v>
      </c>
      <c r="AQ65" s="1023">
        <v>10</v>
      </c>
      <c r="AR65" s="1023">
        <v>10</v>
      </c>
      <c r="AS65" s="1667">
        <v>23</v>
      </c>
    </row>
  </sheetData>
  <sheetProtection formatColumns="0" formatRows="0" autoFilter="0" sort="0" insertRows="0" insertColumns="1" deleteRows="0" deleteColumns="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6B8DE41-F7EB-3781-5B39-1BE78009B46E}"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46808" width="10.57421875" hidden="1"/>
    <col min="2" max="2" style="46808" width="11.00390625" hidden="1" customWidth="1"/>
    <col min="3" max="3" style="46808" width="10.57421875" hidden="1"/>
    <col min="4" max="4" style="46808" width="11.8515625" hidden="1" customWidth="1"/>
    <col min="5" max="5" style="46808" width="10.00390625" hidden="1" customWidth="1"/>
    <col min="6" max="6" style="46808" width="8.7109375" hidden="1" customWidth="1"/>
    <col min="7" max="7" style="46808" width="7.57421875" hidden="1" customWidth="1"/>
    <col min="8" max="8" style="46808" width="11.421875" hidden="1" customWidth="1"/>
    <col min="9" max="9" style="46808" width="12.00390625" hidden="1" customWidth="1"/>
    <col min="10" max="10" style="46808" width="9.8515625" hidden="1" customWidth="1"/>
    <col min="11" max="11" style="46808" width="11.421875" hidden="1" customWidth="1"/>
    <col min="12" max="12" style="46887" width="19.140625" hidden="1" customWidth="1"/>
    <col min="13" max="14" style="47740" width="12.28125" hidden="1" customWidth="1"/>
    <col min="15" max="15" style="47740" width="23.421875" hidden="1" customWidth="1"/>
    <col min="16" max="16" style="47740" width="3.00390625" customWidth="1"/>
    <col min="17" max="18" style="47741" width="3.00390625" customWidth="1"/>
    <col min="19" max="19" style="47742" width="12.00390625" customWidth="1"/>
    <col min="20" max="20" style="46808" width="31.00390625" customWidth="1"/>
    <col min="21" max="21" style="46808" width="0.140625" customWidth="1"/>
    <col min="22" max="22" style="46808" width="24.7109375" hidden="1" customWidth="1"/>
    <col min="23" max="23" style="46808" width="0.140625" hidden="1" customWidth="1"/>
    <col min="24" max="25" style="46808" width="24.7109375" hidden="1" customWidth="1"/>
    <col min="26" max="26" style="46808" width="11.7109375" hidden="1" customWidth="1"/>
    <col min="27" max="27" style="46808" width="3.7109375" hidden="1" customWidth="1"/>
    <col min="28" max="28" style="46808" width="11.7109375" hidden="1" customWidth="1"/>
    <col min="29" max="29" style="46808" width="8.57421875" hidden="1" customWidth="1"/>
    <col min="30" max="30" style="46808" width="24.7109375" customWidth="1"/>
    <col min="31" max="31" style="46808" width="0.140625" customWidth="1"/>
    <col min="32" max="33" style="46808" width="24.00390625" customWidth="1"/>
    <col min="34" max="34" style="46808" width="11.00390625" customWidth="1"/>
    <col min="35" max="35" style="46808" width="3.7109375" customWidth="1"/>
    <col min="36" max="36" style="46808" width="11.00390625" customWidth="1"/>
    <col min="37" max="37" style="46808" width="8.57421875" hidden="1" customWidth="1"/>
    <col min="38" max="38" style="46808" width="4.00390625" customWidth="1"/>
    <col min="39" max="39" style="46808" width="115.00390625" customWidth="1"/>
    <col min="40" max="44" style="46890" width="10.00390625" customWidth="1"/>
    <col min="45" max="45" style="46808" width="10.57421875" hidden="1"/>
  </cols>
  <sheetData>
    <row customHeight="1" ht="22.5" hidden="1">
      <c r="AS1" s="2143" t="s">
        <v>14</v>
      </c>
    </row>
    <row customHeight="1" ht="21" hidden="1">
      <c r="A2" s="1779"/>
      <c r="B2" s="1779"/>
      <c r="C2" s="1779"/>
      <c r="D2" s="1779"/>
      <c r="E2" s="2801">
        <v>1</v>
      </c>
      <c r="F2" s="1779"/>
      <c r="G2" s="1779"/>
      <c r="H2" s="1779"/>
      <c r="I2" s="1779"/>
      <c r="J2" s="1779"/>
      <c r="K2" s="1779"/>
      <c r="L2" s="1822"/>
      <c r="M2" s="2122"/>
      <c r="N2" s="2122"/>
      <c r="O2" s="2122"/>
      <c r="P2" s="2102"/>
      <c r="Q2" s="872"/>
      <c r="R2" s="867"/>
      <c r="S2" s="2470">
        <f>INDEX(PT_DIFFERENTIATION_NUM_NTAR,MATCH(A2,PT_DIFFERENTIATION_NTAR_ID,0))</f>
      </c>
      <c r="T2" s="2037" t="s">
        <v>179</v>
      </c>
      <c r="U2" s="812"/>
      <c r="V2" s="2754"/>
      <c r="W2" s="2755"/>
      <c r="X2" s="2755"/>
      <c r="Y2" s="2755"/>
      <c r="Z2" s="2755"/>
      <c r="AA2" s="2755"/>
      <c r="AB2" s="2755"/>
      <c r="AC2" s="2756"/>
      <c r="AD2" s="2754">
        <f>INDEX(PT_DIFFERENTIATION_NTAR,MATCH(A2,PT_DIFFERENTIATION_NTAR_ID,0))</f>
      </c>
      <c r="AE2" s="2755"/>
      <c r="AF2" s="2755"/>
      <c r="AG2" s="2755"/>
      <c r="AH2" s="2755"/>
      <c r="AI2" s="2755"/>
      <c r="AJ2" s="2755"/>
      <c r="AK2" s="2755"/>
      <c r="AL2" s="2756"/>
      <c r="AM2" s="1770" t="s">
        <v>514</v>
      </c>
      <c r="AO2" s="2136"/>
      <c r="AP2" s="2136" t="str">
        <f>IF(T2="","",T2)</f>
        <v>Наименование тарифа</v>
      </c>
      <c r="AQ2" s="2136"/>
      <c r="AR2" s="2136"/>
      <c r="AS2" s="2143">
        <v>0</v>
      </c>
    </row>
    <row customHeight="1" ht="21" hidden="1">
      <c r="A3" s="1779"/>
      <c r="B3" s="1779"/>
      <c r="C3" s="1779"/>
      <c r="D3" s="1779"/>
      <c r="E3" s="2802"/>
      <c r="F3" s="2801">
        <v>1</v>
      </c>
      <c r="G3" s="1779"/>
      <c r="H3" s="1779"/>
      <c r="I3" s="1779"/>
      <c r="J3" s="1779"/>
      <c r="K3" s="1779"/>
      <c r="L3" s="1822"/>
      <c r="M3" s="2122"/>
      <c r="N3" s="2122"/>
      <c r="O3" s="2122"/>
      <c r="P3" s="2452"/>
      <c r="Q3" s="864"/>
      <c r="R3" s="865"/>
      <c r="S3" s="2470">
        <f>INDEX(PT_DIFFERENTIATION_NUM_TER,MATCH(B3,PT_DIFFERENTIATION_TER_ID,0))</f>
      </c>
      <c r="T3" s="2034" t="s">
        <v>515</v>
      </c>
      <c r="U3" s="812"/>
      <c r="V3" s="2754"/>
      <c r="W3" s="2755"/>
      <c r="X3" s="2755"/>
      <c r="Y3" s="2755"/>
      <c r="Z3" s="2755"/>
      <c r="AA3" s="2755"/>
      <c r="AB3" s="2755"/>
      <c r="AC3" s="2756"/>
      <c r="AD3" s="2754">
        <f>INDEX(PT_DIFFERENTIATION_TER,MATCH(B3,PT_DIFFERENTIATION_TER_ID,0))</f>
      </c>
      <c r="AE3" s="2755"/>
      <c r="AF3" s="2755"/>
      <c r="AG3" s="2755"/>
      <c r="AH3" s="2755"/>
      <c r="AI3" s="2755"/>
      <c r="AJ3" s="2755"/>
      <c r="AK3" s="2755"/>
      <c r="AL3" s="2756"/>
      <c r="AM3" s="1770" t="s">
        <v>516</v>
      </c>
      <c r="AO3" s="2136"/>
      <c r="AP3" s="2136" t="str">
        <f>IF(T3="","",T3)</f>
        <v>Территория действия тарифа</v>
      </c>
      <c r="AQ3" s="2136"/>
      <c r="AR3" s="2136"/>
      <c r="AS3" s="2143">
        <v>0</v>
      </c>
    </row>
    <row customHeight="1" ht="23.25" hidden="1">
      <c r="A4" s="1779"/>
      <c r="B4" s="1779"/>
      <c r="C4" s="1779"/>
      <c r="D4" s="1779"/>
      <c r="E4" s="2802"/>
      <c r="F4" s="2802"/>
      <c r="G4" s="2801">
        <v>1</v>
      </c>
      <c r="H4" s="1779"/>
      <c r="I4" s="1779"/>
      <c r="J4" s="1779"/>
      <c r="K4" s="1779"/>
      <c r="L4" s="1822"/>
      <c r="M4" s="2122"/>
      <c r="N4" s="2122"/>
      <c r="O4" s="2122"/>
      <c r="P4" s="866"/>
      <c r="Q4" s="864"/>
      <c r="R4" s="865"/>
      <c r="S4" s="2470">
        <f>INDEX(PT_DIFFERENTIATION_NUM_CS,MATCH(C4,PT_DIFFERENTIATION_CS_ID,0))</f>
      </c>
      <c r="T4" s="821" t="s">
        <v>517</v>
      </c>
      <c r="U4" s="812"/>
      <c r="V4" s="2754"/>
      <c r="W4" s="2755"/>
      <c r="X4" s="2755"/>
      <c r="Y4" s="2755"/>
      <c r="Z4" s="2755"/>
      <c r="AA4" s="2755"/>
      <c r="AB4" s="2755"/>
      <c r="AC4" s="2756"/>
      <c r="AD4" s="2754">
        <f>INDEX(PT_DIFFERENTIATION_CS,MATCH(C4,PT_DIFFERENTIATION_CS_ID,0))</f>
      </c>
      <c r="AE4" s="2755"/>
      <c r="AF4" s="2755"/>
      <c r="AG4" s="2755"/>
      <c r="AH4" s="2755"/>
      <c r="AI4" s="2755"/>
      <c r="AJ4" s="2755"/>
      <c r="AK4" s="2755"/>
      <c r="AL4" s="2756"/>
      <c r="AM4" s="1770" t="s">
        <v>518</v>
      </c>
      <c r="AO4" s="2136"/>
      <c r="AP4" s="2136" t="str">
        <f>IF(T4="","",T4)</f>
        <v>Наименование системы теплоснабжения </v>
      </c>
      <c r="AQ4" s="2136"/>
      <c r="AR4" s="2136"/>
      <c r="AS4" s="2143">
        <v>0</v>
      </c>
    </row>
    <row customHeight="1" ht="21" hidden="1">
      <c r="A5" s="1779"/>
      <c r="B5" s="1779"/>
      <c r="C5" s="1779"/>
      <c r="D5" s="1779"/>
      <c r="E5" s="2802"/>
      <c r="F5" s="2802"/>
      <c r="G5" s="2802"/>
      <c r="H5" s="2801">
        <v>1</v>
      </c>
      <c r="I5" s="1779"/>
      <c r="J5" s="1779"/>
      <c r="K5" s="1779"/>
      <c r="L5" s="1822"/>
      <c r="M5" s="2122"/>
      <c r="N5" s="2122"/>
      <c r="O5" s="2122"/>
      <c r="P5" s="866"/>
      <c r="Q5" s="864"/>
      <c r="R5" s="865"/>
      <c r="S5" s="2470">
        <f>INDEX(PT_DIFFERENTIATION_NUM_IST_TE,MATCH(D5,PT_DIFFERENTIATION_IST_TE_ID,0))</f>
      </c>
      <c r="T5" s="822" t="s">
        <v>519</v>
      </c>
      <c r="U5" s="812"/>
      <c r="V5" s="2754"/>
      <c r="W5" s="2755"/>
      <c r="X5" s="2755"/>
      <c r="Y5" s="2755"/>
      <c r="Z5" s="2755"/>
      <c r="AA5" s="2755"/>
      <c r="AB5" s="2755"/>
      <c r="AC5" s="2756"/>
      <c r="AD5" s="2754">
        <f>INDEX(PT_DIFFERENTIATION_IST_TE,MATCH(D5,PT_DIFFERENTIATION_IST_TE_ID,0))</f>
      </c>
      <c r="AE5" s="2755"/>
      <c r="AF5" s="2755"/>
      <c r="AG5" s="2755"/>
      <c r="AH5" s="2755"/>
      <c r="AI5" s="2755"/>
      <c r="AJ5" s="2755"/>
      <c r="AK5" s="2755"/>
      <c r="AL5" s="2756"/>
      <c r="AM5" s="1770" t="s">
        <v>520</v>
      </c>
      <c r="AO5" s="2136"/>
      <c r="AP5" s="2136" t="str">
        <f>IF(T5="","",T5)</f>
        <v>Источник тепловой энергии  </v>
      </c>
      <c r="AQ5" s="2136"/>
      <c r="AR5" s="2136"/>
      <c r="AS5" s="2143">
        <v>0</v>
      </c>
    </row>
    <row customHeight="1" ht="47.25" hidden="1">
      <c r="A6" s="1779"/>
      <c r="B6" s="1779"/>
      <c r="C6" s="1779"/>
      <c r="D6" s="1779"/>
      <c r="E6" s="2802"/>
      <c r="F6" s="2802"/>
      <c r="G6" s="2802"/>
      <c r="H6" s="2802"/>
      <c r="I6" s="2639">
        <f>S5&amp;".1"</f>
      </c>
      <c r="J6" s="1779"/>
      <c r="K6" s="1779"/>
      <c r="L6" s="1822" t="s">
        <v>521</v>
      </c>
      <c r="M6" s="2147"/>
      <c r="P6" s="2769">
        <v>1</v>
      </c>
      <c r="Q6" s="2466"/>
      <c r="R6" s="868"/>
      <c r="S6" s="2470">
        <f>$I6</f>
      </c>
      <c r="T6" s="797" t="s">
        <v>522</v>
      </c>
      <c r="U6" s="812"/>
      <c r="V6" s="2757"/>
      <c r="W6" s="2758"/>
      <c r="X6" s="2758"/>
      <c r="Y6" s="2758"/>
      <c r="Z6" s="2758"/>
      <c r="AA6" s="2758"/>
      <c r="AB6" s="2758"/>
      <c r="AC6" s="2759"/>
      <c r="AD6" s="2757"/>
      <c r="AE6" s="2758"/>
      <c r="AF6" s="2758"/>
      <c r="AG6" s="2758"/>
      <c r="AH6" s="2758"/>
      <c r="AI6" s="2758"/>
      <c r="AJ6" s="2758"/>
      <c r="AK6" s="2758"/>
      <c r="AL6" s="2759"/>
      <c r="AM6" s="1770" t="s">
        <v>523</v>
      </c>
      <c r="AO6" s="2136"/>
      <c r="AP6" s="2136" t="str">
        <f>IF(T6="","",T6)</f>
        <v>Схема подключения теплопотребляющей установки к коллектору источника тепловой энергии</v>
      </c>
      <c r="AQ6" s="2136"/>
      <c r="AR6" s="2136"/>
      <c r="AS6" s="2143">
        <v>0</v>
      </c>
    </row>
    <row customHeight="1" ht="21" hidden="1">
      <c r="A7" s="1779"/>
      <c r="B7" s="1779"/>
      <c r="C7" s="1779"/>
      <c r="D7" s="1779"/>
      <c r="E7" s="2802"/>
      <c r="F7" s="2802"/>
      <c r="G7" s="2802"/>
      <c r="H7" s="2802"/>
      <c r="I7" s="2613"/>
      <c r="J7" s="2639">
        <f>I6&amp;".1"</f>
      </c>
      <c r="K7" s="1779"/>
      <c r="L7" s="1822" t="s">
        <v>524</v>
      </c>
      <c r="M7" s="2147"/>
      <c r="N7" s="2143"/>
      <c r="P7" s="2769"/>
      <c r="Q7" s="2769">
        <v>1</v>
      </c>
      <c r="R7" s="869"/>
      <c r="S7" s="2470">
        <f>$J7</f>
      </c>
      <c r="T7" s="798" t="s">
        <v>525</v>
      </c>
      <c r="U7" s="812"/>
      <c r="V7" s="2757"/>
      <c r="W7" s="2758"/>
      <c r="X7" s="2758"/>
      <c r="Y7" s="2758"/>
      <c r="Z7" s="2758"/>
      <c r="AA7" s="2758"/>
      <c r="AB7" s="2758"/>
      <c r="AC7" s="2759"/>
      <c r="AD7" s="2757"/>
      <c r="AE7" s="2758"/>
      <c r="AF7" s="2758"/>
      <c r="AG7" s="2758"/>
      <c r="AH7" s="2758"/>
      <c r="AI7" s="2758"/>
      <c r="AJ7" s="2758"/>
      <c r="AK7" s="2758"/>
      <c r="AL7" s="2759"/>
      <c r="AM7" s="1770" t="s">
        <v>526</v>
      </c>
      <c r="AO7" s="2136"/>
      <c r="AP7" s="2136" t="str">
        <f>IF(T7="","",T7)</f>
        <v>Группа потребителей</v>
      </c>
      <c r="AQ7" s="2136"/>
      <c r="AR7" s="2136"/>
      <c r="AS7" s="2143">
        <v>0</v>
      </c>
    </row>
    <row customHeight="1" ht="21" hidden="1">
      <c r="A8" s="1779"/>
      <c r="B8" s="1779"/>
      <c r="C8" s="1779"/>
      <c r="D8" s="1779"/>
      <c r="E8" s="2802"/>
      <c r="F8" s="2802"/>
      <c r="G8" s="2802"/>
      <c r="H8" s="2802"/>
      <c r="I8" s="2613"/>
      <c r="J8" s="2613"/>
      <c r="K8" s="2639">
        <f>J7&amp;".1"</f>
      </c>
      <c r="L8" s="1822" t="s">
        <v>527</v>
      </c>
      <c r="M8" s="2147"/>
      <c r="N8" s="2143"/>
      <c r="O8" s="2143"/>
      <c r="P8" s="2769"/>
      <c r="Q8" s="2769"/>
      <c r="R8" s="869">
        <v>1</v>
      </c>
      <c r="S8" s="2470">
        <f>$K8</f>
      </c>
      <c r="T8" s="1859"/>
      <c r="U8" s="812"/>
      <c r="V8" s="1263"/>
      <c r="W8" s="837"/>
      <c r="X8" s="1263"/>
      <c r="Y8" s="1769"/>
      <c r="Z8" s="2777"/>
      <c r="AA8" s="2619" t="s">
        <v>63</v>
      </c>
      <c r="AB8" s="2777"/>
      <c r="AC8" s="2619" t="s">
        <v>63</v>
      </c>
      <c r="AD8" s="1263"/>
      <c r="AE8" s="837"/>
      <c r="AF8" s="1263"/>
      <c r="AG8" s="1769"/>
      <c r="AH8" s="2777"/>
      <c r="AI8" s="2619" t="s">
        <v>63</v>
      </c>
      <c r="AJ8" s="2777"/>
      <c r="AK8" s="2619" t="s">
        <v>63</v>
      </c>
      <c r="AL8" s="837"/>
      <c r="AM8" s="2765" t="s">
        <v>528</v>
      </c>
      <c r="AN8" s="2148">
        <f>STRCHECKDATE(V9:AL9)</f>
      </c>
      <c r="AO8" s="2136"/>
      <c r="AP8" s="2136" t="str">
        <f>IF(T8="","",T8)</f>
        <v/>
      </c>
      <c r="AQ8" s="2136"/>
      <c r="AR8" s="2136"/>
      <c r="AS8" s="2143">
        <v>0</v>
      </c>
    </row>
    <row customHeight="1" ht="0.75" hidden="1">
      <c r="A9" s="1779"/>
      <c r="B9" s="1779"/>
      <c r="C9" s="1779"/>
      <c r="D9" s="1779"/>
      <c r="E9" s="2802"/>
      <c r="F9" s="2802"/>
      <c r="G9" s="2802"/>
      <c r="H9" s="2802"/>
      <c r="I9" s="2613"/>
      <c r="J9" s="2613"/>
      <c r="K9" s="2639"/>
      <c r="L9" s="1822"/>
      <c r="M9" s="2147"/>
      <c r="N9" s="2143"/>
      <c r="O9" s="2143"/>
      <c r="P9" s="2769"/>
      <c r="Q9" s="2769"/>
      <c r="R9" s="869"/>
      <c r="S9" s="2479"/>
      <c r="T9" s="812"/>
      <c r="U9" s="812"/>
      <c r="V9" s="837"/>
      <c r="W9" s="837"/>
      <c r="X9" s="837"/>
      <c r="Y9" s="840" t="str">
        <f>Z8&amp;"-"&amp;AB8</f>
        <v>-</v>
      </c>
      <c r="Z9" s="2778"/>
      <c r="AA9" s="2619"/>
      <c r="AB9" s="2778"/>
      <c r="AC9" s="2619"/>
      <c r="AD9" s="837"/>
      <c r="AE9" s="837"/>
      <c r="AF9" s="837"/>
      <c r="AG9" s="840" t="str">
        <f>AH8&amp;"-"&amp;AJ8</f>
        <v>-</v>
      </c>
      <c r="AH9" s="2778"/>
      <c r="AI9" s="2619"/>
      <c r="AJ9" s="2778"/>
      <c r="AK9" s="2619"/>
      <c r="AL9" s="837"/>
      <c r="AM9" s="2766"/>
      <c r="AO9" s="2136"/>
      <c r="AP9" s="2136" t="str">
        <f>IF(T9="","",T9)</f>
        <v/>
      </c>
      <c r="AQ9" s="2136"/>
      <c r="AR9" s="2136"/>
      <c r="AS9" s="2143">
        <v>0</v>
      </c>
    </row>
    <row customHeight="1" ht="15" hidden="1">
      <c r="A10" s="1779"/>
      <c r="B10" s="1779"/>
      <c r="C10" s="1779"/>
      <c r="D10" s="1779"/>
      <c r="E10" s="2802"/>
      <c r="F10" s="2802"/>
      <c r="G10" s="2802"/>
      <c r="H10" s="2802"/>
      <c r="I10" s="2613"/>
      <c r="J10" s="2639"/>
      <c r="K10" s="1779"/>
      <c r="L10" s="1822"/>
      <c r="M10" s="2147"/>
      <c r="N10" s="2143"/>
      <c r="P10" s="2769"/>
      <c r="Q10" s="2769"/>
      <c r="R10" s="868"/>
      <c r="S10" s="1790"/>
      <c r="T10" s="800" t="s">
        <v>529</v>
      </c>
      <c r="U10" s="1112"/>
      <c r="V10" s="1112"/>
      <c r="W10" s="1112"/>
      <c r="X10" s="1112"/>
      <c r="Y10" s="1112"/>
      <c r="Z10" s="1112"/>
      <c r="AA10" s="1112"/>
      <c r="AB10" s="1112"/>
      <c r="AC10" s="1112"/>
      <c r="AD10" s="1112"/>
      <c r="AE10" s="1112"/>
      <c r="AF10" s="1112"/>
      <c r="AG10" s="1112"/>
      <c r="AH10" s="1112"/>
      <c r="AI10" s="1112"/>
      <c r="AJ10" s="1112"/>
      <c r="AK10" s="1112"/>
      <c r="AL10" s="836"/>
      <c r="AM10" s="2767"/>
      <c r="AO10" s="2136"/>
      <c r="AP10" s="2136" t="str">
        <f>IF(T10="","",T10)</f>
        <v>Добавить вид теплоносителя (параметры теплоносителя)</v>
      </c>
      <c r="AQ10" s="2136"/>
      <c r="AR10" s="2136"/>
      <c r="AS10" s="2143">
        <v>0</v>
      </c>
    </row>
    <row customHeight="1" ht="15" hidden="1">
      <c r="A11" s="1779"/>
      <c r="B11" s="1779"/>
      <c r="C11" s="1779"/>
      <c r="D11" s="1779"/>
      <c r="E11" s="2802"/>
      <c r="F11" s="2802"/>
      <c r="G11" s="2802"/>
      <c r="H11" s="2802"/>
      <c r="I11" s="2639"/>
      <c r="J11" s="1779"/>
      <c r="K11" s="1779"/>
      <c r="L11" s="1822"/>
      <c r="M11" s="2147"/>
      <c r="P11" s="2769"/>
      <c r="Q11" s="2466"/>
      <c r="R11" s="868"/>
      <c r="S11" s="1790"/>
      <c r="T11" s="799" t="s">
        <v>530</v>
      </c>
      <c r="U11" s="1112"/>
      <c r="V11" s="1112"/>
      <c r="W11" s="1112"/>
      <c r="X11" s="1112"/>
      <c r="Y11" s="1112"/>
      <c r="Z11" s="1112"/>
      <c r="AA11" s="1112"/>
      <c r="AB11" s="1112"/>
      <c r="AC11" s="878"/>
      <c r="AD11" s="1112"/>
      <c r="AE11" s="1112"/>
      <c r="AF11" s="1112"/>
      <c r="AG11" s="1112"/>
      <c r="AH11" s="1112"/>
      <c r="AI11" s="1112"/>
      <c r="AJ11" s="1112"/>
      <c r="AK11" s="878"/>
      <c r="AL11" s="1112"/>
      <c r="AM11" s="815"/>
      <c r="AO11" s="2136"/>
      <c r="AP11" s="2136" t="str">
        <f>IF(T11="","",T11)</f>
        <v>Добавить группу потребителей</v>
      </c>
      <c r="AQ11" s="2136"/>
      <c r="AR11" s="2136"/>
      <c r="AS11" s="2143">
        <v>0</v>
      </c>
    </row>
    <row customHeight="1" ht="14.25" hidden="1">
      <c r="A12" s="1779"/>
      <c r="B12" s="1779"/>
      <c r="C12" s="1779"/>
      <c r="D12" s="1779"/>
      <c r="E12" s="2802"/>
      <c r="F12" s="2802"/>
      <c r="G12" s="2802"/>
      <c r="H12" s="2801"/>
      <c r="I12" s="1779"/>
      <c r="J12" s="1779"/>
      <c r="K12" s="1779"/>
      <c r="L12" s="1822"/>
      <c r="M12" s="2122"/>
      <c r="N12" s="2122"/>
      <c r="O12" s="2147"/>
      <c r="P12" s="872"/>
      <c r="Q12" s="887"/>
      <c r="R12" s="867"/>
      <c r="S12" s="1790"/>
      <c r="T12" s="877" t="s">
        <v>531</v>
      </c>
      <c r="U12" s="1112"/>
      <c r="V12" s="1112"/>
      <c r="W12" s="1112"/>
      <c r="X12" s="1112"/>
      <c r="Y12" s="1112"/>
      <c r="Z12" s="1112"/>
      <c r="AA12" s="1112"/>
      <c r="AB12" s="1112"/>
      <c r="AC12" s="878"/>
      <c r="AD12" s="1112"/>
      <c r="AE12" s="1112"/>
      <c r="AF12" s="1112"/>
      <c r="AG12" s="1112"/>
      <c r="AH12" s="1112"/>
      <c r="AI12" s="1112"/>
      <c r="AJ12" s="1112"/>
      <c r="AK12" s="878"/>
      <c r="AL12" s="1112"/>
      <c r="AM12" s="815"/>
      <c r="AO12" s="2136"/>
      <c r="AP12" s="2136" t="str">
        <f>IF(T12="","",T12)</f>
        <v>Добавить схему подключения</v>
      </c>
      <c r="AQ12" s="2136"/>
      <c r="AR12" s="2136"/>
      <c r="AS12" s="2143">
        <v>0</v>
      </c>
    </row>
    <row s="46890" customFormat="1" customHeight="1" ht="0.75" hidden="1">
      <c r="A13" s="1886"/>
      <c r="B13" s="1886"/>
      <c r="C13" s="1886"/>
      <c r="D13" s="1886"/>
      <c r="E13" s="2802"/>
      <c r="F13" s="2802"/>
      <c r="G13" s="2801"/>
      <c r="H13" s="1886"/>
      <c r="I13" s="1886"/>
      <c r="J13" s="1886"/>
      <c r="K13" s="1886"/>
      <c r="L13" s="1889"/>
      <c r="M13" s="1890"/>
      <c r="N13" s="1890"/>
      <c r="O13" s="863"/>
      <c r="P13" s="1828"/>
      <c r="Q13" s="1829"/>
      <c r="R13" s="1828"/>
      <c r="S13" s="1830"/>
      <c r="T13" s="1831" t="s">
        <v>532</v>
      </c>
      <c r="U13" s="1832"/>
      <c r="V13" s="1832"/>
      <c r="W13" s="1832"/>
      <c r="X13" s="1832"/>
      <c r="Y13" s="1832"/>
      <c r="Z13" s="1832"/>
      <c r="AA13" s="1832"/>
      <c r="AB13" s="1832"/>
      <c r="AC13" s="1832"/>
      <c r="AD13" s="1832"/>
      <c r="AE13" s="1832"/>
      <c r="AF13" s="1832"/>
      <c r="AG13" s="1832"/>
      <c r="AH13" s="1832"/>
      <c r="AI13" s="1832"/>
      <c r="AJ13" s="1832"/>
      <c r="AK13" s="1832"/>
      <c r="AL13" s="1832"/>
      <c r="AM13" s="1832"/>
      <c r="AO13" s="1763"/>
      <c r="AP13" s="1763" t="str">
        <f>IF(T13="","",T13)</f>
        <v>Добавить источник для дифференциации</v>
      </c>
      <c r="AQ13" s="1763"/>
      <c r="AR13" s="1763"/>
      <c r="AS13" s="2154">
        <v>0</v>
      </c>
    </row>
    <row s="46890" customFormat="1" customHeight="1" ht="0.75" hidden="1">
      <c r="A14" s="1886"/>
      <c r="B14" s="1886"/>
      <c r="C14" s="1886"/>
      <c r="D14" s="1886"/>
      <c r="E14" s="2802"/>
      <c r="F14" s="2801"/>
      <c r="G14" s="1886"/>
      <c r="H14" s="1886"/>
      <c r="I14" s="1886"/>
      <c r="J14" s="1886"/>
      <c r="K14" s="1886"/>
      <c r="L14" s="1889"/>
      <c r="M14" s="1891"/>
      <c r="N14" s="1891"/>
      <c r="O14" s="863"/>
      <c r="P14" s="1828"/>
      <c r="Q14" s="1829"/>
      <c r="R14" s="1828"/>
      <c r="S14" s="1834"/>
      <c r="T14" s="1835" t="s">
        <v>321</v>
      </c>
      <c r="U14" s="1836"/>
      <c r="V14" s="1836"/>
      <c r="W14" s="1836"/>
      <c r="X14" s="1836"/>
      <c r="Y14" s="1836"/>
      <c r="Z14" s="1836"/>
      <c r="AA14" s="1836"/>
      <c r="AB14" s="1836"/>
      <c r="AC14" s="1836"/>
      <c r="AD14" s="1836"/>
      <c r="AE14" s="1836"/>
      <c r="AF14" s="1836"/>
      <c r="AG14" s="1836"/>
      <c r="AH14" s="1836"/>
      <c r="AI14" s="1836"/>
      <c r="AJ14" s="1836"/>
      <c r="AK14" s="1836"/>
      <c r="AL14" s="1836"/>
      <c r="AM14" s="1836"/>
      <c r="AO14" s="1763"/>
      <c r="AP14" s="1763" t="str">
        <f>IF(T14="","",T14)</f>
        <v>Добавить централизованную систему для дифференциации</v>
      </c>
      <c r="AQ14" s="1763"/>
      <c r="AR14" s="1763"/>
      <c r="AS14" s="2154">
        <v>0</v>
      </c>
    </row>
    <row s="46890" customFormat="1" customHeight="1" ht="0.75" hidden="1">
      <c r="A15" s="1886"/>
      <c r="B15" s="1886"/>
      <c r="C15" s="1886"/>
      <c r="D15" s="1886"/>
      <c r="E15" s="2801"/>
      <c r="F15" s="1886"/>
      <c r="G15" s="1886"/>
      <c r="H15" s="1886"/>
      <c r="I15" s="1886"/>
      <c r="J15" s="1886"/>
      <c r="K15" s="1886"/>
      <c r="L15" s="1889"/>
      <c r="M15" s="1891"/>
      <c r="N15" s="1891"/>
      <c r="O15" s="863"/>
      <c r="P15" s="1828"/>
      <c r="Q15" s="1829"/>
      <c r="R15" s="1828"/>
      <c r="S15" s="1834"/>
      <c r="T15" s="1837" t="s">
        <v>385</v>
      </c>
      <c r="U15" s="1836"/>
      <c r="V15" s="1836"/>
      <c r="W15" s="1836"/>
      <c r="X15" s="1836"/>
      <c r="Y15" s="1836"/>
      <c r="Z15" s="1836"/>
      <c r="AA15" s="1836"/>
      <c r="AB15" s="1836"/>
      <c r="AC15" s="1836"/>
      <c r="AD15" s="1836"/>
      <c r="AE15" s="1836"/>
      <c r="AF15" s="1836"/>
      <c r="AG15" s="1836"/>
      <c r="AH15" s="1836"/>
      <c r="AI15" s="1836"/>
      <c r="AJ15" s="1836"/>
      <c r="AK15" s="1836"/>
      <c r="AL15" s="1836"/>
      <c r="AM15" s="1836"/>
      <c r="AO15" s="1763"/>
      <c r="AP15" s="1763" t="str">
        <f>IF(T15="","",T15)</f>
        <v>Добавить территорию для дифференциации</v>
      </c>
      <c r="AQ15" s="1763"/>
      <c r="AR15" s="1763"/>
      <c r="AS15" s="2154">
        <v>0</v>
      </c>
    </row>
    <row customHeight="1" ht="14.25" hidden="1">
      <c r="AS16" s="2143">
        <v>0</v>
      </c>
    </row>
    <row customHeight="1" ht="14.25" hidden="1">
      <c r="AD17" s="1872"/>
      <c r="AE17" s="1872"/>
      <c r="AF17" s="1872"/>
      <c r="AG17" s="1873"/>
      <c r="AH17" s="2779"/>
      <c r="AI17" s="2780" t="s">
        <v>63</v>
      </c>
      <c r="AJ17" s="2779"/>
      <c r="AK17" s="2780" t="s">
        <v>63</v>
      </c>
      <c r="AS17" s="2143">
        <v>0</v>
      </c>
    </row>
    <row customHeight="1" ht="14.25" hidden="1">
      <c r="AD18" s="1872"/>
      <c r="AE18" s="1872"/>
      <c r="AF18" s="1872"/>
      <c r="AG18" s="840" t="str">
        <f>AH17&amp;"-"&amp;AJ17</f>
        <v>-</v>
      </c>
      <c r="AH18" s="2780"/>
      <c r="AI18" s="2780"/>
      <c r="AJ18" s="2780"/>
      <c r="AK18" s="2780"/>
      <c r="AS18" s="2143">
        <v>0</v>
      </c>
    </row>
    <row customHeight="1" ht="14.25" hidden="1">
      <c r="AS19" s="2143">
        <v>0</v>
      </c>
    </row>
    <row s="46889" customFormat="1" customHeight="1" ht="14.25" hidden="1">
      <c r="A20" s="2143"/>
      <c r="B20" s="2143"/>
      <c r="C20" s="2143"/>
      <c r="D20" s="2143"/>
      <c r="E20" s="2143"/>
      <c r="F20" s="2143"/>
      <c r="G20" s="2143"/>
      <c r="H20" s="2143"/>
      <c r="I20" s="2143"/>
      <c r="J20" s="2143"/>
      <c r="K20" s="2143"/>
      <c r="L20" s="2451"/>
      <c r="M20" s="2477"/>
      <c r="N20" s="2477"/>
      <c r="O20" s="1857" t="s">
        <v>533</v>
      </c>
      <c r="P20" s="1874"/>
      <c r="Q20" s="1883"/>
      <c r="R20" s="1883"/>
      <c r="S20" s="1241"/>
      <c r="Z20" s="1879"/>
      <c r="AB20" s="1879"/>
      <c r="AH20" s="1879"/>
      <c r="AJ20" s="1879"/>
      <c r="AN20" s="2148"/>
      <c r="AO20" s="2148"/>
      <c r="AP20" s="2148"/>
      <c r="AQ20" s="2148"/>
      <c r="AR20" s="2148"/>
      <c r="AS20" s="1878">
        <v>0</v>
      </c>
    </row>
    <row s="46889" customFormat="1" customHeight="1" ht="14.25" hidden="1">
      <c r="A21" s="2143"/>
      <c r="B21" s="2143"/>
      <c r="C21" s="2143"/>
      <c r="D21" s="2143"/>
      <c r="E21" s="2143"/>
      <c r="F21" s="2143"/>
      <c r="G21" s="2143"/>
      <c r="H21" s="2143"/>
      <c r="I21" s="2143"/>
      <c r="J21" s="2143"/>
      <c r="K21" s="2143"/>
      <c r="L21" s="2451"/>
      <c r="M21" s="2477"/>
      <c r="N21" s="2477"/>
      <c r="O21" s="2477"/>
      <c r="P21" s="1874"/>
      <c r="Q21" s="1883"/>
      <c r="R21" s="1883"/>
      <c r="S21" s="1241"/>
      <c r="AN21" s="2148"/>
      <c r="AO21" s="2148"/>
      <c r="AP21" s="2148"/>
      <c r="AQ21" s="2148"/>
      <c r="AR21" s="2148"/>
      <c r="AS21" s="1878">
        <v>0</v>
      </c>
    </row>
    <row s="46889" customFormat="1" customHeight="1" ht="14.25" hidden="1">
      <c r="A22" s="2143"/>
      <c r="B22" s="2143"/>
      <c r="C22" s="2143"/>
      <c r="D22" s="2143"/>
      <c r="E22" s="2143"/>
      <c r="F22" s="2143"/>
      <c r="G22" s="2143"/>
      <c r="H22" s="2143"/>
      <c r="I22" s="2143"/>
      <c r="J22" s="2143"/>
      <c r="K22" s="2143"/>
      <c r="L22" s="2451"/>
      <c r="M22" s="2477"/>
      <c r="N22" s="2477"/>
      <c r="O22" s="1822" t="s">
        <v>534</v>
      </c>
      <c r="P22" s="1874"/>
      <c r="Q22" s="1883"/>
      <c r="R22" s="1883"/>
      <c r="S22" s="1241"/>
      <c r="T22" s="1878" t="s">
        <v>535</v>
      </c>
      <c r="AA22" s="1107" t="s">
        <v>536</v>
      </c>
      <c r="AC22" s="1107" t="s">
        <v>537</v>
      </c>
      <c r="AD22" s="1878" t="s">
        <v>535</v>
      </c>
      <c r="AI22" s="1107" t="s">
        <v>538</v>
      </c>
      <c r="AK22" s="1107" t="s">
        <v>537</v>
      </c>
      <c r="AN22" s="2148"/>
      <c r="AO22" s="2148"/>
      <c r="AP22" s="2148"/>
      <c r="AQ22" s="2148"/>
      <c r="AR22" s="2148"/>
      <c r="AS22" s="1878">
        <v>0</v>
      </c>
    </row>
    <row customHeight="1" ht="14.25" hidden="1">
      <c r="O23" s="1822"/>
      <c r="AS23" s="2143">
        <v>0</v>
      </c>
    </row>
    <row customHeight="1" ht="14.25" hidden="1">
      <c r="O24" s="1822"/>
      <c r="AS24" s="2143">
        <v>0</v>
      </c>
    </row>
    <row customHeight="1" ht="14.699999999999998">
      <c r="Q25" s="888"/>
      <c r="R25" s="888"/>
      <c r="S25" s="1787"/>
      <c r="T25" s="969"/>
      <c r="U25" s="969"/>
      <c r="V25" s="2147"/>
      <c r="W25" s="2147"/>
      <c r="X25" s="2147"/>
      <c r="Y25" s="2147"/>
      <c r="Z25" s="2147"/>
      <c r="AA25" s="2147"/>
      <c r="AB25" s="2147"/>
      <c r="AC25" s="2147"/>
      <c r="AD25" s="2147"/>
      <c r="AE25" s="2147"/>
      <c r="AF25" s="2147"/>
      <c r="AG25" s="2147"/>
      <c r="AH25" s="2147"/>
      <c r="AI25" s="2147"/>
      <c r="AJ25" s="2147"/>
      <c r="AK25" s="2147"/>
      <c r="AS25" s="2143">
        <v>14</v>
      </c>
    </row>
    <row customHeight="1" ht="14.699999999999998">
      <c r="Q26" s="888"/>
      <c r="R26" s="888"/>
      <c r="S26" s="2760"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760"/>
      <c r="U26" s="2760"/>
      <c r="V26" s="2760"/>
      <c r="W26" s="2760"/>
      <c r="X26" s="2760"/>
      <c r="Y26" s="2760"/>
      <c r="Z26" s="2760"/>
      <c r="AA26" s="2760"/>
      <c r="AB26" s="2760"/>
      <c r="AC26" s="2760"/>
      <c r="AD26" s="2760"/>
      <c r="AE26" s="2760"/>
      <c r="AF26" s="2760"/>
      <c r="AG26" s="2760"/>
      <c r="AH26" s="2760"/>
      <c r="AI26" s="2760"/>
      <c r="AJ26" s="2760"/>
      <c r="AK26" s="1755"/>
      <c r="AS26" s="2143">
        <v>14</v>
      </c>
    </row>
    <row customHeight="1" ht="14.699999999999998">
      <c r="Q27" s="888"/>
      <c r="R27" s="888"/>
      <c r="S27" s="2761" t="str">
        <f>IF(org=0,"Не определено",org)</f>
        <v>КГУП "Примтеплоэнерго"</v>
      </c>
      <c r="T27" s="2761"/>
      <c r="U27" s="2761"/>
      <c r="V27" s="2761"/>
      <c r="W27" s="2761"/>
      <c r="X27" s="2761"/>
      <c r="Y27" s="2761"/>
      <c r="Z27" s="2761"/>
      <c r="AA27" s="2761"/>
      <c r="AB27" s="2761"/>
      <c r="AC27" s="2761"/>
      <c r="AD27" s="2761"/>
      <c r="AE27" s="2761"/>
      <c r="AF27" s="2761"/>
      <c r="AG27" s="2761"/>
      <c r="AH27" s="2761"/>
      <c r="AI27" s="2761"/>
      <c r="AJ27" s="2761"/>
      <c r="AK27" s="1755"/>
      <c r="AS27" s="2143">
        <v>14</v>
      </c>
    </row>
    <row customHeight="1" ht="14.25" hidden="1">
      <c r="Q28" s="888"/>
      <c r="R28" s="888"/>
      <c r="S28" s="1787"/>
      <c r="T28" s="969"/>
      <c r="U28" s="969"/>
      <c r="V28" s="834"/>
      <c r="W28" s="834"/>
      <c r="X28" s="834"/>
      <c r="Y28" s="834"/>
      <c r="Z28" s="834"/>
      <c r="AA28" s="834"/>
      <c r="AB28" s="834"/>
      <c r="AC28" s="834"/>
      <c r="AD28" s="834"/>
      <c r="AE28" s="834"/>
      <c r="AF28" s="834"/>
      <c r="AG28" s="834"/>
      <c r="AH28" s="834"/>
      <c r="AI28" s="834"/>
      <c r="AJ28" s="834"/>
      <c r="AK28" s="834"/>
      <c r="AL28" s="2147"/>
      <c r="AS28" s="2143">
        <v>0</v>
      </c>
    </row>
    <row s="47026" customFormat="1" customHeight="1" ht="25.5" hidden="1">
      <c r="A29" s="1760"/>
      <c r="B29" s="1760"/>
      <c r="C29" s="1760"/>
      <c r="D29" s="1760"/>
      <c r="E29" s="1760"/>
      <c r="F29" s="1760"/>
      <c r="G29" s="1760"/>
      <c r="H29" s="1760"/>
      <c r="I29" s="1760"/>
      <c r="J29" s="1760"/>
      <c r="K29" s="1760"/>
      <c r="L29" s="1892"/>
      <c r="M29" s="1760"/>
      <c r="N29" s="1760"/>
      <c r="O29" s="1760"/>
      <c r="S29" s="2762" t="s">
        <v>42</v>
      </c>
      <c r="T29" s="2762"/>
      <c r="U29" s="1884"/>
      <c r="V29" s="2763" t="str">
        <f>IF(TITLE_NAME_OR_PR_CHANGE="",IF(TITLE_NAME_OR_PR="","",TITLE_NAME_OR_PR),TITLE_NAME_OR_PR_CHANGE)</f>
        <v>Агентство по тарифам Приморского края</v>
      </c>
      <c r="W29" s="2763"/>
      <c r="X29" s="2763"/>
      <c r="Y29" s="2763"/>
      <c r="Z29" s="2763"/>
      <c r="AA29" s="2763"/>
      <c r="AB29" s="2763"/>
      <c r="AC29" s="2147"/>
      <c r="AD29" s="2763" t="str">
        <f>IF(TITLE_NAME_OR_PR_CHANGE="",IF(TITLE_NAME_OR_PR="","",TITLE_NAME_OR_PR),TITLE_NAME_OR_PR_CHANGE)</f>
        <v>Агентство по тарифам Приморского края</v>
      </c>
      <c r="AE29" s="2763"/>
      <c r="AF29" s="2763"/>
      <c r="AG29" s="2763"/>
      <c r="AH29" s="2763"/>
      <c r="AI29" s="2763"/>
      <c r="AJ29" s="2763"/>
      <c r="AK29" s="2147"/>
      <c r="AL29" s="2147"/>
      <c r="AM29" s="792"/>
      <c r="AN29" s="880"/>
      <c r="AO29" s="880"/>
      <c r="AP29" s="880"/>
      <c r="AQ29" s="880"/>
      <c r="AR29" s="880"/>
      <c r="AS29" s="930">
        <v>0</v>
      </c>
    </row>
    <row s="47026" customFormat="1" customHeight="1" ht="18.75" hidden="1">
      <c r="A30" s="1760"/>
      <c r="B30" s="1760"/>
      <c r="C30" s="1760"/>
      <c r="D30" s="1760"/>
      <c r="E30" s="1760"/>
      <c r="F30" s="1760"/>
      <c r="G30" s="1760"/>
      <c r="H30" s="1760"/>
      <c r="I30" s="1760"/>
      <c r="J30" s="1760"/>
      <c r="K30" s="1760"/>
      <c r="L30" s="1892"/>
      <c r="M30" s="1760"/>
      <c r="N30" s="1760"/>
      <c r="O30" s="1760"/>
      <c r="S30" s="2762" t="s">
        <v>539</v>
      </c>
      <c r="T30" s="2762"/>
      <c r="U30" s="1884"/>
      <c r="V30" s="2776" t="str">
        <f>IF(TITLE_DATE_PR_CHANGE="",IF(TITLE_DATE_PR="","",TITLE_DATE_PR),TITLE_DATE_PR_CHANGE)</f>
        <v>45631.495844907404</v>
      </c>
      <c r="W30" s="2776"/>
      <c r="X30" s="2776"/>
      <c r="Y30" s="2776"/>
      <c r="Z30" s="2776"/>
      <c r="AA30" s="2776"/>
      <c r="AB30" s="2776"/>
      <c r="AC30" s="2147"/>
      <c r="AD30" s="2776" t="str">
        <f>IF(TITLE_DATE_PR_CHANGE="",IF(TITLE_DATE_PR="","",TITLE_DATE_PR),TITLE_DATE_PR_CHANGE)</f>
        <v>45631.495844907404</v>
      </c>
      <c r="AE30" s="2776"/>
      <c r="AF30" s="2776"/>
      <c r="AG30" s="2776"/>
      <c r="AH30" s="2776"/>
      <c r="AI30" s="2776"/>
      <c r="AJ30" s="2776"/>
      <c r="AK30" s="2147"/>
      <c r="AL30" s="2147"/>
      <c r="AM30" s="792"/>
      <c r="AN30" s="880"/>
      <c r="AO30" s="880"/>
      <c r="AP30" s="880"/>
      <c r="AQ30" s="880"/>
      <c r="AR30" s="880"/>
      <c r="AS30" s="930">
        <v>0</v>
      </c>
    </row>
    <row s="47026" customFormat="1" customHeight="1" ht="18.75" hidden="1">
      <c r="A31" s="1760"/>
      <c r="B31" s="1760"/>
      <c r="C31" s="1760"/>
      <c r="D31" s="1760"/>
      <c r="E31" s="1760"/>
      <c r="F31" s="1760"/>
      <c r="G31" s="1760"/>
      <c r="H31" s="1760"/>
      <c r="I31" s="1760"/>
      <c r="J31" s="1760"/>
      <c r="K31" s="1760"/>
      <c r="L31" s="1892"/>
      <c r="M31" s="1760"/>
      <c r="N31" s="1760"/>
      <c r="O31" s="1760"/>
      <c r="S31" s="2762" t="s">
        <v>540</v>
      </c>
      <c r="T31" s="2762"/>
      <c r="U31" s="1884"/>
      <c r="V31" s="2763" t="str">
        <f>IF(TITLE_NUMBER_PR_CHANGE="",IF(TITLE_NUMBER_PR="","",TITLE_NUMBER_PR),TITLE_NUMBER_PR_CHANGE)</f>
        <v>53/9</v>
      </c>
      <c r="W31" s="2763"/>
      <c r="X31" s="2763"/>
      <c r="Y31" s="2763"/>
      <c r="Z31" s="2763"/>
      <c r="AA31" s="2763"/>
      <c r="AB31" s="2763"/>
      <c r="AC31" s="2147"/>
      <c r="AD31" s="2763" t="str">
        <f>IF(TITLE_NUMBER_PR_CHANGE="",IF(TITLE_NUMBER_PR="","",TITLE_NUMBER_PR),TITLE_NUMBER_PR_CHANGE)</f>
        <v>53/9</v>
      </c>
      <c r="AE31" s="2763"/>
      <c r="AF31" s="2763"/>
      <c r="AG31" s="2763"/>
      <c r="AH31" s="2763"/>
      <c r="AI31" s="2763"/>
      <c r="AJ31" s="2763"/>
      <c r="AK31" s="2147"/>
      <c r="AL31" s="2147"/>
      <c r="AM31" s="792"/>
      <c r="AN31" s="880"/>
      <c r="AO31" s="880"/>
      <c r="AP31" s="880"/>
      <c r="AQ31" s="880"/>
      <c r="AR31" s="880"/>
      <c r="AS31" s="930">
        <v>0</v>
      </c>
    </row>
    <row s="47026" customFormat="1" customHeight="1" ht="18.75" hidden="1">
      <c r="A32" s="1760"/>
      <c r="B32" s="1760"/>
      <c r="C32" s="1760"/>
      <c r="D32" s="1760"/>
      <c r="E32" s="1760"/>
      <c r="F32" s="1760"/>
      <c r="G32" s="1760"/>
      <c r="H32" s="1760"/>
      <c r="I32" s="1760"/>
      <c r="J32" s="1760"/>
      <c r="K32" s="1760"/>
      <c r="L32" s="1892"/>
      <c r="M32" s="1760"/>
      <c r="N32" s="1760"/>
      <c r="O32" s="1760"/>
      <c r="S32" s="2762" t="s">
        <v>44</v>
      </c>
      <c r="T32" s="2762"/>
      <c r="U32" s="1884"/>
      <c r="V32" s="2763" t="str">
        <f>IF(TITLE_IST_PUB_CHANGE="",IF(TITLE_IST_PUB="","",TITLE_IST_PUB),TITLE_IST_PUB_CHANGE)</f>
        <v>http://pravo.gov.ru</v>
      </c>
      <c r="W32" s="2763"/>
      <c r="X32" s="2763"/>
      <c r="Y32" s="2763"/>
      <c r="Z32" s="2763"/>
      <c r="AA32" s="2763"/>
      <c r="AB32" s="2763"/>
      <c r="AC32" s="2147"/>
      <c r="AD32" s="2763" t="str">
        <f>IF(TITLE_IST_PUB_CHANGE="",IF(TITLE_IST_PUB="","",TITLE_IST_PUB),TITLE_IST_PUB_CHANGE)</f>
        <v>http://pravo.gov.ru</v>
      </c>
      <c r="AE32" s="2763"/>
      <c r="AF32" s="2763"/>
      <c r="AG32" s="2763"/>
      <c r="AH32" s="2763"/>
      <c r="AI32" s="2763"/>
      <c r="AJ32" s="2763"/>
      <c r="AK32" s="2147"/>
      <c r="AL32" s="2147"/>
      <c r="AM32" s="792"/>
      <c r="AN32" s="880"/>
      <c r="AO32" s="880"/>
      <c r="AP32" s="880"/>
      <c r="AQ32" s="880"/>
      <c r="AR32" s="880"/>
      <c r="AS32" s="930">
        <v>0</v>
      </c>
    </row>
    <row customHeight="1" ht="14.25" hidden="1">
      <c r="Q33" s="888"/>
      <c r="R33" s="888"/>
      <c r="S33" s="1787"/>
      <c r="T33" s="969"/>
      <c r="U33" s="969"/>
      <c r="V33" s="834"/>
      <c r="W33" s="834"/>
      <c r="X33" s="834"/>
      <c r="Y33" s="834"/>
      <c r="Z33" s="834"/>
      <c r="AA33" s="834"/>
      <c r="AB33" s="834"/>
      <c r="AC33" s="834"/>
      <c r="AD33" s="834"/>
      <c r="AE33" s="834"/>
      <c r="AF33" s="834"/>
      <c r="AG33" s="834"/>
      <c r="AH33" s="834"/>
      <c r="AI33" s="834"/>
      <c r="AJ33" s="834"/>
      <c r="AK33" s="834"/>
      <c r="AL33" s="2147"/>
      <c r="AS33" s="2143">
        <v>0</v>
      </c>
    </row>
    <row s="47026" customFormat="1" customHeight="1" ht="18.75" hidden="1">
      <c r="A34" s="1760"/>
      <c r="B34" s="1760"/>
      <c r="C34" s="1760"/>
      <c r="D34" s="1760"/>
      <c r="E34" s="1760"/>
      <c r="F34" s="1760"/>
      <c r="G34" s="1760"/>
      <c r="H34" s="1760"/>
      <c r="I34" s="1760"/>
      <c r="J34" s="1760"/>
      <c r="K34" s="1760"/>
      <c r="L34" s="1892"/>
      <c r="M34" s="1760"/>
      <c r="N34" s="1760"/>
      <c r="O34" s="1760"/>
      <c r="S34" s="2762" t="s">
        <v>541</v>
      </c>
      <c r="T34" s="2762"/>
      <c r="U34" s="1884"/>
      <c r="V34" s="2776" t="str">
        <f>IF(TITLE_DATE_PR_CHANGE="",IF(TITLE_DATE_PR="","",TITLE_DATE_PR),TITLE_DATE_PR_CHANGE)</f>
        <v>45631.495844907404</v>
      </c>
      <c r="W34" s="2776"/>
      <c r="X34" s="2776"/>
      <c r="Y34" s="2776"/>
      <c r="Z34" s="2776"/>
      <c r="AA34" s="2776"/>
      <c r="AB34" s="2776"/>
      <c r="AC34" s="2147"/>
      <c r="AD34" s="2776" t="str">
        <f>IF(TITLE_DATE_PR_CHANGE="",IF(TITLE_DATE_PR="","",TITLE_DATE_PR),TITLE_DATE_PR_CHANGE)</f>
        <v>45631.495844907404</v>
      </c>
      <c r="AE34" s="2776"/>
      <c r="AF34" s="2776"/>
      <c r="AG34" s="2776"/>
      <c r="AH34" s="2776"/>
      <c r="AI34" s="2776"/>
      <c r="AJ34" s="2776"/>
      <c r="AK34" s="2147"/>
      <c r="AL34" s="2147"/>
      <c r="AM34" s="792"/>
      <c r="AN34" s="880"/>
      <c r="AO34" s="880"/>
      <c r="AP34" s="880"/>
      <c r="AQ34" s="880"/>
      <c r="AR34" s="880"/>
      <c r="AS34" s="930">
        <v>0</v>
      </c>
    </row>
    <row s="47026" customFormat="1" customHeight="1" ht="18.75" hidden="1">
      <c r="A35" s="1760"/>
      <c r="B35" s="1760"/>
      <c r="C35" s="1760"/>
      <c r="D35" s="1760"/>
      <c r="E35" s="1760"/>
      <c r="F35" s="1760"/>
      <c r="G35" s="1760"/>
      <c r="H35" s="1760"/>
      <c r="I35" s="1760"/>
      <c r="J35" s="1760"/>
      <c r="K35" s="1760"/>
      <c r="L35" s="1892"/>
      <c r="M35" s="1760"/>
      <c r="N35" s="1760"/>
      <c r="O35" s="1760"/>
      <c r="S35" s="2762" t="s">
        <v>542</v>
      </c>
      <c r="T35" s="2762"/>
      <c r="U35" s="1884"/>
      <c r="V35" s="2763" t="str">
        <f>IF(TITLE_NUMBER_PR_CHANGE="",IF(TITLE_NUMBER_PR="","",TITLE_NUMBER_PR),TITLE_NUMBER_PR_CHANGE)</f>
        <v>53/9</v>
      </c>
      <c r="W35" s="2763"/>
      <c r="X35" s="2763"/>
      <c r="Y35" s="2763"/>
      <c r="Z35" s="2763"/>
      <c r="AA35" s="2763"/>
      <c r="AB35" s="2763"/>
      <c r="AC35" s="2147"/>
      <c r="AD35" s="2763" t="str">
        <f>IF(TITLE_NUMBER_PR_CHANGE="",IF(TITLE_NUMBER_PR="","",TITLE_NUMBER_PR),TITLE_NUMBER_PR_CHANGE)</f>
        <v>53/9</v>
      </c>
      <c r="AE35" s="2763"/>
      <c r="AF35" s="2763"/>
      <c r="AG35" s="2763"/>
      <c r="AH35" s="2763"/>
      <c r="AI35" s="2763"/>
      <c r="AJ35" s="2763"/>
      <c r="AK35" s="2147"/>
      <c r="AL35" s="2147"/>
      <c r="AM35" s="792"/>
      <c r="AN35" s="880"/>
      <c r="AO35" s="880"/>
      <c r="AP35" s="880"/>
      <c r="AQ35" s="880"/>
      <c r="AR35" s="880"/>
      <c r="AS35" s="930">
        <v>0</v>
      </c>
    </row>
    <row s="47026" customFormat="1" customHeight="1" ht="0">
      <c r="A36" s="1760"/>
      <c r="B36" s="1760"/>
      <c r="C36" s="1760"/>
      <c r="D36" s="1760"/>
      <c r="E36" s="1760"/>
      <c r="F36" s="1760"/>
      <c r="G36" s="1760"/>
      <c r="H36" s="1760"/>
      <c r="I36" s="1760"/>
      <c r="J36" s="1760"/>
      <c r="K36" s="1760"/>
      <c r="L36" s="1892"/>
      <c r="M36" s="1760"/>
      <c r="N36" s="1760"/>
      <c r="O36" s="1760"/>
      <c r="S36" s="2147"/>
      <c r="T36" s="2147"/>
      <c r="U36" s="2482"/>
      <c r="V36" s="2147"/>
      <c r="W36" s="2147"/>
      <c r="X36" s="2147"/>
      <c r="Y36" s="2147"/>
      <c r="Z36" s="2147"/>
      <c r="AA36" s="2147"/>
      <c r="AB36" s="2147"/>
      <c r="AC36" s="2154" t="s">
        <v>543</v>
      </c>
      <c r="AD36" s="2147"/>
      <c r="AE36" s="2147"/>
      <c r="AF36" s="2147"/>
      <c r="AG36" s="2147"/>
      <c r="AH36" s="2147"/>
      <c r="AI36" s="2147"/>
      <c r="AJ36" s="2147"/>
      <c r="AK36" s="2154" t="s">
        <v>543</v>
      </c>
      <c r="AN36" s="880"/>
      <c r="AO36" s="880"/>
      <c r="AP36" s="880"/>
      <c r="AQ36" s="880"/>
      <c r="AR36" s="880"/>
      <c r="AS36" s="930">
        <v>0</v>
      </c>
    </row>
    <row customHeight="1" ht="14.699999999999998">
      <c r="Q37" s="888"/>
      <c r="R37" s="888"/>
      <c r="S37" s="1787"/>
      <c r="T37" s="969"/>
      <c r="U37" s="1756"/>
      <c r="V37" s="2764"/>
      <c r="W37" s="2764"/>
      <c r="X37" s="2764"/>
      <c r="Y37" s="2764"/>
      <c r="Z37" s="2764"/>
      <c r="AA37" s="2764"/>
      <c r="AB37" s="2764"/>
      <c r="AC37" s="2764"/>
      <c r="AD37" s="2764"/>
      <c r="AE37" s="2764"/>
      <c r="AF37" s="2764"/>
      <c r="AG37" s="2764"/>
      <c r="AH37" s="2764"/>
      <c r="AI37" s="2764"/>
      <c r="AJ37" s="2764"/>
      <c r="AK37" s="2764"/>
      <c r="AS37" s="2143">
        <v>14</v>
      </c>
    </row>
    <row customHeight="1" ht="14.699999999999998">
      <c r="Q38" s="888"/>
      <c r="R38" s="888"/>
      <c r="S38" s="2639" t="s">
        <v>418</v>
      </c>
      <c r="T38" s="2639"/>
      <c r="U38" s="2639"/>
      <c r="V38" s="2639"/>
      <c r="W38" s="2639"/>
      <c r="X38" s="2639"/>
      <c r="Y38" s="2639"/>
      <c r="Z38" s="2639"/>
      <c r="AA38" s="2639"/>
      <c r="AB38" s="2639"/>
      <c r="AC38" s="2639"/>
      <c r="AD38" s="2639"/>
      <c r="AE38" s="2639"/>
      <c r="AF38" s="2639"/>
      <c r="AG38" s="2639"/>
      <c r="AH38" s="2639"/>
      <c r="AI38" s="2639"/>
      <c r="AJ38" s="2639"/>
      <c r="AK38" s="2639"/>
      <c r="AL38" s="2639"/>
      <c r="AM38" s="2639" t="s">
        <v>419</v>
      </c>
      <c r="AS38" s="2143">
        <v>14</v>
      </c>
    </row>
    <row customHeight="1" ht="14.699999999999998">
      <c r="Q39" s="888"/>
      <c r="R39" s="888"/>
      <c r="S39" s="2785" t="s">
        <v>90</v>
      </c>
      <c r="T39" s="2721" t="s">
        <v>544</v>
      </c>
      <c r="U39" s="849"/>
      <c r="V39" s="2786" t="s">
        <v>545</v>
      </c>
      <c r="W39" s="2787"/>
      <c r="X39" s="2787"/>
      <c r="Y39" s="2787"/>
      <c r="Z39" s="2787"/>
      <c r="AA39" s="2787"/>
      <c r="AB39" s="2788"/>
      <c r="AC39" s="2789" t="s">
        <v>546</v>
      </c>
      <c r="AD39" s="2786" t="s">
        <v>545</v>
      </c>
      <c r="AE39" s="2787"/>
      <c r="AF39" s="2787"/>
      <c r="AG39" s="2787"/>
      <c r="AH39" s="2787"/>
      <c r="AI39" s="2787"/>
      <c r="AJ39" s="2788"/>
      <c r="AK39" s="2789" t="s">
        <v>547</v>
      </c>
      <c r="AL39" s="2792" t="s">
        <v>548</v>
      </c>
      <c r="AM39" s="2639"/>
      <c r="AS39" s="2143">
        <v>14</v>
      </c>
    </row>
    <row customHeight="1" ht="35.699999999999996">
      <c r="Q40" s="888"/>
      <c r="R40" s="888"/>
      <c r="S40" s="2785"/>
      <c r="T40" s="2721"/>
      <c r="U40" s="1543"/>
      <c r="V40" s="2772" t="s">
        <v>549</v>
      </c>
      <c r="W40" s="2795" t="s">
        <v>550</v>
      </c>
      <c r="X40" s="2774" t="s">
        <v>551</v>
      </c>
      <c r="Y40" s="2775"/>
      <c r="Z40" s="2774" t="s">
        <v>564</v>
      </c>
      <c r="AA40" s="2781"/>
      <c r="AB40" s="2775"/>
      <c r="AC40" s="2790"/>
      <c r="AD40" s="2772" t="s">
        <v>549</v>
      </c>
      <c r="AE40" s="2795" t="s">
        <v>550</v>
      </c>
      <c r="AF40" s="2774" t="s">
        <v>551</v>
      </c>
      <c r="AG40" s="2775"/>
      <c r="AH40" s="2774" t="s">
        <v>552</v>
      </c>
      <c r="AI40" s="2781"/>
      <c r="AJ40" s="2775"/>
      <c r="AK40" s="2790"/>
      <c r="AL40" s="2793"/>
      <c r="AM40" s="2639"/>
      <c r="AS40" s="2143">
        <v>34</v>
      </c>
    </row>
    <row customHeight="1" ht="35.699999999999996">
      <c r="A41" s="1778"/>
      <c r="B41" s="1778" t="s">
        <v>191</v>
      </c>
      <c r="C41" s="1778" t="s">
        <v>192</v>
      </c>
      <c r="D41" s="1778" t="s">
        <v>193</v>
      </c>
      <c r="E41" s="1822" t="s">
        <v>553</v>
      </c>
      <c r="F41" s="1822" t="s">
        <v>554</v>
      </c>
      <c r="G41" s="1822" t="s">
        <v>555</v>
      </c>
      <c r="H41" s="1822" t="s">
        <v>556</v>
      </c>
      <c r="I41" s="1822" t="s">
        <v>557</v>
      </c>
      <c r="J41" s="1822" t="s">
        <v>558</v>
      </c>
      <c r="K41" s="1822" t="s">
        <v>559</v>
      </c>
      <c r="L41" s="1822" t="s">
        <v>534</v>
      </c>
      <c r="Q41" s="888"/>
      <c r="R41" s="888"/>
      <c r="S41" s="2785"/>
      <c r="T41" s="2721"/>
      <c r="U41" s="814"/>
      <c r="V41" s="2773"/>
      <c r="W41" s="2796"/>
      <c r="X41" s="2450" t="s">
        <v>560</v>
      </c>
      <c r="Y41" s="2450" t="s">
        <v>561</v>
      </c>
      <c r="Z41" s="2450" t="s">
        <v>562</v>
      </c>
      <c r="AA41" s="2782" t="s">
        <v>563</v>
      </c>
      <c r="AB41" s="2783"/>
      <c r="AC41" s="2791"/>
      <c r="AD41" s="2773"/>
      <c r="AE41" s="2796"/>
      <c r="AF41" s="2450" t="s">
        <v>560</v>
      </c>
      <c r="AG41" s="2450" t="s">
        <v>561</v>
      </c>
      <c r="AH41" s="2450" t="s">
        <v>562</v>
      </c>
      <c r="AI41" s="2782" t="s">
        <v>563</v>
      </c>
      <c r="AJ41" s="2783"/>
      <c r="AK41" s="2791"/>
      <c r="AL41" s="2794"/>
      <c r="AM41" s="2639"/>
      <c r="AS41" s="2143">
        <v>34</v>
      </c>
    </row>
    <row s="47496" customFormat="1" customHeight="1" ht="11.25" hidden="1">
      <c r="A42" s="1778"/>
      <c r="B42" s="1778"/>
      <c r="C42" s="1778"/>
      <c r="D42" s="1778"/>
      <c r="E42" s="1778"/>
      <c r="F42" s="1778"/>
      <c r="G42" s="1778"/>
      <c r="H42" s="1778"/>
      <c r="I42" s="1778"/>
      <c r="J42" s="1778"/>
      <c r="K42" s="1778"/>
      <c r="L42" s="1822"/>
      <c r="M42" s="2477"/>
      <c r="N42" s="2477"/>
      <c r="O42" s="2477"/>
      <c r="P42" s="1758"/>
      <c r="Q42" s="1759"/>
      <c r="R42" s="1766">
        <v>1</v>
      </c>
      <c r="S42" s="1789" t="s">
        <v>101</v>
      </c>
      <c r="T42" s="1767" t="s">
        <v>105</v>
      </c>
      <c r="U42" s="1757" t="str">
        <f>OFFSET(U42,0,-1)</f>
        <v>2</v>
      </c>
      <c r="V42" s="2468">
        <f>OFFSET(V42,0,-1)+1</f>
        <v>3</v>
      </c>
      <c r="W42" s="2468"/>
      <c r="X42" s="2468">
        <f>OFFSET(X42,0,-1)+1</f>
        <v>1</v>
      </c>
      <c r="Y42" s="2468">
        <f>OFFSET(Y42,0,-1)+1</f>
        <v>2</v>
      </c>
      <c r="Z42" s="2468">
        <f>OFFSET(Z42,0,-1)+1</f>
        <v>3</v>
      </c>
      <c r="AA42" s="2784">
        <f>OFFSET(AA42,0,-1)+1</f>
        <v>4</v>
      </c>
      <c r="AB42" s="2784"/>
      <c r="AC42" s="2468">
        <f>OFFSET(AC42,0,-2)+1</f>
        <v>5</v>
      </c>
      <c r="AD42" s="2468">
        <f>OFFSET(AD42,0,-1)+1</f>
        <v>6</v>
      </c>
      <c r="AE42" s="2468"/>
      <c r="AF42" s="2468">
        <f>OFFSET(AF42,0,-1)+1</f>
        <v>1</v>
      </c>
      <c r="AG42" s="2468">
        <f>OFFSET(AG42,0,-1)+1</f>
        <v>2</v>
      </c>
      <c r="AH42" s="2468">
        <f>OFFSET(AH42,0,-1)+1</f>
        <v>3</v>
      </c>
      <c r="AI42" s="2784">
        <f>OFFSET(AI42,0,-1)+1</f>
        <v>4</v>
      </c>
      <c r="AJ42" s="2784"/>
      <c r="AK42" s="2468">
        <f>OFFSET(AK42,0,-2)+1</f>
        <v>5</v>
      </c>
      <c r="AL42" s="1757">
        <f>OFFSET(AL42,0,-1)</f>
        <v>5</v>
      </c>
      <c r="AM42" s="2468">
        <f>OFFSET(AM42,0,-1)+1</f>
        <v>6</v>
      </c>
      <c r="AN42" s="2148"/>
      <c r="AO42" s="2148"/>
      <c r="AP42" s="2148"/>
      <c r="AQ42" s="2148"/>
      <c r="AR42" s="2148"/>
      <c r="AS42" s="2153">
        <v>0</v>
      </c>
    </row>
    <row customHeight="1" ht="22.049999999999997">
      <c r="A43" s="1779" t="s">
        <v>261</v>
      </c>
      <c r="B43" s="1779"/>
      <c r="C43" s="1779"/>
      <c r="D43" s="1779"/>
      <c r="E43" s="2801">
        <v>1</v>
      </c>
      <c r="F43" s="1779"/>
      <c r="G43" s="1779"/>
      <c r="H43" s="1779"/>
      <c r="I43" s="1779"/>
      <c r="J43" s="1779"/>
      <c r="K43" s="1779"/>
      <c r="L43" s="1822"/>
      <c r="M43" s="2122"/>
      <c r="N43" s="2122"/>
      <c r="O43" s="2122"/>
      <c r="P43" s="2102"/>
      <c r="Q43" s="872"/>
      <c r="R43" s="867"/>
      <c r="S43" s="2470">
        <f>INDEX(PT_DIFFERENTIATION_NUM_NTAR,MATCH(A43,PT_DIFFERENTIATION_NTAR_ID,0))</f>
        <v>0</v>
      </c>
      <c r="T43" s="2037" t="s">
        <v>179</v>
      </c>
      <c r="U43" s="812"/>
      <c r="V43" s="2754"/>
      <c r="W43" s="2755"/>
      <c r="X43" s="2755"/>
      <c r="Y43" s="2755"/>
      <c r="Z43" s="2755"/>
      <c r="AA43" s="2755"/>
      <c r="AB43" s="2755"/>
      <c r="AC43" s="2756"/>
      <c r="AD43" s="2754" t="str">
        <f>INDEX(PT_DIFFERENTIATION_NTAR,MATCH(A43,PT_DIFFERENTIATION_NTAR_ID,0))</f>
        <v/>
      </c>
      <c r="AE43" s="2755"/>
      <c r="AF43" s="2755"/>
      <c r="AG43" s="2755"/>
      <c r="AH43" s="2755"/>
      <c r="AI43" s="2755"/>
      <c r="AJ43" s="2755"/>
      <c r="AK43" s="2755"/>
      <c r="AL43" s="2756"/>
      <c r="AM43" s="177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2136"/>
      <c r="AP43" s="2136" t="str">
        <f>IF(T43="","",T43)</f>
        <v>Наименование тарифа</v>
      </c>
      <c r="AQ43" s="2136"/>
      <c r="AR43" s="2136"/>
      <c r="AS43" s="2143">
        <v>21</v>
      </c>
    </row>
    <row customHeight="1" ht="22.049999999999997">
      <c r="A44" s="1779" t="s">
        <v>261</v>
      </c>
      <c r="B44" s="1779" t="s">
        <v>262</v>
      </c>
      <c r="C44" s="1779"/>
      <c r="D44" s="1779"/>
      <c r="E44" s="2802"/>
      <c r="F44" s="2801">
        <v>1</v>
      </c>
      <c r="G44" s="1779"/>
      <c r="H44" s="1779"/>
      <c r="I44" s="1779"/>
      <c r="J44" s="1779"/>
      <c r="K44" s="1779"/>
      <c r="L44" s="1822"/>
      <c r="M44" s="2122"/>
      <c r="N44" s="2122"/>
      <c r="O44" s="2122"/>
      <c r="P44" s="2452"/>
      <c r="Q44" s="864"/>
      <c r="R44" s="865"/>
      <c r="S44" s="2470" t="str">
        <f>INDEX(PT_DIFFERENTIATION_NUM_TER,MATCH(B44,PT_DIFFERENTIATION_TER_ID,0))</f>
        <v>.</v>
      </c>
      <c r="T44" s="2034" t="s">
        <v>515</v>
      </c>
      <c r="U44" s="812"/>
      <c r="V44" s="2754"/>
      <c r="W44" s="2755"/>
      <c r="X44" s="2755"/>
      <c r="Y44" s="2755"/>
      <c r="Z44" s="2755"/>
      <c r="AA44" s="2755"/>
      <c r="AB44" s="2755"/>
      <c r="AC44" s="2756"/>
      <c r="AD44" s="2754" t="str">
        <f>INDEX(PT_DIFFERENTIATION_TER,MATCH(B44,PT_DIFFERENTIATION_TER_ID,0))</f>
        <v/>
      </c>
      <c r="AE44" s="2755"/>
      <c r="AF44" s="2755"/>
      <c r="AG44" s="2755"/>
      <c r="AH44" s="2755"/>
      <c r="AI44" s="2755"/>
      <c r="AJ44" s="2755"/>
      <c r="AK44" s="2755"/>
      <c r="AL44" s="2756"/>
      <c r="AM44" s="1770" t="s">
        <v>516</v>
      </c>
      <c r="AO44" s="2136"/>
      <c r="AP44" s="2136" t="str">
        <f>IF(T44="","",T44)</f>
        <v>Территория действия тарифа</v>
      </c>
      <c r="AQ44" s="2136"/>
      <c r="AR44" s="2136"/>
      <c r="AS44" s="2143">
        <v>21</v>
      </c>
    </row>
    <row customHeight="1" ht="24">
      <c r="A45" s="1779" t="s">
        <v>261</v>
      </c>
      <c r="B45" s="1779" t="s">
        <v>262</v>
      </c>
      <c r="C45" s="1779" t="s">
        <v>263</v>
      </c>
      <c r="D45" s="1779"/>
      <c r="E45" s="2802"/>
      <c r="F45" s="2802"/>
      <c r="G45" s="2801">
        <v>1</v>
      </c>
      <c r="H45" s="1779"/>
      <c r="I45" s="1779"/>
      <c r="J45" s="1779"/>
      <c r="K45" s="1779"/>
      <c r="L45" s="1822"/>
      <c r="M45" s="2122"/>
      <c r="N45" s="2122"/>
      <c r="O45" s="2122"/>
      <c r="P45" s="866"/>
      <c r="Q45" s="864"/>
      <c r="R45" s="865"/>
      <c r="S45" s="2470" t="str">
        <f>INDEX(PT_DIFFERENTIATION_NUM_CS,MATCH(C45,PT_DIFFERENTIATION_CS_ID,0))</f>
        <v>..</v>
      </c>
      <c r="T45" s="821" t="s">
        <v>517</v>
      </c>
      <c r="U45" s="812"/>
      <c r="V45" s="2754"/>
      <c r="W45" s="2755"/>
      <c r="X45" s="2755"/>
      <c r="Y45" s="2755"/>
      <c r="Z45" s="2755"/>
      <c r="AA45" s="2755"/>
      <c r="AB45" s="2755"/>
      <c r="AC45" s="2756"/>
      <c r="AD45" s="2754" t="str">
        <f>INDEX(PT_DIFFERENTIATION_CS,MATCH(C45,PT_DIFFERENTIATION_CS_ID,0))</f>
        <v/>
      </c>
      <c r="AE45" s="2755"/>
      <c r="AF45" s="2755"/>
      <c r="AG45" s="2755"/>
      <c r="AH45" s="2755"/>
      <c r="AI45" s="2755"/>
      <c r="AJ45" s="2755"/>
      <c r="AK45" s="2755"/>
      <c r="AL45" s="2756"/>
      <c r="AM45" s="1770" t="s">
        <v>518</v>
      </c>
      <c r="AO45" s="2136"/>
      <c r="AP45" s="2136" t="str">
        <f>IF(T45="","",T45)</f>
        <v>Наименование системы теплоснабжения </v>
      </c>
      <c r="AQ45" s="2136"/>
      <c r="AR45" s="2136"/>
      <c r="AS45" s="2143">
        <v>23</v>
      </c>
    </row>
    <row customHeight="1" ht="22.049999999999997">
      <c r="A46" s="1779" t="s">
        <v>261</v>
      </c>
      <c r="B46" s="1779" t="s">
        <v>262</v>
      </c>
      <c r="C46" s="1779" t="s">
        <v>263</v>
      </c>
      <c r="D46" s="1779" t="s">
        <v>264</v>
      </c>
      <c r="E46" s="2802"/>
      <c r="F46" s="2802"/>
      <c r="G46" s="2802"/>
      <c r="H46" s="2801">
        <v>1</v>
      </c>
      <c r="I46" s="1779"/>
      <c r="J46" s="1779"/>
      <c r="K46" s="1779"/>
      <c r="L46" s="1822"/>
      <c r="M46" s="2122"/>
      <c r="N46" s="2122"/>
      <c r="O46" s="2122"/>
      <c r="P46" s="866"/>
      <c r="Q46" s="864"/>
      <c r="R46" s="865"/>
      <c r="S46" s="2470" t="str">
        <f>INDEX(PT_DIFFERENTIATION_NUM_IST_TE,MATCH(D46,PT_DIFFERENTIATION_IST_TE_ID,0))</f>
        <v>...</v>
      </c>
      <c r="T46" s="822" t="s">
        <v>519</v>
      </c>
      <c r="U46" s="812"/>
      <c r="V46" s="2754"/>
      <c r="W46" s="2755"/>
      <c r="X46" s="2755"/>
      <c r="Y46" s="2755"/>
      <c r="Z46" s="2755"/>
      <c r="AA46" s="2755"/>
      <c r="AB46" s="2755"/>
      <c r="AC46" s="2756"/>
      <c r="AD46" s="2754" t="str">
        <f>INDEX(PT_DIFFERENTIATION_IST_TE,MATCH(D46,PT_DIFFERENTIATION_IST_TE_ID,0))</f>
        <v/>
      </c>
      <c r="AE46" s="2755"/>
      <c r="AF46" s="2755"/>
      <c r="AG46" s="2755"/>
      <c r="AH46" s="2755"/>
      <c r="AI46" s="2755"/>
      <c r="AJ46" s="2755"/>
      <c r="AK46" s="2755"/>
      <c r="AL46" s="2756"/>
      <c r="AM46" s="1770" t="s">
        <v>520</v>
      </c>
      <c r="AO46" s="2136"/>
      <c r="AP46" s="2136" t="str">
        <f>IF(T46="","",T46)</f>
        <v>Источник тепловой энергии  </v>
      </c>
      <c r="AQ46" s="2136"/>
      <c r="AR46" s="2136"/>
      <c r="AS46" s="2143">
        <v>21</v>
      </c>
    </row>
    <row customHeight="1" ht="49.5">
      <c r="A47" s="1779" t="s">
        <v>261</v>
      </c>
      <c r="B47" s="1779" t="s">
        <v>262</v>
      </c>
      <c r="C47" s="1779" t="s">
        <v>263</v>
      </c>
      <c r="D47" s="1779" t="s">
        <v>264</v>
      </c>
      <c r="E47" s="2802"/>
      <c r="F47" s="2802"/>
      <c r="G47" s="2802"/>
      <c r="H47" s="2802"/>
      <c r="I47" s="2639" t="str">
        <f>S46&amp;".1"</f>
        <v>....1</v>
      </c>
      <c r="J47" s="1779"/>
      <c r="K47" s="1779"/>
      <c r="L47" s="1822" t="s">
        <v>521</v>
      </c>
      <c r="P47" s="2769">
        <v>1</v>
      </c>
      <c r="Q47" s="2466"/>
      <c r="R47" s="868"/>
      <c r="S47" s="2470" t="str">
        <f>$I47</f>
        <v>....1</v>
      </c>
      <c r="T47" s="797" t="s">
        <v>522</v>
      </c>
      <c r="U47" s="812"/>
      <c r="V47" s="2757"/>
      <c r="W47" s="2758"/>
      <c r="X47" s="2758"/>
      <c r="Y47" s="2758"/>
      <c r="Z47" s="2758"/>
      <c r="AA47" s="2758"/>
      <c r="AB47" s="2758"/>
      <c r="AC47" s="2759"/>
      <c r="AD47" s="2757"/>
      <c r="AE47" s="2758"/>
      <c r="AF47" s="2758"/>
      <c r="AG47" s="2758"/>
      <c r="AH47" s="2758"/>
      <c r="AI47" s="2758"/>
      <c r="AJ47" s="2758"/>
      <c r="AK47" s="2758"/>
      <c r="AL47" s="2759"/>
      <c r="AM47" s="1770" t="s">
        <v>523</v>
      </c>
      <c r="AO47" s="2136"/>
      <c r="AP47" s="2136" t="str">
        <f>IF(T47="","",T47)</f>
        <v>Схема подключения теплопотребляющей установки к коллектору источника тепловой энергии</v>
      </c>
      <c r="AQ47" s="2136"/>
      <c r="AR47" s="2136"/>
      <c r="AS47" s="2143">
        <v>47</v>
      </c>
    </row>
    <row customHeight="1" ht="22.049999999999997">
      <c r="A48" s="1779" t="s">
        <v>261</v>
      </c>
      <c r="B48" s="1779" t="s">
        <v>262</v>
      </c>
      <c r="C48" s="1779" t="s">
        <v>263</v>
      </c>
      <c r="D48" s="1779" t="s">
        <v>264</v>
      </c>
      <c r="E48" s="2802"/>
      <c r="F48" s="2802"/>
      <c r="G48" s="2802"/>
      <c r="H48" s="2802"/>
      <c r="I48" s="2613"/>
      <c r="J48" s="2639" t="str">
        <f>I47&amp;".1"</f>
        <v>....1.1</v>
      </c>
      <c r="K48" s="1779"/>
      <c r="L48" s="1822" t="s">
        <v>524</v>
      </c>
      <c r="P48" s="2769"/>
      <c r="Q48" s="2769">
        <v>1</v>
      </c>
      <c r="R48" s="869"/>
      <c r="S48" s="2470" t="str">
        <f>$J48</f>
        <v>....1.1</v>
      </c>
      <c r="T48" s="798" t="s">
        <v>525</v>
      </c>
      <c r="U48" s="812"/>
      <c r="V48" s="2757"/>
      <c r="W48" s="2758"/>
      <c r="X48" s="2758"/>
      <c r="Y48" s="2758"/>
      <c r="Z48" s="2758"/>
      <c r="AA48" s="2758"/>
      <c r="AB48" s="2758"/>
      <c r="AC48" s="2759"/>
      <c r="AD48" s="2757"/>
      <c r="AE48" s="2758"/>
      <c r="AF48" s="2758"/>
      <c r="AG48" s="2758"/>
      <c r="AH48" s="2758"/>
      <c r="AI48" s="2758"/>
      <c r="AJ48" s="2758"/>
      <c r="AK48" s="2758"/>
      <c r="AL48" s="2759"/>
      <c r="AM48" s="1770" t="s">
        <v>526</v>
      </c>
      <c r="AO48" s="2136"/>
      <c r="AP48" s="2136" t="str">
        <f>IF(T48="","",T48)</f>
        <v>Группа потребителей</v>
      </c>
      <c r="AQ48" s="2136"/>
      <c r="AR48" s="2136"/>
      <c r="AS48" s="2143">
        <v>21</v>
      </c>
    </row>
    <row customHeight="1" ht="22.049999999999997">
      <c r="A49" s="1779" t="s">
        <v>261</v>
      </c>
      <c r="B49" s="1779" t="s">
        <v>262</v>
      </c>
      <c r="C49" s="1779" t="s">
        <v>263</v>
      </c>
      <c r="D49" s="1779" t="s">
        <v>264</v>
      </c>
      <c r="E49" s="2802"/>
      <c r="F49" s="2802"/>
      <c r="G49" s="2802"/>
      <c r="H49" s="2802"/>
      <c r="I49" s="2613"/>
      <c r="J49" s="2613"/>
      <c r="K49" s="2639" t="str">
        <f>J48&amp;".1"</f>
        <v>....1.1.1</v>
      </c>
      <c r="L49" s="1822" t="s">
        <v>527</v>
      </c>
      <c r="P49" s="2769"/>
      <c r="Q49" s="2769"/>
      <c r="R49" s="869">
        <v>1</v>
      </c>
      <c r="S49" s="2470" t="str">
        <f>$K49</f>
        <v>....1.1.1</v>
      </c>
      <c r="T49" s="1859"/>
      <c r="U49" s="812"/>
      <c r="V49" s="1263"/>
      <c r="W49" s="837"/>
      <c r="X49" s="1263"/>
      <c r="Y49" s="1769"/>
      <c r="Z49" s="2777"/>
      <c r="AA49" s="2619" t="s">
        <v>63</v>
      </c>
      <c r="AB49" s="2777"/>
      <c r="AC49" s="2619" t="s">
        <v>63</v>
      </c>
      <c r="AD49" s="1263"/>
      <c r="AE49" s="837"/>
      <c r="AF49" s="1263"/>
      <c r="AG49" s="1769"/>
      <c r="AH49" s="2777"/>
      <c r="AI49" s="2619" t="s">
        <v>63</v>
      </c>
      <c r="AJ49" s="2799"/>
      <c r="AK49" s="2619" t="s">
        <v>63</v>
      </c>
      <c r="AL49" s="1860"/>
      <c r="AM49" s="2765" t="s">
        <v>528</v>
      </c>
      <c r="AN49" s="2148">
        <f>STRCHECKDATE(V50:AL50)</f>
      </c>
      <c r="AO49" s="2136"/>
      <c r="AP49" s="2136" t="str">
        <f>IF(T49="","",T49)</f>
        <v/>
      </c>
      <c r="AQ49" s="2136"/>
      <c r="AR49" s="2136"/>
      <c r="AS49" s="2143">
        <v>21</v>
      </c>
    </row>
    <row customHeight="1" ht="1.05">
      <c r="A50" s="1779" t="s">
        <v>261</v>
      </c>
      <c r="B50" s="1779" t="s">
        <v>262</v>
      </c>
      <c r="C50" s="1779" t="s">
        <v>263</v>
      </c>
      <c r="D50" s="1779" t="s">
        <v>264</v>
      </c>
      <c r="E50" s="2802"/>
      <c r="F50" s="2802"/>
      <c r="G50" s="2802"/>
      <c r="H50" s="2802"/>
      <c r="I50" s="2613"/>
      <c r="J50" s="2613"/>
      <c r="K50" s="2639"/>
      <c r="L50" s="1822"/>
      <c r="P50" s="2769"/>
      <c r="Q50" s="2769"/>
      <c r="R50" s="869"/>
      <c r="S50" s="2479"/>
      <c r="T50" s="812"/>
      <c r="U50" s="812"/>
      <c r="V50" s="837"/>
      <c r="W50" s="837"/>
      <c r="X50" s="837"/>
      <c r="Y50" s="840" t="str">
        <f>Z49&amp;"-"&amp;AB49</f>
        <v>-</v>
      </c>
      <c r="Z50" s="2778"/>
      <c r="AA50" s="2619"/>
      <c r="AB50" s="2778"/>
      <c r="AC50" s="2619"/>
      <c r="AD50" s="837"/>
      <c r="AE50" s="837"/>
      <c r="AF50" s="837"/>
      <c r="AG50" s="840" t="str">
        <f>AH49&amp;"-"&amp;AJ49</f>
        <v>-</v>
      </c>
      <c r="AH50" s="2778"/>
      <c r="AI50" s="2619"/>
      <c r="AJ50" s="2800"/>
      <c r="AK50" s="2619"/>
      <c r="AL50" s="1861"/>
      <c r="AM50" s="2766"/>
      <c r="AO50" s="2136"/>
      <c r="AP50" s="2136" t="str">
        <f>IF(T50="","",T50)</f>
        <v/>
      </c>
      <c r="AQ50" s="2136"/>
      <c r="AR50" s="2136"/>
      <c r="AS50" s="2143">
        <v>1</v>
      </c>
    </row>
    <row customHeight="1" ht="11.549999999999999">
      <c r="A51" s="1779" t="s">
        <v>261</v>
      </c>
      <c r="B51" s="1779" t="s">
        <v>262</v>
      </c>
      <c r="C51" s="1779" t="s">
        <v>263</v>
      </c>
      <c r="D51" s="1779" t="s">
        <v>264</v>
      </c>
      <c r="E51" s="2802"/>
      <c r="F51" s="2802"/>
      <c r="G51" s="2802"/>
      <c r="H51" s="2802"/>
      <c r="I51" s="2613"/>
      <c r="J51" s="2639"/>
      <c r="K51" s="1779"/>
      <c r="L51" s="1822"/>
      <c r="P51" s="2769"/>
      <c r="Q51" s="2769"/>
      <c r="R51" s="868"/>
      <c r="S51" s="1790"/>
      <c r="T51" s="800" t="s">
        <v>529</v>
      </c>
      <c r="U51" s="1112"/>
      <c r="V51" s="1112"/>
      <c r="W51" s="1112"/>
      <c r="X51" s="1112"/>
      <c r="Y51" s="1112"/>
      <c r="Z51" s="1112"/>
      <c r="AA51" s="1112"/>
      <c r="AB51" s="1112"/>
      <c r="AC51" s="1112"/>
      <c r="AD51" s="1112"/>
      <c r="AE51" s="1112"/>
      <c r="AF51" s="1112"/>
      <c r="AG51" s="1112"/>
      <c r="AH51" s="1112"/>
      <c r="AI51" s="1112"/>
      <c r="AJ51" s="1112"/>
      <c r="AK51" s="1112"/>
      <c r="AL51" s="836"/>
      <c r="AM51" s="2767"/>
      <c r="AO51" s="2136"/>
      <c r="AP51" s="2136" t="str">
        <f>IF(T51="","",T51)</f>
        <v>Добавить вид теплоносителя (параметры теплоносителя)</v>
      </c>
      <c r="AQ51" s="2136"/>
      <c r="AR51" s="2136"/>
      <c r="AS51" s="2143">
        <v>11</v>
      </c>
    </row>
    <row customHeight="1" ht="11.549999999999999">
      <c r="A52" s="1779" t="s">
        <v>261</v>
      </c>
      <c r="B52" s="1779" t="s">
        <v>262</v>
      </c>
      <c r="C52" s="1779" t="s">
        <v>263</v>
      </c>
      <c r="D52" s="1779" t="s">
        <v>264</v>
      </c>
      <c r="E52" s="2802"/>
      <c r="F52" s="2802"/>
      <c r="G52" s="2802"/>
      <c r="H52" s="2802"/>
      <c r="I52" s="2639"/>
      <c r="J52" s="1779"/>
      <c r="K52" s="1779"/>
      <c r="L52" s="1822"/>
      <c r="P52" s="2769"/>
      <c r="Q52" s="2466"/>
      <c r="R52" s="868"/>
      <c r="S52" s="1790"/>
      <c r="T52" s="799" t="s">
        <v>530</v>
      </c>
      <c r="U52" s="1112"/>
      <c r="V52" s="1112"/>
      <c r="W52" s="1112"/>
      <c r="X52" s="1112"/>
      <c r="Y52" s="1112"/>
      <c r="Z52" s="1112"/>
      <c r="AA52" s="1112"/>
      <c r="AB52" s="1112"/>
      <c r="AC52" s="878"/>
      <c r="AD52" s="1112"/>
      <c r="AE52" s="1112"/>
      <c r="AF52" s="1112"/>
      <c r="AG52" s="1112"/>
      <c r="AH52" s="1112"/>
      <c r="AI52" s="1112"/>
      <c r="AJ52" s="1112"/>
      <c r="AK52" s="878"/>
      <c r="AL52" s="1112"/>
      <c r="AM52" s="815"/>
      <c r="AO52" s="2136"/>
      <c r="AP52" s="2136" t="str">
        <f>IF(T52="","",T52)</f>
        <v>Добавить группу потребителей</v>
      </c>
      <c r="AQ52" s="2136"/>
      <c r="AR52" s="2136"/>
      <c r="AS52" s="2143">
        <v>11</v>
      </c>
    </row>
    <row customHeight="1" ht="14.699999999999998">
      <c r="A53" s="1779" t="s">
        <v>261</v>
      </c>
      <c r="B53" s="1779" t="s">
        <v>262</v>
      </c>
      <c r="C53" s="1779" t="s">
        <v>263</v>
      </c>
      <c r="D53" s="1779" t="s">
        <v>264</v>
      </c>
      <c r="E53" s="2802"/>
      <c r="F53" s="2802"/>
      <c r="G53" s="2802"/>
      <c r="H53" s="2801"/>
      <c r="I53" s="1779"/>
      <c r="J53" s="1779"/>
      <c r="K53" s="1779"/>
      <c r="L53" s="1822"/>
      <c r="M53" s="2122"/>
      <c r="N53" s="2122"/>
      <c r="O53" s="2147"/>
      <c r="P53" s="872"/>
      <c r="Q53" s="887"/>
      <c r="R53" s="867"/>
      <c r="S53" s="1790"/>
      <c r="T53" s="877" t="s">
        <v>531</v>
      </c>
      <c r="U53" s="1112"/>
      <c r="V53" s="1112"/>
      <c r="W53" s="1112"/>
      <c r="X53" s="1112"/>
      <c r="Y53" s="1112"/>
      <c r="Z53" s="1112"/>
      <c r="AA53" s="1112"/>
      <c r="AB53" s="1112"/>
      <c r="AC53" s="878"/>
      <c r="AD53" s="1112"/>
      <c r="AE53" s="1112"/>
      <c r="AF53" s="1112"/>
      <c r="AG53" s="1112"/>
      <c r="AH53" s="1112"/>
      <c r="AI53" s="1112"/>
      <c r="AJ53" s="1112"/>
      <c r="AK53" s="878"/>
      <c r="AL53" s="1112"/>
      <c r="AM53" s="815"/>
      <c r="AO53" s="2136"/>
      <c r="AP53" s="2136" t="str">
        <f>IF(T53="","",T53)</f>
        <v>Добавить схему подключения</v>
      </c>
      <c r="AQ53" s="2136"/>
      <c r="AR53" s="2136"/>
      <c r="AS53" s="2143">
        <v>14</v>
      </c>
    </row>
    <row s="46890" customFormat="1" customHeight="1" ht="4.2">
      <c r="A54" s="1887" t="s">
        <v>261</v>
      </c>
      <c r="B54" s="1887" t="s">
        <v>262</v>
      </c>
      <c r="C54" s="1887" t="s">
        <v>263</v>
      </c>
      <c r="D54" s="1886"/>
      <c r="E54" s="2802"/>
      <c r="F54" s="2802"/>
      <c r="G54" s="2801"/>
      <c r="H54" s="1886"/>
      <c r="I54" s="1886"/>
      <c r="J54" s="1886"/>
      <c r="K54" s="1886"/>
      <c r="L54" s="1889"/>
      <c r="M54" s="1890"/>
      <c r="N54" s="1890"/>
      <c r="O54" s="863"/>
      <c r="P54" s="1828"/>
      <c r="Q54" s="1829"/>
      <c r="R54" s="1828"/>
      <c r="S54" s="1834"/>
      <c r="T54" s="1837" t="s">
        <v>532</v>
      </c>
      <c r="U54" s="1836"/>
      <c r="V54" s="1836"/>
      <c r="W54" s="1836"/>
      <c r="X54" s="1836"/>
      <c r="Y54" s="1836"/>
      <c r="Z54" s="1836"/>
      <c r="AA54" s="1836"/>
      <c r="AB54" s="1836"/>
      <c r="AC54" s="1836"/>
      <c r="AD54" s="1836"/>
      <c r="AE54" s="1836"/>
      <c r="AF54" s="1836"/>
      <c r="AG54" s="1836"/>
      <c r="AH54" s="1836"/>
      <c r="AI54" s="1836"/>
      <c r="AJ54" s="1836"/>
      <c r="AK54" s="1836"/>
      <c r="AL54" s="1836"/>
      <c r="AM54" s="1836"/>
      <c r="AO54" s="1763"/>
      <c r="AP54" s="1763" t="str">
        <f>IF(T54="","",T54)</f>
        <v>Добавить источник для дифференциации</v>
      </c>
      <c r="AQ54" s="1763"/>
      <c r="AR54" s="1763"/>
      <c r="AS54" s="2154">
        <v>4</v>
      </c>
    </row>
    <row s="46890" customFormat="1" customHeight="1" ht="4.2">
      <c r="A55" s="1887" t="s">
        <v>261</v>
      </c>
      <c r="B55" s="1887" t="s">
        <v>262</v>
      </c>
      <c r="C55" s="1886"/>
      <c r="D55" s="1886"/>
      <c r="E55" s="2802"/>
      <c r="F55" s="2801"/>
      <c r="G55" s="1886"/>
      <c r="H55" s="1886"/>
      <c r="I55" s="1886"/>
      <c r="J55" s="1886"/>
      <c r="K55" s="1886"/>
      <c r="L55" s="1889"/>
      <c r="M55" s="1891"/>
      <c r="N55" s="1891"/>
      <c r="O55" s="863"/>
      <c r="P55" s="1828"/>
      <c r="Q55" s="1829"/>
      <c r="R55" s="1828"/>
      <c r="S55" s="1834"/>
      <c r="T55" s="1837" t="s">
        <v>321</v>
      </c>
      <c r="U55" s="1836"/>
      <c r="V55" s="1836"/>
      <c r="W55" s="1836"/>
      <c r="X55" s="1836"/>
      <c r="Y55" s="1836"/>
      <c r="Z55" s="1836"/>
      <c r="AA55" s="1836"/>
      <c r="AB55" s="1836"/>
      <c r="AC55" s="1836"/>
      <c r="AD55" s="1836"/>
      <c r="AE55" s="1836"/>
      <c r="AF55" s="1836"/>
      <c r="AG55" s="1836"/>
      <c r="AH55" s="1836"/>
      <c r="AI55" s="1836"/>
      <c r="AJ55" s="1836"/>
      <c r="AK55" s="1836"/>
      <c r="AL55" s="1836"/>
      <c r="AM55" s="1836"/>
      <c r="AO55" s="1763"/>
      <c r="AP55" s="1763" t="str">
        <f>IF(T55="","",T55)</f>
        <v>Добавить централизованную систему для дифференциации</v>
      </c>
      <c r="AQ55" s="1763"/>
      <c r="AR55" s="1763"/>
      <c r="AS55" s="2154">
        <v>4</v>
      </c>
    </row>
    <row s="46890" customFormat="1" customHeight="1" ht="4.2">
      <c r="A56" s="1887" t="s">
        <v>261</v>
      </c>
      <c r="B56" s="1887"/>
      <c r="C56" s="1887"/>
      <c r="D56" s="1887"/>
      <c r="E56" s="2801"/>
      <c r="F56" s="1887"/>
      <c r="G56" s="1887"/>
      <c r="H56" s="1887"/>
      <c r="I56" s="1887"/>
      <c r="J56" s="1887"/>
      <c r="K56" s="1887"/>
      <c r="L56" s="1893"/>
      <c r="M56" s="1891"/>
      <c r="N56" s="1891"/>
      <c r="O56" s="863"/>
      <c r="P56" s="892"/>
      <c r="Q56" s="1856"/>
      <c r="R56" s="892"/>
      <c r="S56" s="1834"/>
      <c r="T56" s="1837" t="s">
        <v>385</v>
      </c>
      <c r="U56" s="1836"/>
      <c r="V56" s="1836"/>
      <c r="W56" s="1836"/>
      <c r="X56" s="1836"/>
      <c r="Y56" s="1836"/>
      <c r="Z56" s="1836"/>
      <c r="AA56" s="1836"/>
      <c r="AB56" s="1836"/>
      <c r="AC56" s="1836"/>
      <c r="AD56" s="1836"/>
      <c r="AE56" s="1836"/>
      <c r="AF56" s="1836"/>
      <c r="AG56" s="1836"/>
      <c r="AH56" s="1836"/>
      <c r="AI56" s="1836"/>
      <c r="AJ56" s="1836"/>
      <c r="AK56" s="1836"/>
      <c r="AL56" s="1836"/>
      <c r="AM56" s="1836"/>
      <c r="AO56" s="2136"/>
      <c r="AP56" s="2136" t="str">
        <f>IF(T56="","",T56)</f>
        <v>Добавить территорию для дифференциации</v>
      </c>
      <c r="AQ56" s="2136"/>
      <c r="AR56" s="2136"/>
      <c r="AS56" s="2148">
        <v>4</v>
      </c>
    </row>
    <row s="46890" customFormat="1" customHeight="1" ht="4.2">
      <c r="A57" s="1886"/>
      <c r="B57" s="1886"/>
      <c r="C57" s="1886"/>
      <c r="D57" s="1886"/>
      <c r="E57" s="1887"/>
      <c r="F57" s="1886"/>
      <c r="G57" s="1886"/>
      <c r="H57" s="1886"/>
      <c r="I57" s="1886"/>
      <c r="J57" s="1886"/>
      <c r="K57" s="1886"/>
      <c r="L57" s="1889"/>
      <c r="M57" s="1891"/>
      <c r="N57" s="1891"/>
      <c r="O57" s="863"/>
      <c r="P57" s="1828"/>
      <c r="Q57" s="1829"/>
      <c r="R57" s="1828"/>
      <c r="S57" s="1834"/>
      <c r="T57" s="1837" t="s">
        <v>386</v>
      </c>
      <c r="U57" s="1836"/>
      <c r="V57" s="1836"/>
      <c r="W57" s="1836"/>
      <c r="X57" s="1836"/>
      <c r="Y57" s="1836"/>
      <c r="Z57" s="1836"/>
      <c r="AA57" s="1836"/>
      <c r="AB57" s="1836"/>
      <c r="AC57" s="1836"/>
      <c r="AD57" s="1836"/>
      <c r="AE57" s="1836"/>
      <c r="AF57" s="1836"/>
      <c r="AG57" s="1836"/>
      <c r="AH57" s="1836"/>
      <c r="AI57" s="1836"/>
      <c r="AJ57" s="1836"/>
      <c r="AK57" s="1836"/>
      <c r="AL57" s="1836"/>
      <c r="AM57" s="1836"/>
      <c r="AO57" s="1763"/>
      <c r="AP57" s="1763" t="str">
        <f>IF(T57="","",T57)</f>
        <v>Добавить наименование тарифа</v>
      </c>
      <c r="AQ57" s="1763"/>
      <c r="AR57" s="1763"/>
      <c r="AS57" s="2154">
        <v>4</v>
      </c>
    </row>
    <row customHeight="1" ht="11.549999999999999">
      <c r="M58" s="2143"/>
      <c r="N58" s="2143"/>
      <c r="O58" s="2147"/>
      <c r="P58" s="2143"/>
      <c r="Q58" s="2143"/>
      <c r="R58" s="2143"/>
      <c r="S58" s="2143"/>
      <c r="AN58" s="2143"/>
      <c r="AO58" s="2143"/>
      <c r="AP58" s="2143"/>
      <c r="AQ58" s="2143"/>
      <c r="AR58" s="2143"/>
      <c r="AS58" s="2143">
        <v>11</v>
      </c>
    </row>
    <row customHeight="1" ht="28.5">
      <c r="O59" s="2147"/>
      <c r="S59" s="1765"/>
      <c r="T59" s="2797"/>
      <c r="U59" s="2797"/>
      <c r="V59" s="2797"/>
      <c r="W59" s="2797"/>
      <c r="X59" s="2797"/>
      <c r="Y59" s="2797"/>
      <c r="Z59" s="2797"/>
      <c r="AA59" s="2797"/>
      <c r="AB59" s="2797"/>
      <c r="AC59" s="2797"/>
      <c r="AD59" s="2797"/>
      <c r="AE59" s="2797"/>
      <c r="AF59" s="2797"/>
      <c r="AG59" s="2797"/>
      <c r="AH59" s="2797"/>
      <c r="AI59" s="2797"/>
      <c r="AJ59" s="2797"/>
      <c r="AK59" s="2797"/>
      <c r="AL59" s="2797"/>
      <c r="AM59" s="2797"/>
      <c r="AS59" s="2143">
        <v>27</v>
      </c>
    </row>
    <row customHeight="1" ht="65.25">
      <c r="O60" s="2147"/>
      <c r="T60" s="2797"/>
      <c r="U60" s="2797"/>
      <c r="V60" s="2797"/>
      <c r="W60" s="2797"/>
      <c r="X60" s="2797"/>
      <c r="Y60" s="2797"/>
      <c r="Z60" s="2797"/>
      <c r="AA60" s="2797"/>
      <c r="AB60" s="2797"/>
      <c r="AC60" s="2797"/>
      <c r="AD60" s="2797"/>
      <c r="AE60" s="2797"/>
      <c r="AF60" s="2797"/>
      <c r="AG60" s="2797"/>
      <c r="AH60" s="2797"/>
      <c r="AI60" s="2797"/>
      <c r="AJ60" s="2797"/>
      <c r="AK60" s="2797"/>
      <c r="AL60" s="2797"/>
      <c r="AM60" s="2797"/>
      <c r="AS60" s="2143">
        <v>62</v>
      </c>
    </row>
    <row customHeight="1" ht="14.699999999999998">
      <c r="O61" s="2147"/>
      <c r="AS61" s="2143">
        <v>14</v>
      </c>
    </row>
    <row customHeight="1" ht="18.75">
      <c r="O62" s="2147"/>
      <c r="S62" s="1765"/>
      <c r="T62" s="2797"/>
      <c r="U62" s="2797"/>
      <c r="V62" s="2797"/>
      <c r="W62" s="2797"/>
      <c r="X62" s="2797"/>
      <c r="Y62" s="2797"/>
      <c r="Z62" s="2797"/>
      <c r="AA62" s="2797"/>
      <c r="AB62" s="2797"/>
      <c r="AC62" s="2797"/>
      <c r="AD62" s="2797"/>
      <c r="AE62" s="2797"/>
      <c r="AF62" s="2797"/>
      <c r="AG62" s="2797"/>
      <c r="AH62" s="2797"/>
      <c r="AI62" s="2797"/>
      <c r="AJ62" s="2797"/>
      <c r="AK62" s="2797"/>
      <c r="AL62" s="2797"/>
      <c r="AM62" s="2797"/>
      <c r="AS62" s="2143">
        <v>18</v>
      </c>
    </row>
    <row customHeight="1" ht="18.75">
      <c r="O63" s="2147"/>
      <c r="T63" s="2797"/>
      <c r="U63" s="2797"/>
      <c r="V63" s="2797"/>
      <c r="W63" s="2797"/>
      <c r="X63" s="2797"/>
      <c r="Y63" s="2797"/>
      <c r="Z63" s="2797"/>
      <c r="AA63" s="2797"/>
      <c r="AB63" s="2797"/>
      <c r="AC63" s="2797"/>
      <c r="AD63" s="2797"/>
      <c r="AE63" s="2797"/>
      <c r="AF63" s="2797"/>
      <c r="AG63" s="2797"/>
      <c r="AH63" s="2797"/>
      <c r="AI63" s="2797"/>
      <c r="AJ63" s="2797"/>
      <c r="AK63" s="2797"/>
      <c r="AL63" s="2797"/>
      <c r="AM63" s="2797"/>
      <c r="AS63" s="2143">
        <v>18</v>
      </c>
    </row>
    <row customHeight="1" ht="29.25">
      <c r="O64" s="2147"/>
      <c r="S64" s="1765"/>
      <c r="T64" s="2797"/>
      <c r="U64" s="2797"/>
      <c r="V64" s="2797"/>
      <c r="W64" s="2797"/>
      <c r="X64" s="2797"/>
      <c r="Y64" s="2797"/>
      <c r="Z64" s="2797"/>
      <c r="AA64" s="2797"/>
      <c r="AB64" s="2797"/>
      <c r="AC64" s="2797"/>
      <c r="AD64" s="2797"/>
      <c r="AE64" s="2797"/>
      <c r="AF64" s="2797"/>
      <c r="AG64" s="2797"/>
      <c r="AH64" s="2797"/>
      <c r="AI64" s="2797"/>
      <c r="AJ64" s="2797"/>
      <c r="AK64" s="2797"/>
      <c r="AL64" s="2797"/>
      <c r="AM64" s="2797"/>
      <c r="AS64" s="2143">
        <v>28</v>
      </c>
    </row>
    <row customHeight="1" ht="22.5" hidden="1">
      <c r="A65" s="2143" t="s">
        <v>84</v>
      </c>
      <c r="B65" s="2143">
        <v>0</v>
      </c>
      <c r="C65" s="2143">
        <v>0</v>
      </c>
      <c r="D65" s="2143">
        <v>0</v>
      </c>
      <c r="E65" s="2143">
        <v>0</v>
      </c>
      <c r="F65" s="2143">
        <v>0</v>
      </c>
      <c r="G65" s="2143">
        <v>0</v>
      </c>
      <c r="H65" s="2143">
        <v>0</v>
      </c>
      <c r="I65" s="2143">
        <v>0</v>
      </c>
      <c r="J65" s="2143">
        <v>0</v>
      </c>
      <c r="K65" s="2143">
        <v>0</v>
      </c>
      <c r="L65" s="2451">
        <v>0</v>
      </c>
      <c r="M65" s="2477">
        <v>0</v>
      </c>
      <c r="N65" s="2477">
        <v>0</v>
      </c>
      <c r="O65" s="2477">
        <v>0</v>
      </c>
      <c r="P65" s="2477">
        <v>3</v>
      </c>
      <c r="Q65" s="856">
        <v>3</v>
      </c>
      <c r="R65" s="856">
        <v>3</v>
      </c>
      <c r="S65" s="1093">
        <v>12</v>
      </c>
      <c r="T65" s="2143">
        <v>31</v>
      </c>
      <c r="U65" s="2143">
        <v>0</v>
      </c>
      <c r="V65" s="2143">
        <v>0</v>
      </c>
      <c r="W65" s="2143">
        <v>0</v>
      </c>
      <c r="X65" s="2143">
        <v>0</v>
      </c>
      <c r="Y65" s="2143">
        <v>0</v>
      </c>
      <c r="Z65" s="2143">
        <v>0</v>
      </c>
      <c r="AA65" s="2143">
        <v>0</v>
      </c>
      <c r="AB65" s="2143">
        <v>0</v>
      </c>
      <c r="AC65" s="2143">
        <v>0</v>
      </c>
      <c r="AD65" s="2143">
        <v>24</v>
      </c>
      <c r="AE65" s="2143">
        <v>0</v>
      </c>
      <c r="AF65" s="2143">
        <v>24</v>
      </c>
      <c r="AG65" s="2143">
        <v>24</v>
      </c>
      <c r="AH65" s="2143">
        <v>11</v>
      </c>
      <c r="AI65" s="2143">
        <v>3</v>
      </c>
      <c r="AJ65" s="2143">
        <v>11</v>
      </c>
      <c r="AK65" s="2143">
        <v>0</v>
      </c>
      <c r="AL65" s="2143">
        <v>4</v>
      </c>
      <c r="AM65" s="2143">
        <v>115</v>
      </c>
      <c r="AN65" s="2148">
        <v>10</v>
      </c>
      <c r="AO65" s="2148">
        <v>10</v>
      </c>
      <c r="AP65" s="2148">
        <v>10</v>
      </c>
      <c r="AQ65" s="2148">
        <v>10</v>
      </c>
      <c r="AR65" s="2148">
        <v>10</v>
      </c>
      <c r="AS65" s="2143">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D2566B8-1AFA-1F2D-DA6F-12FBBDF8C155}"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46808" width="10.57421875" hidden="1"/>
    <col min="2" max="2" style="46808" width="11.00390625" hidden="1" customWidth="1"/>
    <col min="3" max="3" style="46808" width="10.57421875" hidden="1"/>
    <col min="4" max="4" style="46808" width="11.8515625" hidden="1" customWidth="1"/>
    <col min="5" max="5" style="46808" width="10.00390625" hidden="1" customWidth="1"/>
    <col min="6" max="6" style="46808" width="8.7109375" hidden="1" customWidth="1"/>
    <col min="7" max="7" style="46808" width="7.57421875" hidden="1" customWidth="1"/>
    <col min="8" max="8" style="46808" width="11.421875" hidden="1" customWidth="1"/>
    <col min="9" max="9" style="46808" width="12.00390625" hidden="1" customWidth="1"/>
    <col min="10" max="10" style="46808" width="9.8515625" hidden="1" customWidth="1"/>
    <col min="11" max="11" style="46808" width="11.421875" hidden="1" customWidth="1"/>
    <col min="12" max="12" style="46887" width="19.140625" hidden="1" customWidth="1"/>
    <col min="13" max="14" style="47740" width="12.28125" hidden="1" customWidth="1"/>
    <col min="15" max="15" style="47740" width="23.421875" hidden="1" customWidth="1"/>
    <col min="16" max="16" style="47740" width="3.00390625" customWidth="1"/>
    <col min="17" max="18" style="47741" width="3.00390625" customWidth="1"/>
    <col min="19" max="19" style="47742" width="12.00390625" customWidth="1"/>
    <col min="20" max="20" style="46808" width="31.00390625" customWidth="1"/>
    <col min="21" max="21" style="46808" width="0.140625" customWidth="1"/>
    <col min="22" max="22" style="46808" width="24.7109375" hidden="1" customWidth="1"/>
    <col min="23" max="23" style="46808" width="0.140625" hidden="1" customWidth="1"/>
    <col min="24" max="25" style="46808" width="24.7109375" hidden="1" customWidth="1"/>
    <col min="26" max="26" style="46808" width="11.7109375" hidden="1" customWidth="1"/>
    <col min="27" max="27" style="46808" width="3.7109375" hidden="1" customWidth="1"/>
    <col min="28" max="28" style="46808" width="11.7109375" hidden="1" customWidth="1"/>
    <col min="29" max="29" style="46808" width="8.57421875" hidden="1" customWidth="1"/>
    <col min="30" max="30" style="46808" width="24.7109375" customWidth="1"/>
    <col min="31" max="31" style="46808" width="0.140625" customWidth="1"/>
    <col min="32" max="33" style="46808" width="24.00390625" customWidth="1"/>
    <col min="34" max="34" style="46808" width="11.00390625" customWidth="1"/>
    <col min="35" max="35" style="46808" width="3.7109375" customWidth="1"/>
    <col min="36" max="36" style="46808" width="11.00390625" customWidth="1"/>
    <col min="37" max="37" style="46808" width="8.57421875" hidden="1" customWidth="1"/>
    <col min="38" max="38" style="46808" width="4.00390625" customWidth="1"/>
    <col min="39" max="39" style="46808" width="115.00390625" customWidth="1"/>
    <col min="40" max="44" style="46890" width="10.00390625" customWidth="1"/>
    <col min="45" max="45" style="46808" width="10.57421875" hidden="1"/>
  </cols>
  <sheetData>
    <row customHeight="1" ht="22.5" hidden="1">
      <c r="AS1" s="2143" t="s">
        <v>14</v>
      </c>
    </row>
    <row customHeight="1" ht="21" hidden="1">
      <c r="A2" s="1779"/>
      <c r="B2" s="1779"/>
      <c r="C2" s="1779"/>
      <c r="D2" s="1779"/>
      <c r="E2" s="2801">
        <v>1</v>
      </c>
      <c r="F2" s="1779"/>
      <c r="G2" s="1779"/>
      <c r="H2" s="1779"/>
      <c r="I2" s="1779"/>
      <c r="J2" s="1779"/>
      <c r="K2" s="1779"/>
      <c r="L2" s="1822"/>
      <c r="M2" s="2122"/>
      <c r="N2" s="2122"/>
      <c r="O2" s="2122"/>
      <c r="P2" s="2102"/>
      <c r="Q2" s="872"/>
      <c r="R2" s="867"/>
      <c r="S2" s="2470">
        <f>INDEX(PT_DIFFERENTIATION_NUM_NTAR,MATCH(A2,PT_DIFFERENTIATION_NTAR_ID,0))</f>
      </c>
      <c r="T2" s="2037" t="s">
        <v>179</v>
      </c>
      <c r="U2" s="812"/>
      <c r="V2" s="2754"/>
      <c r="W2" s="2755"/>
      <c r="X2" s="2755"/>
      <c r="Y2" s="2755"/>
      <c r="Z2" s="2755"/>
      <c r="AA2" s="2755"/>
      <c r="AB2" s="2755"/>
      <c r="AC2" s="2756"/>
      <c r="AD2" s="2754">
        <f>INDEX(PT_DIFFERENTIATION_NTAR,MATCH(A2,PT_DIFFERENTIATION_NTAR_ID,0))</f>
      </c>
      <c r="AE2" s="2755"/>
      <c r="AF2" s="2755"/>
      <c r="AG2" s="2755"/>
      <c r="AH2" s="2755"/>
      <c r="AI2" s="2755"/>
      <c r="AJ2" s="2755"/>
      <c r="AK2" s="2755"/>
      <c r="AL2" s="2756"/>
      <c r="AM2" s="1770" t="s">
        <v>514</v>
      </c>
      <c r="AO2" s="2136"/>
      <c r="AP2" s="2136" t="str">
        <f>IF(T2="","",T2)</f>
        <v>Наименование тарифа</v>
      </c>
      <c r="AQ2" s="2136"/>
      <c r="AR2" s="2136"/>
      <c r="AS2" s="2143">
        <v>0</v>
      </c>
    </row>
    <row customHeight="1" ht="21" hidden="1">
      <c r="A3" s="1779"/>
      <c r="B3" s="1779"/>
      <c r="C3" s="1779"/>
      <c r="D3" s="1779"/>
      <c r="E3" s="2802"/>
      <c r="F3" s="2801">
        <v>1</v>
      </c>
      <c r="G3" s="1779"/>
      <c r="H3" s="1779"/>
      <c r="I3" s="1779"/>
      <c r="J3" s="1779"/>
      <c r="K3" s="1779"/>
      <c r="L3" s="1822"/>
      <c r="M3" s="2122"/>
      <c r="N3" s="2122"/>
      <c r="O3" s="2122"/>
      <c r="P3" s="2452"/>
      <c r="Q3" s="864"/>
      <c r="R3" s="865"/>
      <c r="S3" s="2470">
        <f>INDEX(PT_DIFFERENTIATION_NUM_TER,MATCH(B3,PT_DIFFERENTIATION_TER_ID,0))</f>
      </c>
      <c r="T3" s="2034" t="s">
        <v>515</v>
      </c>
      <c r="U3" s="812"/>
      <c r="V3" s="2754"/>
      <c r="W3" s="2755"/>
      <c r="X3" s="2755"/>
      <c r="Y3" s="2755"/>
      <c r="Z3" s="2755"/>
      <c r="AA3" s="2755"/>
      <c r="AB3" s="2755"/>
      <c r="AC3" s="2756"/>
      <c r="AD3" s="2754">
        <f>INDEX(PT_DIFFERENTIATION_TER,MATCH(B3,PT_DIFFERENTIATION_TER_ID,0))</f>
      </c>
      <c r="AE3" s="2755"/>
      <c r="AF3" s="2755"/>
      <c r="AG3" s="2755"/>
      <c r="AH3" s="2755"/>
      <c r="AI3" s="2755"/>
      <c r="AJ3" s="2755"/>
      <c r="AK3" s="2755"/>
      <c r="AL3" s="2756"/>
      <c r="AM3" s="1770" t="s">
        <v>516</v>
      </c>
      <c r="AO3" s="2136"/>
      <c r="AP3" s="2136" t="str">
        <f>IF(T3="","",T3)</f>
        <v>Территория действия тарифа</v>
      </c>
      <c r="AQ3" s="2136"/>
      <c r="AR3" s="2136"/>
      <c r="AS3" s="2143">
        <v>0</v>
      </c>
    </row>
    <row customHeight="1" ht="23.25" hidden="1">
      <c r="A4" s="1779"/>
      <c r="B4" s="1779"/>
      <c r="C4" s="1779"/>
      <c r="D4" s="1779"/>
      <c r="E4" s="2802"/>
      <c r="F4" s="2802"/>
      <c r="G4" s="2801">
        <v>1</v>
      </c>
      <c r="H4" s="1779"/>
      <c r="I4" s="1779"/>
      <c r="J4" s="1779"/>
      <c r="K4" s="1779"/>
      <c r="L4" s="1822"/>
      <c r="M4" s="2122"/>
      <c r="N4" s="2122"/>
      <c r="O4" s="2122"/>
      <c r="P4" s="866"/>
      <c r="Q4" s="864"/>
      <c r="R4" s="865"/>
      <c r="S4" s="2470">
        <f>INDEX(PT_DIFFERENTIATION_NUM_CS,MATCH(C4,PT_DIFFERENTIATION_CS_ID,0))</f>
      </c>
      <c r="T4" s="821" t="s">
        <v>517</v>
      </c>
      <c r="U4" s="812"/>
      <c r="V4" s="2754"/>
      <c r="W4" s="2755"/>
      <c r="X4" s="2755"/>
      <c r="Y4" s="2755"/>
      <c r="Z4" s="2755"/>
      <c r="AA4" s="2755"/>
      <c r="AB4" s="2755"/>
      <c r="AC4" s="2756"/>
      <c r="AD4" s="2754">
        <f>INDEX(PT_DIFFERENTIATION_CS,MATCH(C4,PT_DIFFERENTIATION_CS_ID,0))</f>
      </c>
      <c r="AE4" s="2755"/>
      <c r="AF4" s="2755"/>
      <c r="AG4" s="2755"/>
      <c r="AH4" s="2755"/>
      <c r="AI4" s="2755"/>
      <c r="AJ4" s="2755"/>
      <c r="AK4" s="2755"/>
      <c r="AL4" s="2756"/>
      <c r="AM4" s="1770" t="s">
        <v>518</v>
      </c>
      <c r="AO4" s="2136"/>
      <c r="AP4" s="2136" t="str">
        <f>IF(T4="","",T4)</f>
        <v>Наименование системы теплоснабжения </v>
      </c>
      <c r="AQ4" s="2136"/>
      <c r="AR4" s="2136"/>
      <c r="AS4" s="2143">
        <v>0</v>
      </c>
    </row>
    <row customHeight="1" ht="21" hidden="1">
      <c r="A5" s="1779"/>
      <c r="B5" s="1779"/>
      <c r="C5" s="1779"/>
      <c r="D5" s="1779"/>
      <c r="E5" s="2802"/>
      <c r="F5" s="2802"/>
      <c r="G5" s="2802"/>
      <c r="H5" s="2801">
        <v>1</v>
      </c>
      <c r="I5" s="1779"/>
      <c r="J5" s="1779"/>
      <c r="K5" s="1779"/>
      <c r="L5" s="1822"/>
      <c r="M5" s="2122"/>
      <c r="N5" s="2122"/>
      <c r="O5" s="2122"/>
      <c r="P5" s="866"/>
      <c r="Q5" s="864"/>
      <c r="R5" s="865"/>
      <c r="S5" s="2470">
        <f>INDEX(PT_DIFFERENTIATION_NUM_IST_TE,MATCH(D5,PT_DIFFERENTIATION_IST_TE_ID,0))</f>
      </c>
      <c r="T5" s="822" t="s">
        <v>519</v>
      </c>
      <c r="U5" s="812"/>
      <c r="V5" s="2754"/>
      <c r="W5" s="2755"/>
      <c r="X5" s="2755"/>
      <c r="Y5" s="2755"/>
      <c r="Z5" s="2755"/>
      <c r="AA5" s="2755"/>
      <c r="AB5" s="2755"/>
      <c r="AC5" s="2756"/>
      <c r="AD5" s="2754">
        <f>INDEX(PT_DIFFERENTIATION_IST_TE,MATCH(D5,PT_DIFFERENTIATION_IST_TE_ID,0))</f>
      </c>
      <c r="AE5" s="2755"/>
      <c r="AF5" s="2755"/>
      <c r="AG5" s="2755"/>
      <c r="AH5" s="2755"/>
      <c r="AI5" s="2755"/>
      <c r="AJ5" s="2755"/>
      <c r="AK5" s="2755"/>
      <c r="AL5" s="2756"/>
      <c r="AM5" s="1770" t="s">
        <v>520</v>
      </c>
      <c r="AO5" s="2136"/>
      <c r="AP5" s="2136" t="str">
        <f>IF(T5="","",T5)</f>
        <v>Источник тепловой энергии  </v>
      </c>
      <c r="AQ5" s="2136"/>
      <c r="AR5" s="2136"/>
      <c r="AS5" s="2143">
        <v>0</v>
      </c>
    </row>
    <row customHeight="1" ht="47.25" hidden="1">
      <c r="A6" s="1779"/>
      <c r="B6" s="1779"/>
      <c r="C6" s="1779"/>
      <c r="D6" s="1779"/>
      <c r="E6" s="2802"/>
      <c r="F6" s="2802"/>
      <c r="G6" s="2802"/>
      <c r="H6" s="2802"/>
      <c r="I6" s="2639">
        <f>S5&amp;".1"</f>
      </c>
      <c r="J6" s="1779"/>
      <c r="K6" s="1779"/>
      <c r="L6" s="1822" t="s">
        <v>521</v>
      </c>
      <c r="M6" s="2147"/>
      <c r="P6" s="2769">
        <v>1</v>
      </c>
      <c r="Q6" s="2466"/>
      <c r="R6" s="868"/>
      <c r="S6" s="2470">
        <f>$I6</f>
      </c>
      <c r="T6" s="797" t="s">
        <v>522</v>
      </c>
      <c r="U6" s="812"/>
      <c r="V6" s="2757"/>
      <c r="W6" s="2758"/>
      <c r="X6" s="2758"/>
      <c r="Y6" s="2758"/>
      <c r="Z6" s="2758"/>
      <c r="AA6" s="2758"/>
      <c r="AB6" s="2758"/>
      <c r="AC6" s="2759"/>
      <c r="AD6" s="2757"/>
      <c r="AE6" s="2758"/>
      <c r="AF6" s="2758"/>
      <c r="AG6" s="2758"/>
      <c r="AH6" s="2758"/>
      <c r="AI6" s="2758"/>
      <c r="AJ6" s="2758"/>
      <c r="AK6" s="2758"/>
      <c r="AL6" s="2759"/>
      <c r="AM6" s="1770" t="s">
        <v>523</v>
      </c>
      <c r="AO6" s="2136"/>
      <c r="AP6" s="2136" t="str">
        <f>IF(T6="","",T6)</f>
        <v>Схема подключения теплопотребляющей установки к коллектору источника тепловой энергии</v>
      </c>
      <c r="AQ6" s="2136"/>
      <c r="AR6" s="2136"/>
      <c r="AS6" s="2143">
        <v>0</v>
      </c>
    </row>
    <row customHeight="1" ht="21" hidden="1">
      <c r="A7" s="1779"/>
      <c r="B7" s="1779"/>
      <c r="C7" s="1779"/>
      <c r="D7" s="1779"/>
      <c r="E7" s="2802"/>
      <c r="F7" s="2802"/>
      <c r="G7" s="2802"/>
      <c r="H7" s="2802"/>
      <c r="I7" s="2613"/>
      <c r="J7" s="2639">
        <f>I6&amp;".1"</f>
      </c>
      <c r="K7" s="1779"/>
      <c r="L7" s="1822" t="s">
        <v>524</v>
      </c>
      <c r="M7" s="2147"/>
      <c r="N7" s="2143"/>
      <c r="P7" s="2769"/>
      <c r="Q7" s="2769">
        <v>1</v>
      </c>
      <c r="R7" s="869"/>
      <c r="S7" s="2470">
        <f>$J7</f>
      </c>
      <c r="T7" s="798" t="s">
        <v>525</v>
      </c>
      <c r="U7" s="812"/>
      <c r="V7" s="2757"/>
      <c r="W7" s="2758"/>
      <c r="X7" s="2758"/>
      <c r="Y7" s="2758"/>
      <c r="Z7" s="2758"/>
      <c r="AA7" s="2758"/>
      <c r="AB7" s="2758"/>
      <c r="AC7" s="2759"/>
      <c r="AD7" s="2757"/>
      <c r="AE7" s="2758"/>
      <c r="AF7" s="2758"/>
      <c r="AG7" s="2758"/>
      <c r="AH7" s="2758"/>
      <c r="AI7" s="2758"/>
      <c r="AJ7" s="2758"/>
      <c r="AK7" s="2758"/>
      <c r="AL7" s="2759"/>
      <c r="AM7" s="1770" t="s">
        <v>526</v>
      </c>
      <c r="AO7" s="2136"/>
      <c r="AP7" s="2136" t="str">
        <f>IF(T7="","",T7)</f>
        <v>Группа потребителей</v>
      </c>
      <c r="AQ7" s="2136"/>
      <c r="AR7" s="2136"/>
      <c r="AS7" s="2143">
        <v>0</v>
      </c>
    </row>
    <row customHeight="1" ht="21" hidden="1">
      <c r="A8" s="1779"/>
      <c r="B8" s="1779"/>
      <c r="C8" s="1779"/>
      <c r="D8" s="1779"/>
      <c r="E8" s="2802"/>
      <c r="F8" s="2802"/>
      <c r="G8" s="2802"/>
      <c r="H8" s="2802"/>
      <c r="I8" s="2613"/>
      <c r="J8" s="2613"/>
      <c r="K8" s="2639">
        <f>J7&amp;".1"</f>
      </c>
      <c r="L8" s="1822" t="s">
        <v>527</v>
      </c>
      <c r="M8" s="2147"/>
      <c r="N8" s="2143"/>
      <c r="O8" s="2143"/>
      <c r="P8" s="2769"/>
      <c r="Q8" s="2769"/>
      <c r="R8" s="869">
        <v>1</v>
      </c>
      <c r="S8" s="2470">
        <f>$K8</f>
      </c>
      <c r="T8" s="1859"/>
      <c r="U8" s="812"/>
      <c r="V8" s="1263"/>
      <c r="W8" s="837"/>
      <c r="X8" s="1263"/>
      <c r="Y8" s="1769"/>
      <c r="Z8" s="2777"/>
      <c r="AA8" s="2619" t="s">
        <v>63</v>
      </c>
      <c r="AB8" s="2777"/>
      <c r="AC8" s="2619" t="s">
        <v>63</v>
      </c>
      <c r="AD8" s="1263"/>
      <c r="AE8" s="837"/>
      <c r="AF8" s="1263"/>
      <c r="AG8" s="1769"/>
      <c r="AH8" s="2777"/>
      <c r="AI8" s="2619" t="s">
        <v>63</v>
      </c>
      <c r="AJ8" s="2777"/>
      <c r="AK8" s="2619" t="s">
        <v>63</v>
      </c>
      <c r="AL8" s="837"/>
      <c r="AM8" s="2765" t="s">
        <v>528</v>
      </c>
      <c r="AN8" s="2148">
        <f>STRCHECKDATE(V9:AL9)</f>
      </c>
      <c r="AO8" s="2136"/>
      <c r="AP8" s="2136" t="str">
        <f>IF(T8="","",T8)</f>
        <v/>
      </c>
      <c r="AQ8" s="2136"/>
      <c r="AR8" s="2136"/>
      <c r="AS8" s="2143">
        <v>0</v>
      </c>
    </row>
    <row customHeight="1" ht="0.75" hidden="1">
      <c r="A9" s="1779"/>
      <c r="B9" s="1779"/>
      <c r="C9" s="1779"/>
      <c r="D9" s="1779"/>
      <c r="E9" s="2802"/>
      <c r="F9" s="2802"/>
      <c r="G9" s="2802"/>
      <c r="H9" s="2802"/>
      <c r="I9" s="2613"/>
      <c r="J9" s="2613"/>
      <c r="K9" s="2639"/>
      <c r="L9" s="1822"/>
      <c r="M9" s="2147"/>
      <c r="N9" s="2143"/>
      <c r="O9" s="2143"/>
      <c r="P9" s="2769"/>
      <c r="Q9" s="2769"/>
      <c r="R9" s="869"/>
      <c r="S9" s="2479"/>
      <c r="T9" s="812"/>
      <c r="U9" s="812"/>
      <c r="V9" s="837"/>
      <c r="W9" s="837"/>
      <c r="X9" s="837"/>
      <c r="Y9" s="840" t="str">
        <f>Z8&amp;"-"&amp;AB8</f>
        <v>-</v>
      </c>
      <c r="Z9" s="2778"/>
      <c r="AA9" s="2619"/>
      <c r="AB9" s="2778"/>
      <c r="AC9" s="2619"/>
      <c r="AD9" s="837"/>
      <c r="AE9" s="837"/>
      <c r="AF9" s="837"/>
      <c r="AG9" s="840" t="str">
        <f>AH8&amp;"-"&amp;AJ8</f>
        <v>-</v>
      </c>
      <c r="AH9" s="2778"/>
      <c r="AI9" s="2619"/>
      <c r="AJ9" s="2778"/>
      <c r="AK9" s="2619"/>
      <c r="AL9" s="837"/>
      <c r="AM9" s="2766"/>
      <c r="AO9" s="2136"/>
      <c r="AP9" s="2136" t="str">
        <f>IF(T9="","",T9)</f>
        <v/>
      </c>
      <c r="AQ9" s="2136"/>
      <c r="AR9" s="2136"/>
      <c r="AS9" s="2143">
        <v>0</v>
      </c>
    </row>
    <row customHeight="1" ht="15" hidden="1">
      <c r="A10" s="1779"/>
      <c r="B10" s="1779"/>
      <c r="C10" s="1779"/>
      <c r="D10" s="1779"/>
      <c r="E10" s="2802"/>
      <c r="F10" s="2802"/>
      <c r="G10" s="2802"/>
      <c r="H10" s="2802"/>
      <c r="I10" s="2613"/>
      <c r="J10" s="2639"/>
      <c r="K10" s="1779"/>
      <c r="L10" s="1822"/>
      <c r="M10" s="2147"/>
      <c r="N10" s="2143"/>
      <c r="P10" s="2769"/>
      <c r="Q10" s="2769"/>
      <c r="R10" s="868"/>
      <c r="S10" s="1790"/>
      <c r="T10" s="800" t="s">
        <v>529</v>
      </c>
      <c r="U10" s="1112"/>
      <c r="V10" s="1112"/>
      <c r="W10" s="1112"/>
      <c r="X10" s="1112"/>
      <c r="Y10" s="1112"/>
      <c r="Z10" s="1112"/>
      <c r="AA10" s="1112"/>
      <c r="AB10" s="1112"/>
      <c r="AC10" s="1112"/>
      <c r="AD10" s="1112"/>
      <c r="AE10" s="1112"/>
      <c r="AF10" s="1112"/>
      <c r="AG10" s="1112"/>
      <c r="AH10" s="1112"/>
      <c r="AI10" s="1112"/>
      <c r="AJ10" s="1112"/>
      <c r="AK10" s="1112"/>
      <c r="AL10" s="836"/>
      <c r="AM10" s="2767"/>
      <c r="AO10" s="2136"/>
      <c r="AP10" s="2136" t="str">
        <f>IF(T10="","",T10)</f>
        <v>Добавить вид теплоносителя (параметры теплоносителя)</v>
      </c>
      <c r="AQ10" s="2136"/>
      <c r="AR10" s="2136"/>
      <c r="AS10" s="2143">
        <v>0</v>
      </c>
    </row>
    <row customHeight="1" ht="15" hidden="1">
      <c r="A11" s="1779"/>
      <c r="B11" s="1779"/>
      <c r="C11" s="1779"/>
      <c r="D11" s="1779"/>
      <c r="E11" s="2802"/>
      <c r="F11" s="2802"/>
      <c r="G11" s="2802"/>
      <c r="H11" s="2802"/>
      <c r="I11" s="2639"/>
      <c r="J11" s="1779"/>
      <c r="K11" s="1779"/>
      <c r="L11" s="1822"/>
      <c r="M11" s="2147"/>
      <c r="P11" s="2769"/>
      <c r="Q11" s="2466"/>
      <c r="R11" s="868"/>
      <c r="S11" s="1790"/>
      <c r="T11" s="799" t="s">
        <v>530</v>
      </c>
      <c r="U11" s="1112"/>
      <c r="V11" s="1112"/>
      <c r="W11" s="1112"/>
      <c r="X11" s="1112"/>
      <c r="Y11" s="1112"/>
      <c r="Z11" s="1112"/>
      <c r="AA11" s="1112"/>
      <c r="AB11" s="1112"/>
      <c r="AC11" s="878"/>
      <c r="AD11" s="1112"/>
      <c r="AE11" s="1112"/>
      <c r="AF11" s="1112"/>
      <c r="AG11" s="1112"/>
      <c r="AH11" s="1112"/>
      <c r="AI11" s="1112"/>
      <c r="AJ11" s="1112"/>
      <c r="AK11" s="878"/>
      <c r="AL11" s="1112"/>
      <c r="AM11" s="815"/>
      <c r="AO11" s="2136"/>
      <c r="AP11" s="2136" t="str">
        <f>IF(T11="","",T11)</f>
        <v>Добавить группу потребителей</v>
      </c>
      <c r="AQ11" s="2136"/>
      <c r="AR11" s="2136"/>
      <c r="AS11" s="2143">
        <v>0</v>
      </c>
    </row>
    <row customHeight="1" ht="14.25" hidden="1">
      <c r="A12" s="1779"/>
      <c r="B12" s="1779"/>
      <c r="C12" s="1779"/>
      <c r="D12" s="1779"/>
      <c r="E12" s="2802"/>
      <c r="F12" s="2802"/>
      <c r="G12" s="2802"/>
      <c r="H12" s="2801"/>
      <c r="I12" s="1779"/>
      <c r="J12" s="1779"/>
      <c r="K12" s="1779"/>
      <c r="L12" s="1822"/>
      <c r="M12" s="2122"/>
      <c r="N12" s="2122"/>
      <c r="O12" s="2147"/>
      <c r="P12" s="872"/>
      <c r="Q12" s="887"/>
      <c r="R12" s="867"/>
      <c r="S12" s="1790"/>
      <c r="T12" s="877" t="s">
        <v>531</v>
      </c>
      <c r="U12" s="1112"/>
      <c r="V12" s="1112"/>
      <c r="W12" s="1112"/>
      <c r="X12" s="1112"/>
      <c r="Y12" s="1112"/>
      <c r="Z12" s="1112"/>
      <c r="AA12" s="1112"/>
      <c r="AB12" s="1112"/>
      <c r="AC12" s="878"/>
      <c r="AD12" s="1112"/>
      <c r="AE12" s="1112"/>
      <c r="AF12" s="1112"/>
      <c r="AG12" s="1112"/>
      <c r="AH12" s="1112"/>
      <c r="AI12" s="1112"/>
      <c r="AJ12" s="1112"/>
      <c r="AK12" s="878"/>
      <c r="AL12" s="1112"/>
      <c r="AM12" s="815"/>
      <c r="AO12" s="2136"/>
      <c r="AP12" s="2136" t="str">
        <f>IF(T12="","",T12)</f>
        <v>Добавить схему подключения</v>
      </c>
      <c r="AQ12" s="2136"/>
      <c r="AR12" s="2136"/>
      <c r="AS12" s="2143">
        <v>0</v>
      </c>
    </row>
    <row s="46890" customFormat="1" customHeight="1" ht="0.75" hidden="1">
      <c r="A13" s="2486"/>
      <c r="B13" s="2486"/>
      <c r="C13" s="2486"/>
      <c r="D13" s="2486"/>
      <c r="E13" s="2802"/>
      <c r="F13" s="2802"/>
      <c r="G13" s="2801"/>
      <c r="H13" s="2486"/>
      <c r="I13" s="2486"/>
      <c r="J13" s="2486"/>
      <c r="K13" s="2486"/>
      <c r="L13" s="1892"/>
      <c r="M13" s="2122"/>
      <c r="N13" s="2122"/>
      <c r="O13" s="2147"/>
      <c r="P13" s="1828"/>
      <c r="Q13" s="1829"/>
      <c r="R13" s="1828"/>
      <c r="S13" s="1830"/>
      <c r="T13" s="1831" t="s">
        <v>532</v>
      </c>
      <c r="U13" s="1832"/>
      <c r="V13" s="1832"/>
      <c r="W13" s="1832"/>
      <c r="X13" s="1832"/>
      <c r="Y13" s="1832"/>
      <c r="Z13" s="1832"/>
      <c r="AA13" s="1832"/>
      <c r="AB13" s="1832"/>
      <c r="AC13" s="1832"/>
      <c r="AD13" s="1832"/>
      <c r="AE13" s="1832"/>
      <c r="AF13" s="1832"/>
      <c r="AG13" s="1832"/>
      <c r="AH13" s="1832"/>
      <c r="AI13" s="1832"/>
      <c r="AJ13" s="1832"/>
      <c r="AK13" s="1832"/>
      <c r="AL13" s="1832"/>
      <c r="AM13" s="1832"/>
      <c r="AO13" s="1763"/>
      <c r="AP13" s="1763" t="str">
        <f>IF(T13="","",T13)</f>
        <v>Добавить источник для дифференциации</v>
      </c>
      <c r="AQ13" s="1763"/>
      <c r="AR13" s="1763"/>
      <c r="AS13" s="2154">
        <v>0</v>
      </c>
    </row>
    <row s="46890" customFormat="1" customHeight="1" ht="0.75" hidden="1">
      <c r="A14" s="2486"/>
      <c r="B14" s="2486"/>
      <c r="C14" s="2486"/>
      <c r="D14" s="2486"/>
      <c r="E14" s="2802"/>
      <c r="F14" s="2801"/>
      <c r="G14" s="2486"/>
      <c r="H14" s="2486"/>
      <c r="I14" s="2486"/>
      <c r="J14" s="2486"/>
      <c r="K14" s="2486"/>
      <c r="L14" s="1892"/>
      <c r="M14" s="2487"/>
      <c r="N14" s="2487"/>
      <c r="O14" s="2147"/>
      <c r="P14" s="1828"/>
      <c r="Q14" s="1829"/>
      <c r="R14" s="1828"/>
      <c r="S14" s="1834"/>
      <c r="T14" s="1835" t="s">
        <v>321</v>
      </c>
      <c r="U14" s="1836"/>
      <c r="V14" s="1836"/>
      <c r="W14" s="1836"/>
      <c r="X14" s="1836"/>
      <c r="Y14" s="1836"/>
      <c r="Z14" s="1836"/>
      <c r="AA14" s="1836"/>
      <c r="AB14" s="1836"/>
      <c r="AC14" s="1836"/>
      <c r="AD14" s="1836"/>
      <c r="AE14" s="1836"/>
      <c r="AF14" s="1836"/>
      <c r="AG14" s="1836"/>
      <c r="AH14" s="1836"/>
      <c r="AI14" s="1836"/>
      <c r="AJ14" s="1836"/>
      <c r="AK14" s="1836"/>
      <c r="AL14" s="1836"/>
      <c r="AM14" s="1836"/>
      <c r="AO14" s="1763"/>
      <c r="AP14" s="1763" t="str">
        <f>IF(T14="","",T14)</f>
        <v>Добавить централизованную систему для дифференциации</v>
      </c>
      <c r="AQ14" s="1763"/>
      <c r="AR14" s="1763"/>
      <c r="AS14" s="2154">
        <v>0</v>
      </c>
    </row>
    <row s="46890" customFormat="1" customHeight="1" ht="0.75" hidden="1">
      <c r="A15" s="2486"/>
      <c r="B15" s="2486"/>
      <c r="C15" s="2486"/>
      <c r="D15" s="2486"/>
      <c r="E15" s="2801"/>
      <c r="F15" s="2486"/>
      <c r="G15" s="2486"/>
      <c r="H15" s="2486"/>
      <c r="I15" s="2486"/>
      <c r="J15" s="2486"/>
      <c r="K15" s="2486"/>
      <c r="L15" s="1892"/>
      <c r="M15" s="2487"/>
      <c r="N15" s="2487"/>
      <c r="O15" s="2147"/>
      <c r="P15" s="1828"/>
      <c r="Q15" s="1829"/>
      <c r="R15" s="1828"/>
      <c r="S15" s="1834"/>
      <c r="T15" s="1837" t="s">
        <v>385</v>
      </c>
      <c r="U15" s="1836"/>
      <c r="V15" s="1836"/>
      <c r="W15" s="1836"/>
      <c r="X15" s="1836"/>
      <c r="Y15" s="1836"/>
      <c r="Z15" s="1836"/>
      <c r="AA15" s="1836"/>
      <c r="AB15" s="1836"/>
      <c r="AC15" s="1836"/>
      <c r="AD15" s="1836"/>
      <c r="AE15" s="1836"/>
      <c r="AF15" s="1836"/>
      <c r="AG15" s="1836"/>
      <c r="AH15" s="1836"/>
      <c r="AI15" s="1836"/>
      <c r="AJ15" s="1836"/>
      <c r="AK15" s="1836"/>
      <c r="AL15" s="1836"/>
      <c r="AM15" s="1836"/>
      <c r="AO15" s="1763"/>
      <c r="AP15" s="1763" t="str">
        <f>IF(T15="","",T15)</f>
        <v>Добавить территорию для дифференциации</v>
      </c>
      <c r="AQ15" s="1763"/>
      <c r="AR15" s="1763"/>
      <c r="AS15" s="2154">
        <v>0</v>
      </c>
    </row>
    <row customHeight="1" ht="14.25" hidden="1">
      <c r="AS16" s="2143">
        <v>0</v>
      </c>
    </row>
    <row customHeight="1" ht="14.25" hidden="1">
      <c r="AD17" s="1872"/>
      <c r="AE17" s="1872"/>
      <c r="AF17" s="1872"/>
      <c r="AG17" s="1873"/>
      <c r="AH17" s="2779"/>
      <c r="AI17" s="2780" t="s">
        <v>63</v>
      </c>
      <c r="AJ17" s="2779"/>
      <c r="AK17" s="2780" t="s">
        <v>63</v>
      </c>
      <c r="AS17" s="2143">
        <v>0</v>
      </c>
    </row>
    <row customHeight="1" ht="14.25" hidden="1">
      <c r="AD18" s="1872"/>
      <c r="AE18" s="1872"/>
      <c r="AF18" s="1872"/>
      <c r="AG18" s="840" t="str">
        <f>AH17&amp;"-"&amp;AJ17</f>
        <v>-</v>
      </c>
      <c r="AH18" s="2780"/>
      <c r="AI18" s="2780"/>
      <c r="AJ18" s="2780"/>
      <c r="AK18" s="2780"/>
      <c r="AS18" s="2143">
        <v>0</v>
      </c>
    </row>
    <row customHeight="1" ht="14.25" hidden="1">
      <c r="AS19" s="2143">
        <v>0</v>
      </c>
    </row>
    <row s="46889" customFormat="1" customHeight="1" ht="14.25" hidden="1">
      <c r="A20" s="2143"/>
      <c r="B20" s="2143"/>
      <c r="C20" s="2143"/>
      <c r="D20" s="2143"/>
      <c r="E20" s="2143"/>
      <c r="F20" s="2143"/>
      <c r="G20" s="2143"/>
      <c r="H20" s="2143"/>
      <c r="I20" s="2143"/>
      <c r="J20" s="2143"/>
      <c r="K20" s="2143"/>
      <c r="L20" s="2451"/>
      <c r="M20" s="2477"/>
      <c r="N20" s="2477"/>
      <c r="O20" s="1857" t="s">
        <v>533</v>
      </c>
      <c r="P20" s="1874"/>
      <c r="Q20" s="1883"/>
      <c r="R20" s="1883"/>
      <c r="S20" s="1241"/>
      <c r="Z20" s="1879"/>
      <c r="AB20" s="1879"/>
      <c r="AH20" s="1879"/>
      <c r="AJ20" s="1879"/>
      <c r="AN20" s="2148"/>
      <c r="AO20" s="2148"/>
      <c r="AP20" s="2148"/>
      <c r="AQ20" s="2148"/>
      <c r="AR20" s="2148"/>
      <c r="AS20" s="1878">
        <v>0</v>
      </c>
    </row>
    <row s="46889" customFormat="1" customHeight="1" ht="14.25" hidden="1">
      <c r="A21" s="2143"/>
      <c r="B21" s="2143"/>
      <c r="C21" s="2143"/>
      <c r="D21" s="2143"/>
      <c r="E21" s="2143"/>
      <c r="F21" s="2143"/>
      <c r="G21" s="2143"/>
      <c r="H21" s="2143"/>
      <c r="I21" s="2143"/>
      <c r="J21" s="2143"/>
      <c r="K21" s="2143"/>
      <c r="L21" s="2451"/>
      <c r="M21" s="2477"/>
      <c r="N21" s="2477"/>
      <c r="O21" s="2477"/>
      <c r="P21" s="1874"/>
      <c r="Q21" s="1883"/>
      <c r="R21" s="1883"/>
      <c r="S21" s="1241"/>
      <c r="AN21" s="2148"/>
      <c r="AO21" s="2148"/>
      <c r="AP21" s="2148"/>
      <c r="AQ21" s="2148"/>
      <c r="AR21" s="2148"/>
      <c r="AS21" s="1878">
        <v>0</v>
      </c>
    </row>
    <row s="46889" customFormat="1" customHeight="1" ht="14.25" hidden="1">
      <c r="A22" s="2143"/>
      <c r="B22" s="2143"/>
      <c r="C22" s="2143"/>
      <c r="D22" s="2143"/>
      <c r="E22" s="2143"/>
      <c r="F22" s="2143"/>
      <c r="G22" s="2143"/>
      <c r="H22" s="2143"/>
      <c r="I22" s="2143"/>
      <c r="J22" s="2143"/>
      <c r="K22" s="2143"/>
      <c r="L22" s="2451"/>
      <c r="M22" s="2477"/>
      <c r="N22" s="2477"/>
      <c r="O22" s="1822" t="s">
        <v>534</v>
      </c>
      <c r="P22" s="1874"/>
      <c r="Q22" s="1883"/>
      <c r="R22" s="1883"/>
      <c r="S22" s="1241"/>
      <c r="T22" s="1878" t="s">
        <v>535</v>
      </c>
      <c r="AA22" s="1107" t="s">
        <v>536</v>
      </c>
      <c r="AC22" s="1107" t="s">
        <v>537</v>
      </c>
      <c r="AD22" s="1878" t="s">
        <v>535</v>
      </c>
      <c r="AI22" s="1107" t="s">
        <v>538</v>
      </c>
      <c r="AK22" s="1107" t="s">
        <v>537</v>
      </c>
      <c r="AN22" s="2148"/>
      <c r="AO22" s="2148"/>
      <c r="AP22" s="2148"/>
      <c r="AQ22" s="2148"/>
      <c r="AR22" s="2148"/>
      <c r="AS22" s="1878">
        <v>0</v>
      </c>
    </row>
    <row customHeight="1" ht="14.25" hidden="1">
      <c r="O23" s="1822"/>
      <c r="AS23" s="2143">
        <v>0</v>
      </c>
    </row>
    <row customHeight="1" ht="14.25" hidden="1">
      <c r="O24" s="1822"/>
      <c r="AS24" s="2143">
        <v>0</v>
      </c>
    </row>
    <row customHeight="1" ht="14.699999999999998">
      <c r="Q25" s="888"/>
      <c r="R25" s="888"/>
      <c r="S25" s="1787"/>
      <c r="T25" s="969"/>
      <c r="U25" s="969"/>
      <c r="V25" s="2147"/>
      <c r="W25" s="2147"/>
      <c r="X25" s="2147"/>
      <c r="Y25" s="2147"/>
      <c r="Z25" s="2147"/>
      <c r="AA25" s="2147"/>
      <c r="AB25" s="2147"/>
      <c r="AC25" s="2147"/>
      <c r="AD25" s="2147"/>
      <c r="AE25" s="2147"/>
      <c r="AF25" s="2147"/>
      <c r="AG25" s="2147"/>
      <c r="AH25" s="2147"/>
      <c r="AI25" s="2147"/>
      <c r="AJ25" s="2147"/>
      <c r="AK25" s="2147"/>
      <c r="AS25" s="2143">
        <v>14</v>
      </c>
    </row>
    <row customHeight="1" ht="14.699999999999998">
      <c r="Q26" s="888"/>
      <c r="R26" s="888"/>
      <c r="S26" s="2760"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760"/>
      <c r="U26" s="2760"/>
      <c r="V26" s="2760"/>
      <c r="W26" s="2760"/>
      <c r="X26" s="2760"/>
      <c r="Y26" s="2760"/>
      <c r="Z26" s="2760"/>
      <c r="AA26" s="2760"/>
      <c r="AB26" s="2760"/>
      <c r="AC26" s="2760"/>
      <c r="AD26" s="2760"/>
      <c r="AE26" s="2760"/>
      <c r="AF26" s="2760"/>
      <c r="AG26" s="2760"/>
      <c r="AH26" s="2760"/>
      <c r="AI26" s="2760"/>
      <c r="AJ26" s="2760"/>
      <c r="AK26" s="1755"/>
      <c r="AS26" s="2143">
        <v>14</v>
      </c>
    </row>
    <row customHeight="1" ht="14.699999999999998">
      <c r="Q27" s="888"/>
      <c r="R27" s="888"/>
      <c r="S27" s="2761" t="str">
        <f>IF(org=0,"Не определено",org)</f>
        <v>КГУП "Примтеплоэнерго"</v>
      </c>
      <c r="T27" s="2761"/>
      <c r="U27" s="2761"/>
      <c r="V27" s="2761"/>
      <c r="W27" s="2761"/>
      <c r="X27" s="2761"/>
      <c r="Y27" s="2761"/>
      <c r="Z27" s="2761"/>
      <c r="AA27" s="2761"/>
      <c r="AB27" s="2761"/>
      <c r="AC27" s="2761"/>
      <c r="AD27" s="2761"/>
      <c r="AE27" s="2761"/>
      <c r="AF27" s="2761"/>
      <c r="AG27" s="2761"/>
      <c r="AH27" s="2761"/>
      <c r="AI27" s="2761"/>
      <c r="AJ27" s="2761"/>
      <c r="AK27" s="1755"/>
      <c r="AS27" s="2143">
        <v>14</v>
      </c>
    </row>
    <row customHeight="1" ht="14.25" hidden="1">
      <c r="Q28" s="888"/>
      <c r="R28" s="888"/>
      <c r="S28" s="1787"/>
      <c r="T28" s="969"/>
      <c r="U28" s="969"/>
      <c r="V28" s="834"/>
      <c r="W28" s="834"/>
      <c r="X28" s="834"/>
      <c r="Y28" s="834"/>
      <c r="Z28" s="834"/>
      <c r="AA28" s="834"/>
      <c r="AB28" s="834"/>
      <c r="AC28" s="834"/>
      <c r="AD28" s="834"/>
      <c r="AE28" s="834"/>
      <c r="AF28" s="834"/>
      <c r="AG28" s="834"/>
      <c r="AH28" s="834"/>
      <c r="AI28" s="834"/>
      <c r="AJ28" s="834"/>
      <c r="AK28" s="834"/>
      <c r="AL28" s="2147"/>
      <c r="AS28" s="2143">
        <v>0</v>
      </c>
    </row>
    <row s="47026" customFormat="1" customHeight="1" ht="25.5" hidden="1">
      <c r="A29" s="1760"/>
      <c r="B29" s="1760"/>
      <c r="C29" s="1760"/>
      <c r="D29" s="1760"/>
      <c r="E29" s="1760"/>
      <c r="F29" s="1760"/>
      <c r="G29" s="1760"/>
      <c r="H29" s="1760"/>
      <c r="I29" s="1760"/>
      <c r="J29" s="1760"/>
      <c r="K29" s="1760"/>
      <c r="L29" s="1892"/>
      <c r="M29" s="1760"/>
      <c r="N29" s="1760"/>
      <c r="O29" s="1760"/>
      <c r="S29" s="2762" t="s">
        <v>42</v>
      </c>
      <c r="T29" s="2762"/>
      <c r="U29" s="1884"/>
      <c r="V29" s="2763" t="str">
        <f>IF(TITLE_NAME_OR_PR_CHANGE="",IF(TITLE_NAME_OR_PR="","",TITLE_NAME_OR_PR),TITLE_NAME_OR_PR_CHANGE)</f>
        <v>Агентство по тарифам Приморского края</v>
      </c>
      <c r="W29" s="2763"/>
      <c r="X29" s="2763"/>
      <c r="Y29" s="2763"/>
      <c r="Z29" s="2763"/>
      <c r="AA29" s="2763"/>
      <c r="AB29" s="2763"/>
      <c r="AC29" s="2147"/>
      <c r="AD29" s="2763" t="str">
        <f>IF(TITLE_NAME_OR_PR_CHANGE="",IF(TITLE_NAME_OR_PR="","",TITLE_NAME_OR_PR),TITLE_NAME_OR_PR_CHANGE)</f>
        <v>Агентство по тарифам Приморского края</v>
      </c>
      <c r="AE29" s="2763"/>
      <c r="AF29" s="2763"/>
      <c r="AG29" s="2763"/>
      <c r="AH29" s="2763"/>
      <c r="AI29" s="2763"/>
      <c r="AJ29" s="2763"/>
      <c r="AK29" s="2147"/>
      <c r="AL29" s="2147"/>
      <c r="AM29" s="792"/>
      <c r="AN29" s="880"/>
      <c r="AO29" s="880"/>
      <c r="AP29" s="880"/>
      <c r="AQ29" s="880"/>
      <c r="AR29" s="880"/>
      <c r="AS29" s="930">
        <v>0</v>
      </c>
    </row>
    <row s="47026" customFormat="1" customHeight="1" ht="18.75" hidden="1">
      <c r="A30" s="1760"/>
      <c r="B30" s="1760"/>
      <c r="C30" s="1760"/>
      <c r="D30" s="1760"/>
      <c r="E30" s="1760"/>
      <c r="F30" s="1760"/>
      <c r="G30" s="1760"/>
      <c r="H30" s="1760"/>
      <c r="I30" s="1760"/>
      <c r="J30" s="1760"/>
      <c r="K30" s="1760"/>
      <c r="L30" s="1892"/>
      <c r="M30" s="1760"/>
      <c r="N30" s="1760"/>
      <c r="O30" s="1760"/>
      <c r="S30" s="2762" t="s">
        <v>539</v>
      </c>
      <c r="T30" s="2762"/>
      <c r="U30" s="1884"/>
      <c r="V30" s="2776" t="str">
        <f>IF(TITLE_DATE_PR_CHANGE="",IF(TITLE_DATE_PR="","",TITLE_DATE_PR),TITLE_DATE_PR_CHANGE)</f>
        <v>45631.495844907404</v>
      </c>
      <c r="W30" s="2776"/>
      <c r="X30" s="2776"/>
      <c r="Y30" s="2776"/>
      <c r="Z30" s="2776"/>
      <c r="AA30" s="2776"/>
      <c r="AB30" s="2776"/>
      <c r="AC30" s="2147"/>
      <c r="AD30" s="2776" t="str">
        <f>IF(TITLE_DATE_PR_CHANGE="",IF(TITLE_DATE_PR="","",TITLE_DATE_PR),TITLE_DATE_PR_CHANGE)</f>
        <v>45631.495844907404</v>
      </c>
      <c r="AE30" s="2776"/>
      <c r="AF30" s="2776"/>
      <c r="AG30" s="2776"/>
      <c r="AH30" s="2776"/>
      <c r="AI30" s="2776"/>
      <c r="AJ30" s="2776"/>
      <c r="AK30" s="2147"/>
      <c r="AL30" s="2147"/>
      <c r="AM30" s="792"/>
      <c r="AN30" s="880"/>
      <c r="AO30" s="880"/>
      <c r="AP30" s="880"/>
      <c r="AQ30" s="880"/>
      <c r="AR30" s="880"/>
      <c r="AS30" s="930">
        <v>0</v>
      </c>
    </row>
    <row s="47026" customFormat="1" customHeight="1" ht="18.75" hidden="1">
      <c r="A31" s="1760"/>
      <c r="B31" s="1760"/>
      <c r="C31" s="1760"/>
      <c r="D31" s="1760"/>
      <c r="E31" s="1760"/>
      <c r="F31" s="1760"/>
      <c r="G31" s="1760"/>
      <c r="H31" s="1760"/>
      <c r="I31" s="1760"/>
      <c r="J31" s="1760"/>
      <c r="K31" s="1760"/>
      <c r="L31" s="1892"/>
      <c r="M31" s="1760"/>
      <c r="N31" s="1760"/>
      <c r="O31" s="1760"/>
      <c r="S31" s="2762" t="s">
        <v>540</v>
      </c>
      <c r="T31" s="2762"/>
      <c r="U31" s="1884"/>
      <c r="V31" s="2763" t="str">
        <f>IF(TITLE_NUMBER_PR_CHANGE="",IF(TITLE_NUMBER_PR="","",TITLE_NUMBER_PR),TITLE_NUMBER_PR_CHANGE)</f>
        <v>53/9</v>
      </c>
      <c r="W31" s="2763"/>
      <c r="X31" s="2763"/>
      <c r="Y31" s="2763"/>
      <c r="Z31" s="2763"/>
      <c r="AA31" s="2763"/>
      <c r="AB31" s="2763"/>
      <c r="AC31" s="2147"/>
      <c r="AD31" s="2763" t="str">
        <f>IF(TITLE_NUMBER_PR_CHANGE="",IF(TITLE_NUMBER_PR="","",TITLE_NUMBER_PR),TITLE_NUMBER_PR_CHANGE)</f>
        <v>53/9</v>
      </c>
      <c r="AE31" s="2763"/>
      <c r="AF31" s="2763"/>
      <c r="AG31" s="2763"/>
      <c r="AH31" s="2763"/>
      <c r="AI31" s="2763"/>
      <c r="AJ31" s="2763"/>
      <c r="AK31" s="2147"/>
      <c r="AL31" s="2147"/>
      <c r="AM31" s="792"/>
      <c r="AN31" s="880"/>
      <c r="AO31" s="880"/>
      <c r="AP31" s="880"/>
      <c r="AQ31" s="880"/>
      <c r="AR31" s="880"/>
      <c r="AS31" s="930">
        <v>0</v>
      </c>
    </row>
    <row s="47026" customFormat="1" customHeight="1" ht="18.75" hidden="1">
      <c r="A32" s="1760"/>
      <c r="B32" s="1760"/>
      <c r="C32" s="1760"/>
      <c r="D32" s="1760"/>
      <c r="E32" s="1760"/>
      <c r="F32" s="1760"/>
      <c r="G32" s="1760"/>
      <c r="H32" s="1760"/>
      <c r="I32" s="1760"/>
      <c r="J32" s="1760"/>
      <c r="K32" s="1760"/>
      <c r="L32" s="1892"/>
      <c r="M32" s="1760"/>
      <c r="N32" s="1760"/>
      <c r="O32" s="1760"/>
      <c r="S32" s="2762" t="s">
        <v>44</v>
      </c>
      <c r="T32" s="2762"/>
      <c r="U32" s="1884"/>
      <c r="V32" s="2763" t="str">
        <f>IF(TITLE_IST_PUB_CHANGE="",IF(TITLE_IST_PUB="","",TITLE_IST_PUB),TITLE_IST_PUB_CHANGE)</f>
        <v>http://pravo.gov.ru</v>
      </c>
      <c r="W32" s="2763"/>
      <c r="X32" s="2763"/>
      <c r="Y32" s="2763"/>
      <c r="Z32" s="2763"/>
      <c r="AA32" s="2763"/>
      <c r="AB32" s="2763"/>
      <c r="AC32" s="2147"/>
      <c r="AD32" s="2763" t="str">
        <f>IF(TITLE_IST_PUB_CHANGE="",IF(TITLE_IST_PUB="","",TITLE_IST_PUB),TITLE_IST_PUB_CHANGE)</f>
        <v>http://pravo.gov.ru</v>
      </c>
      <c r="AE32" s="2763"/>
      <c r="AF32" s="2763"/>
      <c r="AG32" s="2763"/>
      <c r="AH32" s="2763"/>
      <c r="AI32" s="2763"/>
      <c r="AJ32" s="2763"/>
      <c r="AK32" s="2147"/>
      <c r="AL32" s="2147"/>
      <c r="AM32" s="792"/>
      <c r="AN32" s="880"/>
      <c r="AO32" s="880"/>
      <c r="AP32" s="880"/>
      <c r="AQ32" s="880"/>
      <c r="AR32" s="880"/>
      <c r="AS32" s="930">
        <v>0</v>
      </c>
    </row>
    <row customHeight="1" ht="14.25" hidden="1">
      <c r="Q33" s="888"/>
      <c r="R33" s="888"/>
      <c r="S33" s="1787"/>
      <c r="T33" s="969"/>
      <c r="U33" s="969"/>
      <c r="V33" s="834"/>
      <c r="W33" s="834"/>
      <c r="X33" s="834"/>
      <c r="Y33" s="834"/>
      <c r="Z33" s="834"/>
      <c r="AA33" s="834"/>
      <c r="AB33" s="834"/>
      <c r="AC33" s="834"/>
      <c r="AD33" s="834"/>
      <c r="AE33" s="834"/>
      <c r="AF33" s="834"/>
      <c r="AG33" s="834"/>
      <c r="AH33" s="834"/>
      <c r="AI33" s="834"/>
      <c r="AJ33" s="834"/>
      <c r="AK33" s="834"/>
      <c r="AL33" s="2147"/>
      <c r="AS33" s="2143">
        <v>0</v>
      </c>
    </row>
    <row s="47026" customFormat="1" customHeight="1" ht="18.75" hidden="1">
      <c r="A34" s="1760"/>
      <c r="B34" s="1760"/>
      <c r="C34" s="1760"/>
      <c r="D34" s="1760"/>
      <c r="E34" s="1760"/>
      <c r="F34" s="1760"/>
      <c r="G34" s="1760"/>
      <c r="H34" s="1760"/>
      <c r="I34" s="1760"/>
      <c r="J34" s="1760"/>
      <c r="K34" s="1760"/>
      <c r="L34" s="1892"/>
      <c r="M34" s="1760"/>
      <c r="N34" s="1760"/>
      <c r="O34" s="1760"/>
      <c r="S34" s="2762" t="s">
        <v>541</v>
      </c>
      <c r="T34" s="2762"/>
      <c r="U34" s="1884"/>
      <c r="V34" s="2776" t="str">
        <f>IF(TITLE_DATE_PR_CHANGE="",IF(TITLE_DATE_PR="","",TITLE_DATE_PR),TITLE_DATE_PR_CHANGE)</f>
        <v>45631.495844907404</v>
      </c>
      <c r="W34" s="2776"/>
      <c r="X34" s="2776"/>
      <c r="Y34" s="2776"/>
      <c r="Z34" s="2776"/>
      <c r="AA34" s="2776"/>
      <c r="AB34" s="2776"/>
      <c r="AC34" s="2147"/>
      <c r="AD34" s="2776" t="str">
        <f>IF(TITLE_DATE_PR_CHANGE="",IF(TITLE_DATE_PR="","",TITLE_DATE_PR),TITLE_DATE_PR_CHANGE)</f>
        <v>45631.495844907404</v>
      </c>
      <c r="AE34" s="2776"/>
      <c r="AF34" s="2776"/>
      <c r="AG34" s="2776"/>
      <c r="AH34" s="2776"/>
      <c r="AI34" s="2776"/>
      <c r="AJ34" s="2776"/>
      <c r="AK34" s="2147"/>
      <c r="AL34" s="2147"/>
      <c r="AM34" s="792"/>
      <c r="AN34" s="880"/>
      <c r="AO34" s="880"/>
      <c r="AP34" s="880"/>
      <c r="AQ34" s="880"/>
      <c r="AR34" s="880"/>
      <c r="AS34" s="930">
        <v>0</v>
      </c>
    </row>
    <row s="47026" customFormat="1" customHeight="1" ht="18.75" hidden="1">
      <c r="A35" s="1760"/>
      <c r="B35" s="1760"/>
      <c r="C35" s="1760"/>
      <c r="D35" s="1760"/>
      <c r="E35" s="1760"/>
      <c r="F35" s="1760"/>
      <c r="G35" s="1760"/>
      <c r="H35" s="1760"/>
      <c r="I35" s="1760"/>
      <c r="J35" s="1760"/>
      <c r="K35" s="1760"/>
      <c r="L35" s="1892"/>
      <c r="M35" s="1760"/>
      <c r="N35" s="1760"/>
      <c r="O35" s="1760"/>
      <c r="S35" s="2762" t="s">
        <v>542</v>
      </c>
      <c r="T35" s="2762"/>
      <c r="U35" s="1884"/>
      <c r="V35" s="2763" t="str">
        <f>IF(TITLE_NUMBER_PR_CHANGE="",IF(TITLE_NUMBER_PR="","",TITLE_NUMBER_PR),TITLE_NUMBER_PR_CHANGE)</f>
        <v>53/9</v>
      </c>
      <c r="W35" s="2763"/>
      <c r="X35" s="2763"/>
      <c r="Y35" s="2763"/>
      <c r="Z35" s="2763"/>
      <c r="AA35" s="2763"/>
      <c r="AB35" s="2763"/>
      <c r="AC35" s="2147"/>
      <c r="AD35" s="2763" t="str">
        <f>IF(TITLE_NUMBER_PR_CHANGE="",IF(TITLE_NUMBER_PR="","",TITLE_NUMBER_PR),TITLE_NUMBER_PR_CHANGE)</f>
        <v>53/9</v>
      </c>
      <c r="AE35" s="2763"/>
      <c r="AF35" s="2763"/>
      <c r="AG35" s="2763"/>
      <c r="AH35" s="2763"/>
      <c r="AI35" s="2763"/>
      <c r="AJ35" s="2763"/>
      <c r="AK35" s="2147"/>
      <c r="AL35" s="2147"/>
      <c r="AM35" s="792"/>
      <c r="AN35" s="880"/>
      <c r="AO35" s="880"/>
      <c r="AP35" s="880"/>
      <c r="AQ35" s="880"/>
      <c r="AR35" s="880"/>
      <c r="AS35" s="930">
        <v>0</v>
      </c>
    </row>
    <row s="47026" customFormat="1" customHeight="1" ht="0">
      <c r="A36" s="1760"/>
      <c r="B36" s="1760"/>
      <c r="C36" s="1760"/>
      <c r="D36" s="1760"/>
      <c r="E36" s="1760"/>
      <c r="F36" s="1760"/>
      <c r="G36" s="1760"/>
      <c r="H36" s="1760"/>
      <c r="I36" s="1760"/>
      <c r="J36" s="1760"/>
      <c r="K36" s="1760"/>
      <c r="L36" s="1892"/>
      <c r="M36" s="1760"/>
      <c r="N36" s="1760"/>
      <c r="O36" s="1760"/>
      <c r="S36" s="2147"/>
      <c r="T36" s="2147"/>
      <c r="U36" s="2482"/>
      <c r="V36" s="2147"/>
      <c r="W36" s="2147"/>
      <c r="X36" s="2147"/>
      <c r="Y36" s="2147"/>
      <c r="Z36" s="2147"/>
      <c r="AA36" s="2147"/>
      <c r="AB36" s="2147"/>
      <c r="AC36" s="2154" t="s">
        <v>543</v>
      </c>
      <c r="AD36" s="2147"/>
      <c r="AE36" s="2147"/>
      <c r="AF36" s="2147"/>
      <c r="AG36" s="2147"/>
      <c r="AH36" s="2147"/>
      <c r="AI36" s="2147"/>
      <c r="AJ36" s="2147"/>
      <c r="AK36" s="2154" t="s">
        <v>543</v>
      </c>
      <c r="AN36" s="880"/>
      <c r="AO36" s="880"/>
      <c r="AP36" s="880"/>
      <c r="AQ36" s="880"/>
      <c r="AR36" s="880"/>
      <c r="AS36" s="930">
        <v>0</v>
      </c>
    </row>
    <row customHeight="1" ht="14.699999999999998">
      <c r="Q37" s="888"/>
      <c r="R37" s="888"/>
      <c r="S37" s="1787"/>
      <c r="T37" s="969"/>
      <c r="U37" s="1756"/>
      <c r="V37" s="2764"/>
      <c r="W37" s="2764"/>
      <c r="X37" s="2764"/>
      <c r="Y37" s="2764"/>
      <c r="Z37" s="2764"/>
      <c r="AA37" s="2764"/>
      <c r="AB37" s="2764"/>
      <c r="AC37" s="2764"/>
      <c r="AD37" s="2764"/>
      <c r="AE37" s="2764"/>
      <c r="AF37" s="2764"/>
      <c r="AG37" s="2764"/>
      <c r="AH37" s="2764"/>
      <c r="AI37" s="2764"/>
      <c r="AJ37" s="2764"/>
      <c r="AK37" s="2764"/>
      <c r="AS37" s="2143">
        <v>14</v>
      </c>
    </row>
    <row customHeight="1" ht="14.699999999999998">
      <c r="Q38" s="888"/>
      <c r="R38" s="888"/>
      <c r="S38" s="2639" t="s">
        <v>418</v>
      </c>
      <c r="T38" s="2639"/>
      <c r="U38" s="2639"/>
      <c r="V38" s="2639"/>
      <c r="W38" s="2639"/>
      <c r="X38" s="2639"/>
      <c r="Y38" s="2639"/>
      <c r="Z38" s="2639"/>
      <c r="AA38" s="2639"/>
      <c r="AB38" s="2639"/>
      <c r="AC38" s="2639"/>
      <c r="AD38" s="2639"/>
      <c r="AE38" s="2639"/>
      <c r="AF38" s="2639"/>
      <c r="AG38" s="2639"/>
      <c r="AH38" s="2639"/>
      <c r="AI38" s="2639"/>
      <c r="AJ38" s="2639"/>
      <c r="AK38" s="2639"/>
      <c r="AL38" s="2639"/>
      <c r="AM38" s="2639" t="s">
        <v>419</v>
      </c>
      <c r="AS38" s="2143">
        <v>14</v>
      </c>
    </row>
    <row customHeight="1" ht="14.699999999999998">
      <c r="Q39" s="888"/>
      <c r="R39" s="888"/>
      <c r="S39" s="2785" t="s">
        <v>90</v>
      </c>
      <c r="T39" s="2721" t="s">
        <v>544</v>
      </c>
      <c r="U39" s="849"/>
      <c r="V39" s="2786" t="s">
        <v>545</v>
      </c>
      <c r="W39" s="2787"/>
      <c r="X39" s="2787"/>
      <c r="Y39" s="2787"/>
      <c r="Z39" s="2787"/>
      <c r="AA39" s="2787"/>
      <c r="AB39" s="2788"/>
      <c r="AC39" s="2789" t="s">
        <v>546</v>
      </c>
      <c r="AD39" s="2786" t="s">
        <v>545</v>
      </c>
      <c r="AE39" s="2787"/>
      <c r="AF39" s="2787"/>
      <c r="AG39" s="2787"/>
      <c r="AH39" s="2787"/>
      <c r="AI39" s="2787"/>
      <c r="AJ39" s="2788"/>
      <c r="AK39" s="2789" t="s">
        <v>547</v>
      </c>
      <c r="AL39" s="2792" t="s">
        <v>548</v>
      </c>
      <c r="AM39" s="2639"/>
      <c r="AS39" s="2143">
        <v>14</v>
      </c>
    </row>
    <row customHeight="1" ht="35.699999999999996">
      <c r="Q40" s="888"/>
      <c r="R40" s="888"/>
      <c r="S40" s="2785"/>
      <c r="T40" s="2721"/>
      <c r="U40" s="1543"/>
      <c r="V40" s="2772" t="s">
        <v>549</v>
      </c>
      <c r="W40" s="2795" t="s">
        <v>550</v>
      </c>
      <c r="X40" s="2774" t="s">
        <v>551</v>
      </c>
      <c r="Y40" s="2775"/>
      <c r="Z40" s="2774" t="s">
        <v>564</v>
      </c>
      <c r="AA40" s="2781"/>
      <c r="AB40" s="2775"/>
      <c r="AC40" s="2790"/>
      <c r="AD40" s="2772" t="s">
        <v>549</v>
      </c>
      <c r="AE40" s="2795" t="s">
        <v>550</v>
      </c>
      <c r="AF40" s="2774" t="s">
        <v>551</v>
      </c>
      <c r="AG40" s="2775"/>
      <c r="AH40" s="2774" t="s">
        <v>552</v>
      </c>
      <c r="AI40" s="2781"/>
      <c r="AJ40" s="2775"/>
      <c r="AK40" s="2790"/>
      <c r="AL40" s="2793"/>
      <c r="AM40" s="2639"/>
      <c r="AS40" s="2143">
        <v>34</v>
      </c>
    </row>
    <row customHeight="1" ht="35.699999999999996">
      <c r="A41" s="1778"/>
      <c r="B41" s="1778" t="s">
        <v>191</v>
      </c>
      <c r="C41" s="1778" t="s">
        <v>192</v>
      </c>
      <c r="D41" s="1778" t="s">
        <v>193</v>
      </c>
      <c r="E41" s="1822" t="s">
        <v>553</v>
      </c>
      <c r="F41" s="1822" t="s">
        <v>554</v>
      </c>
      <c r="G41" s="1822" t="s">
        <v>555</v>
      </c>
      <c r="H41" s="1822" t="s">
        <v>556</v>
      </c>
      <c r="I41" s="1822" t="s">
        <v>557</v>
      </c>
      <c r="J41" s="1822" t="s">
        <v>558</v>
      </c>
      <c r="K41" s="1822" t="s">
        <v>559</v>
      </c>
      <c r="L41" s="1822" t="s">
        <v>534</v>
      </c>
      <c r="Q41" s="888"/>
      <c r="R41" s="888"/>
      <c r="S41" s="2785"/>
      <c r="T41" s="2721"/>
      <c r="U41" s="814"/>
      <c r="V41" s="2773"/>
      <c r="W41" s="2796"/>
      <c r="X41" s="2450" t="s">
        <v>560</v>
      </c>
      <c r="Y41" s="2450" t="s">
        <v>561</v>
      </c>
      <c r="Z41" s="2450" t="s">
        <v>562</v>
      </c>
      <c r="AA41" s="2782" t="s">
        <v>563</v>
      </c>
      <c r="AB41" s="2783"/>
      <c r="AC41" s="2791"/>
      <c r="AD41" s="2773"/>
      <c r="AE41" s="2796"/>
      <c r="AF41" s="2450" t="s">
        <v>560</v>
      </c>
      <c r="AG41" s="2450" t="s">
        <v>561</v>
      </c>
      <c r="AH41" s="2450" t="s">
        <v>562</v>
      </c>
      <c r="AI41" s="2782" t="s">
        <v>563</v>
      </c>
      <c r="AJ41" s="2783"/>
      <c r="AK41" s="2791"/>
      <c r="AL41" s="2794"/>
      <c r="AM41" s="2639"/>
      <c r="AS41" s="2143">
        <v>34</v>
      </c>
    </row>
    <row s="47496" customFormat="1" customHeight="1" ht="11.25" hidden="1">
      <c r="A42" s="1778"/>
      <c r="B42" s="1778"/>
      <c r="C42" s="1778"/>
      <c r="D42" s="1778"/>
      <c r="E42" s="1778"/>
      <c r="F42" s="1778"/>
      <c r="G42" s="1778"/>
      <c r="H42" s="1778"/>
      <c r="I42" s="1778"/>
      <c r="J42" s="1778"/>
      <c r="K42" s="1778"/>
      <c r="L42" s="1822"/>
      <c r="M42" s="2477"/>
      <c r="N42" s="2477"/>
      <c r="O42" s="2477"/>
      <c r="P42" s="1758"/>
      <c r="Q42" s="1759"/>
      <c r="R42" s="1766">
        <v>1</v>
      </c>
      <c r="S42" s="1789" t="s">
        <v>101</v>
      </c>
      <c r="T42" s="1767" t="s">
        <v>105</v>
      </c>
      <c r="U42" s="1757" t="str">
        <f>OFFSET(U42,0,-1)</f>
        <v>2</v>
      </c>
      <c r="V42" s="2468">
        <f>OFFSET(V42,0,-1)+1</f>
        <v>3</v>
      </c>
      <c r="W42" s="2468"/>
      <c r="X42" s="2468">
        <f>OFFSET(X42,0,-1)+1</f>
        <v>1</v>
      </c>
      <c r="Y42" s="2468">
        <f>OFFSET(Y42,0,-1)+1</f>
        <v>2</v>
      </c>
      <c r="Z42" s="2468">
        <f>OFFSET(Z42,0,-1)+1</f>
        <v>3</v>
      </c>
      <c r="AA42" s="2784">
        <f>OFFSET(AA42,0,-1)+1</f>
        <v>4</v>
      </c>
      <c r="AB42" s="2784"/>
      <c r="AC42" s="2468">
        <f>OFFSET(AC42,0,-2)+1</f>
        <v>5</v>
      </c>
      <c r="AD42" s="2468">
        <f>OFFSET(AD42,0,-1)+1</f>
        <v>6</v>
      </c>
      <c r="AE42" s="2468"/>
      <c r="AF42" s="2468">
        <f>OFFSET(AF42,0,-1)+1</f>
        <v>1</v>
      </c>
      <c r="AG42" s="2468">
        <f>OFFSET(AG42,0,-1)+1</f>
        <v>2</v>
      </c>
      <c r="AH42" s="2468">
        <f>OFFSET(AH42,0,-1)+1</f>
        <v>3</v>
      </c>
      <c r="AI42" s="2784">
        <f>OFFSET(AI42,0,-1)+1</f>
        <v>4</v>
      </c>
      <c r="AJ42" s="2784"/>
      <c r="AK42" s="2468">
        <f>OFFSET(AK42,0,-2)+1</f>
        <v>5</v>
      </c>
      <c r="AL42" s="1757">
        <f>OFFSET(AL42,0,-1)</f>
        <v>5</v>
      </c>
      <c r="AM42" s="2468">
        <f>OFFSET(AM42,0,-1)+1</f>
        <v>6</v>
      </c>
      <c r="AN42" s="2148"/>
      <c r="AO42" s="2148"/>
      <c r="AP42" s="2148"/>
      <c r="AQ42" s="2148"/>
      <c r="AR42" s="2148"/>
      <c r="AS42" s="2153">
        <v>0</v>
      </c>
    </row>
    <row customHeight="1" ht="22.049999999999997">
      <c r="A43" s="1779" t="s">
        <v>261</v>
      </c>
      <c r="B43" s="1779"/>
      <c r="C43" s="1779"/>
      <c r="D43" s="1779"/>
      <c r="E43" s="2801">
        <v>1</v>
      </c>
      <c r="F43" s="1779"/>
      <c r="G43" s="1779"/>
      <c r="H43" s="1779"/>
      <c r="I43" s="1779"/>
      <c r="J43" s="1779"/>
      <c r="K43" s="1779"/>
      <c r="L43" s="1822"/>
      <c r="M43" s="2122"/>
      <c r="N43" s="2122"/>
      <c r="O43" s="2122"/>
      <c r="P43" s="2102"/>
      <c r="Q43" s="872"/>
      <c r="R43" s="867"/>
      <c r="S43" s="2470">
        <f>INDEX(PT_DIFFERENTIATION_NUM_NTAR,MATCH(A43,PT_DIFFERENTIATION_NTAR_ID,0))</f>
        <v>0</v>
      </c>
      <c r="T43" s="2037" t="s">
        <v>179</v>
      </c>
      <c r="U43" s="812"/>
      <c r="V43" s="2754"/>
      <c r="W43" s="2755"/>
      <c r="X43" s="2755"/>
      <c r="Y43" s="2755"/>
      <c r="Z43" s="2755"/>
      <c r="AA43" s="2755"/>
      <c r="AB43" s="2755"/>
      <c r="AC43" s="2756"/>
      <c r="AD43" s="2754" t="str">
        <f>INDEX(PT_DIFFERENTIATION_NTAR,MATCH(A43,PT_DIFFERENTIATION_NTAR_ID,0))</f>
        <v/>
      </c>
      <c r="AE43" s="2755"/>
      <c r="AF43" s="2755"/>
      <c r="AG43" s="2755"/>
      <c r="AH43" s="2755"/>
      <c r="AI43" s="2755"/>
      <c r="AJ43" s="2755"/>
      <c r="AK43" s="2755"/>
      <c r="AL43" s="2756"/>
      <c r="AM43" s="177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2136"/>
      <c r="AP43" s="2136" t="str">
        <f>IF(T43="","",T43)</f>
        <v>Наименование тарифа</v>
      </c>
      <c r="AQ43" s="2136"/>
      <c r="AR43" s="2136"/>
      <c r="AS43" s="2143">
        <v>21</v>
      </c>
    </row>
    <row customHeight="1" ht="22.049999999999997">
      <c r="A44" s="1779" t="s">
        <v>261</v>
      </c>
      <c r="B44" s="1779" t="s">
        <v>262</v>
      </c>
      <c r="C44" s="1779"/>
      <c r="D44" s="1779"/>
      <c r="E44" s="2802"/>
      <c r="F44" s="2801">
        <v>1</v>
      </c>
      <c r="G44" s="1779"/>
      <c r="H44" s="1779"/>
      <c r="I44" s="1779"/>
      <c r="J44" s="1779"/>
      <c r="K44" s="1779"/>
      <c r="L44" s="1822"/>
      <c r="M44" s="2122"/>
      <c r="N44" s="2122"/>
      <c r="O44" s="2122"/>
      <c r="P44" s="2452"/>
      <c r="Q44" s="864"/>
      <c r="R44" s="865"/>
      <c r="S44" s="2470" t="str">
        <f>INDEX(PT_DIFFERENTIATION_NUM_TER,MATCH(B44,PT_DIFFERENTIATION_TER_ID,0))</f>
        <v>.</v>
      </c>
      <c r="T44" s="2034" t="s">
        <v>515</v>
      </c>
      <c r="U44" s="812"/>
      <c r="V44" s="2754"/>
      <c r="W44" s="2755"/>
      <c r="X44" s="2755"/>
      <c r="Y44" s="2755"/>
      <c r="Z44" s="2755"/>
      <c r="AA44" s="2755"/>
      <c r="AB44" s="2755"/>
      <c r="AC44" s="2756"/>
      <c r="AD44" s="2754" t="str">
        <f>INDEX(PT_DIFFERENTIATION_TER,MATCH(B44,PT_DIFFERENTIATION_TER_ID,0))</f>
        <v/>
      </c>
      <c r="AE44" s="2755"/>
      <c r="AF44" s="2755"/>
      <c r="AG44" s="2755"/>
      <c r="AH44" s="2755"/>
      <c r="AI44" s="2755"/>
      <c r="AJ44" s="2755"/>
      <c r="AK44" s="2755"/>
      <c r="AL44" s="2756"/>
      <c r="AM44" s="1770" t="s">
        <v>516</v>
      </c>
      <c r="AO44" s="2136"/>
      <c r="AP44" s="2136" t="str">
        <f>IF(T44="","",T44)</f>
        <v>Территория действия тарифа</v>
      </c>
      <c r="AQ44" s="2136"/>
      <c r="AR44" s="2136"/>
      <c r="AS44" s="2143">
        <v>21</v>
      </c>
    </row>
    <row customHeight="1" ht="24">
      <c r="A45" s="1779" t="s">
        <v>261</v>
      </c>
      <c r="B45" s="1779" t="s">
        <v>262</v>
      </c>
      <c r="C45" s="1779" t="s">
        <v>263</v>
      </c>
      <c r="D45" s="1779"/>
      <c r="E45" s="2802"/>
      <c r="F45" s="2802"/>
      <c r="G45" s="2801">
        <v>1</v>
      </c>
      <c r="H45" s="1779"/>
      <c r="I45" s="1779"/>
      <c r="J45" s="1779"/>
      <c r="K45" s="1779"/>
      <c r="L45" s="1822"/>
      <c r="M45" s="2122"/>
      <c r="N45" s="2122"/>
      <c r="O45" s="2122"/>
      <c r="P45" s="866"/>
      <c r="Q45" s="864"/>
      <c r="R45" s="865"/>
      <c r="S45" s="2470" t="str">
        <f>INDEX(PT_DIFFERENTIATION_NUM_CS,MATCH(C45,PT_DIFFERENTIATION_CS_ID,0))</f>
        <v>..</v>
      </c>
      <c r="T45" s="821" t="s">
        <v>517</v>
      </c>
      <c r="U45" s="812"/>
      <c r="V45" s="2754"/>
      <c r="W45" s="2755"/>
      <c r="X45" s="2755"/>
      <c r="Y45" s="2755"/>
      <c r="Z45" s="2755"/>
      <c r="AA45" s="2755"/>
      <c r="AB45" s="2755"/>
      <c r="AC45" s="2756"/>
      <c r="AD45" s="2754" t="str">
        <f>INDEX(PT_DIFFERENTIATION_CS,MATCH(C45,PT_DIFFERENTIATION_CS_ID,0))</f>
        <v/>
      </c>
      <c r="AE45" s="2755"/>
      <c r="AF45" s="2755"/>
      <c r="AG45" s="2755"/>
      <c r="AH45" s="2755"/>
      <c r="AI45" s="2755"/>
      <c r="AJ45" s="2755"/>
      <c r="AK45" s="2755"/>
      <c r="AL45" s="2756"/>
      <c r="AM45" s="1770" t="s">
        <v>518</v>
      </c>
      <c r="AO45" s="2136"/>
      <c r="AP45" s="2136" t="str">
        <f>IF(T45="","",T45)</f>
        <v>Наименование системы теплоснабжения </v>
      </c>
      <c r="AQ45" s="2136"/>
      <c r="AR45" s="2136"/>
      <c r="AS45" s="2143">
        <v>23</v>
      </c>
    </row>
    <row customHeight="1" ht="22.049999999999997">
      <c r="A46" s="1779" t="s">
        <v>261</v>
      </c>
      <c r="B46" s="1779" t="s">
        <v>262</v>
      </c>
      <c r="C46" s="1779" t="s">
        <v>263</v>
      </c>
      <c r="D46" s="1779" t="s">
        <v>264</v>
      </c>
      <c r="E46" s="2802"/>
      <c r="F46" s="2802"/>
      <c r="G46" s="2802"/>
      <c r="H46" s="2801">
        <v>1</v>
      </c>
      <c r="I46" s="1779"/>
      <c r="J46" s="1779"/>
      <c r="K46" s="1779"/>
      <c r="L46" s="1822"/>
      <c r="M46" s="2122"/>
      <c r="N46" s="2122"/>
      <c r="O46" s="2122"/>
      <c r="P46" s="866"/>
      <c r="Q46" s="864"/>
      <c r="R46" s="865"/>
      <c r="S46" s="2470" t="str">
        <f>INDEX(PT_DIFFERENTIATION_NUM_IST_TE,MATCH(D46,PT_DIFFERENTIATION_IST_TE_ID,0))</f>
        <v>...</v>
      </c>
      <c r="T46" s="822" t="s">
        <v>519</v>
      </c>
      <c r="U46" s="812"/>
      <c r="V46" s="2754"/>
      <c r="W46" s="2755"/>
      <c r="X46" s="2755"/>
      <c r="Y46" s="2755"/>
      <c r="Z46" s="2755"/>
      <c r="AA46" s="2755"/>
      <c r="AB46" s="2755"/>
      <c r="AC46" s="2756"/>
      <c r="AD46" s="2754" t="str">
        <f>INDEX(PT_DIFFERENTIATION_IST_TE,MATCH(D46,PT_DIFFERENTIATION_IST_TE_ID,0))</f>
        <v/>
      </c>
      <c r="AE46" s="2755"/>
      <c r="AF46" s="2755"/>
      <c r="AG46" s="2755"/>
      <c r="AH46" s="2755"/>
      <c r="AI46" s="2755"/>
      <c r="AJ46" s="2755"/>
      <c r="AK46" s="2755"/>
      <c r="AL46" s="2756"/>
      <c r="AM46" s="1770" t="s">
        <v>520</v>
      </c>
      <c r="AO46" s="2136"/>
      <c r="AP46" s="2136" t="str">
        <f>IF(T46="","",T46)</f>
        <v>Источник тепловой энергии  </v>
      </c>
      <c r="AQ46" s="2136"/>
      <c r="AR46" s="2136"/>
      <c r="AS46" s="2143">
        <v>21</v>
      </c>
    </row>
    <row customHeight="1" ht="49.5">
      <c r="A47" s="1779" t="s">
        <v>261</v>
      </c>
      <c r="B47" s="1779" t="s">
        <v>262</v>
      </c>
      <c r="C47" s="1779" t="s">
        <v>263</v>
      </c>
      <c r="D47" s="1779" t="s">
        <v>264</v>
      </c>
      <c r="E47" s="2802"/>
      <c r="F47" s="2802"/>
      <c r="G47" s="2802"/>
      <c r="H47" s="2802"/>
      <c r="I47" s="2639" t="str">
        <f>S46&amp;".1"</f>
        <v>....1</v>
      </c>
      <c r="J47" s="1779"/>
      <c r="K47" s="1779"/>
      <c r="L47" s="1822" t="s">
        <v>521</v>
      </c>
      <c r="P47" s="2769">
        <v>1</v>
      </c>
      <c r="Q47" s="2466"/>
      <c r="R47" s="868"/>
      <c r="S47" s="2470" t="str">
        <f>$I47</f>
        <v>....1</v>
      </c>
      <c r="T47" s="797" t="s">
        <v>522</v>
      </c>
      <c r="U47" s="812"/>
      <c r="V47" s="2757"/>
      <c r="W47" s="2758"/>
      <c r="X47" s="2758"/>
      <c r="Y47" s="2758"/>
      <c r="Z47" s="2758"/>
      <c r="AA47" s="2758"/>
      <c r="AB47" s="2758"/>
      <c r="AC47" s="2759"/>
      <c r="AD47" s="2757"/>
      <c r="AE47" s="2758"/>
      <c r="AF47" s="2758"/>
      <c r="AG47" s="2758"/>
      <c r="AH47" s="2758"/>
      <c r="AI47" s="2758"/>
      <c r="AJ47" s="2758"/>
      <c r="AK47" s="2758"/>
      <c r="AL47" s="2759"/>
      <c r="AM47" s="1770" t="s">
        <v>523</v>
      </c>
      <c r="AO47" s="2136"/>
      <c r="AP47" s="2136" t="str">
        <f>IF(T47="","",T47)</f>
        <v>Схема подключения теплопотребляющей установки к коллектору источника тепловой энергии</v>
      </c>
      <c r="AQ47" s="2136"/>
      <c r="AR47" s="2136"/>
      <c r="AS47" s="2143">
        <v>47</v>
      </c>
    </row>
    <row customHeight="1" ht="22.049999999999997">
      <c r="A48" s="1779" t="s">
        <v>261</v>
      </c>
      <c r="B48" s="1779" t="s">
        <v>262</v>
      </c>
      <c r="C48" s="1779" t="s">
        <v>263</v>
      </c>
      <c r="D48" s="1779" t="s">
        <v>264</v>
      </c>
      <c r="E48" s="2802"/>
      <c r="F48" s="2802"/>
      <c r="G48" s="2802"/>
      <c r="H48" s="2802"/>
      <c r="I48" s="2613"/>
      <c r="J48" s="2639" t="str">
        <f>I47&amp;".1"</f>
        <v>....1.1</v>
      </c>
      <c r="K48" s="1779"/>
      <c r="L48" s="1822" t="s">
        <v>524</v>
      </c>
      <c r="P48" s="2769"/>
      <c r="Q48" s="2769">
        <v>1</v>
      </c>
      <c r="R48" s="869"/>
      <c r="S48" s="2470" t="str">
        <f>$J48</f>
        <v>....1.1</v>
      </c>
      <c r="T48" s="798" t="s">
        <v>525</v>
      </c>
      <c r="U48" s="812"/>
      <c r="V48" s="2757"/>
      <c r="W48" s="2758"/>
      <c r="X48" s="2758"/>
      <c r="Y48" s="2758"/>
      <c r="Z48" s="2758"/>
      <c r="AA48" s="2758"/>
      <c r="AB48" s="2758"/>
      <c r="AC48" s="2759"/>
      <c r="AD48" s="2757"/>
      <c r="AE48" s="2758"/>
      <c r="AF48" s="2758"/>
      <c r="AG48" s="2758"/>
      <c r="AH48" s="2758"/>
      <c r="AI48" s="2758"/>
      <c r="AJ48" s="2758"/>
      <c r="AK48" s="2758"/>
      <c r="AL48" s="2759"/>
      <c r="AM48" s="1770" t="s">
        <v>526</v>
      </c>
      <c r="AO48" s="2136"/>
      <c r="AP48" s="2136" t="str">
        <f>IF(T48="","",T48)</f>
        <v>Группа потребителей</v>
      </c>
      <c r="AQ48" s="2136"/>
      <c r="AR48" s="2136"/>
      <c r="AS48" s="2143">
        <v>21</v>
      </c>
    </row>
    <row customHeight="1" ht="22.049999999999997">
      <c r="A49" s="1779" t="s">
        <v>261</v>
      </c>
      <c r="B49" s="1779" t="s">
        <v>262</v>
      </c>
      <c r="C49" s="1779" t="s">
        <v>263</v>
      </c>
      <c r="D49" s="1779" t="s">
        <v>264</v>
      </c>
      <c r="E49" s="2802"/>
      <c r="F49" s="2802"/>
      <c r="G49" s="2802"/>
      <c r="H49" s="2802"/>
      <c r="I49" s="2613"/>
      <c r="J49" s="2613"/>
      <c r="K49" s="2639" t="str">
        <f>J48&amp;".1"</f>
        <v>....1.1.1</v>
      </c>
      <c r="L49" s="1822" t="s">
        <v>527</v>
      </c>
      <c r="P49" s="2769"/>
      <c r="Q49" s="2769"/>
      <c r="R49" s="869">
        <v>1</v>
      </c>
      <c r="S49" s="2470" t="str">
        <f>$K49</f>
        <v>....1.1.1</v>
      </c>
      <c r="T49" s="1859"/>
      <c r="U49" s="812"/>
      <c r="V49" s="1263"/>
      <c r="W49" s="837"/>
      <c r="X49" s="1263"/>
      <c r="Y49" s="1769"/>
      <c r="Z49" s="2777"/>
      <c r="AA49" s="2619" t="s">
        <v>63</v>
      </c>
      <c r="AB49" s="2777"/>
      <c r="AC49" s="2619" t="s">
        <v>63</v>
      </c>
      <c r="AD49" s="1263"/>
      <c r="AE49" s="837"/>
      <c r="AF49" s="1263"/>
      <c r="AG49" s="1769"/>
      <c r="AH49" s="2777"/>
      <c r="AI49" s="2619" t="s">
        <v>63</v>
      </c>
      <c r="AJ49" s="2799"/>
      <c r="AK49" s="2619" t="s">
        <v>63</v>
      </c>
      <c r="AL49" s="1860"/>
      <c r="AM49" s="2765" t="s">
        <v>528</v>
      </c>
      <c r="AN49" s="2148">
        <f>STRCHECKDATE(V50:AL50)</f>
      </c>
      <c r="AO49" s="2136"/>
      <c r="AP49" s="2136" t="str">
        <f>IF(T49="","",T49)</f>
        <v/>
      </c>
      <c r="AQ49" s="2136"/>
      <c r="AR49" s="2136"/>
      <c r="AS49" s="2143">
        <v>21</v>
      </c>
    </row>
    <row customHeight="1" ht="1.05">
      <c r="A50" s="1779" t="s">
        <v>261</v>
      </c>
      <c r="B50" s="1779" t="s">
        <v>262</v>
      </c>
      <c r="C50" s="1779" t="s">
        <v>263</v>
      </c>
      <c r="D50" s="1779" t="s">
        <v>264</v>
      </c>
      <c r="E50" s="2802"/>
      <c r="F50" s="2802"/>
      <c r="G50" s="2802"/>
      <c r="H50" s="2802"/>
      <c r="I50" s="2613"/>
      <c r="J50" s="2613"/>
      <c r="K50" s="2639"/>
      <c r="L50" s="1822"/>
      <c r="P50" s="2769"/>
      <c r="Q50" s="2769"/>
      <c r="R50" s="869"/>
      <c r="S50" s="2479"/>
      <c r="T50" s="812"/>
      <c r="U50" s="812"/>
      <c r="V50" s="837"/>
      <c r="W50" s="837"/>
      <c r="X50" s="837"/>
      <c r="Y50" s="840" t="str">
        <f>Z49&amp;"-"&amp;AB49</f>
        <v>-</v>
      </c>
      <c r="Z50" s="2778"/>
      <c r="AA50" s="2619"/>
      <c r="AB50" s="2778"/>
      <c r="AC50" s="2619"/>
      <c r="AD50" s="837"/>
      <c r="AE50" s="837"/>
      <c r="AF50" s="837"/>
      <c r="AG50" s="840" t="str">
        <f>AH49&amp;"-"&amp;AJ49</f>
        <v>-</v>
      </c>
      <c r="AH50" s="2778"/>
      <c r="AI50" s="2619"/>
      <c r="AJ50" s="2800"/>
      <c r="AK50" s="2619"/>
      <c r="AL50" s="1861"/>
      <c r="AM50" s="2766"/>
      <c r="AO50" s="2136"/>
      <c r="AP50" s="2136" t="str">
        <f>IF(T50="","",T50)</f>
        <v/>
      </c>
      <c r="AQ50" s="2136"/>
      <c r="AR50" s="2136"/>
      <c r="AS50" s="2143">
        <v>1</v>
      </c>
    </row>
    <row customHeight="1" ht="11.549999999999999">
      <c r="A51" s="1779" t="s">
        <v>261</v>
      </c>
      <c r="B51" s="1779" t="s">
        <v>262</v>
      </c>
      <c r="C51" s="1779" t="s">
        <v>263</v>
      </c>
      <c r="D51" s="1779" t="s">
        <v>264</v>
      </c>
      <c r="E51" s="2802"/>
      <c r="F51" s="2802"/>
      <c r="G51" s="2802"/>
      <c r="H51" s="2802"/>
      <c r="I51" s="2613"/>
      <c r="J51" s="2639"/>
      <c r="K51" s="1779"/>
      <c r="L51" s="1822"/>
      <c r="P51" s="2769"/>
      <c r="Q51" s="2769"/>
      <c r="R51" s="868"/>
      <c r="S51" s="1790"/>
      <c r="T51" s="800" t="s">
        <v>529</v>
      </c>
      <c r="U51" s="1112"/>
      <c r="V51" s="1112"/>
      <c r="W51" s="1112"/>
      <c r="X51" s="1112"/>
      <c r="Y51" s="1112"/>
      <c r="Z51" s="1112"/>
      <c r="AA51" s="1112"/>
      <c r="AB51" s="1112"/>
      <c r="AC51" s="1112"/>
      <c r="AD51" s="1112"/>
      <c r="AE51" s="1112"/>
      <c r="AF51" s="1112"/>
      <c r="AG51" s="1112"/>
      <c r="AH51" s="1112"/>
      <c r="AI51" s="1112"/>
      <c r="AJ51" s="1112"/>
      <c r="AK51" s="1112"/>
      <c r="AL51" s="836"/>
      <c r="AM51" s="2767"/>
      <c r="AO51" s="2136"/>
      <c r="AP51" s="2136" t="str">
        <f>IF(T51="","",T51)</f>
        <v>Добавить вид теплоносителя (параметры теплоносителя)</v>
      </c>
      <c r="AQ51" s="2136"/>
      <c r="AR51" s="2136"/>
      <c r="AS51" s="2143">
        <v>11</v>
      </c>
    </row>
    <row customHeight="1" ht="11.549999999999999">
      <c r="A52" s="1779" t="s">
        <v>261</v>
      </c>
      <c r="B52" s="1779" t="s">
        <v>262</v>
      </c>
      <c r="C52" s="1779" t="s">
        <v>263</v>
      </c>
      <c r="D52" s="1779" t="s">
        <v>264</v>
      </c>
      <c r="E52" s="2802"/>
      <c r="F52" s="2802"/>
      <c r="G52" s="2802"/>
      <c r="H52" s="2802"/>
      <c r="I52" s="2639"/>
      <c r="J52" s="1779"/>
      <c r="K52" s="1779"/>
      <c r="L52" s="1822"/>
      <c r="P52" s="2769"/>
      <c r="Q52" s="2466"/>
      <c r="R52" s="868"/>
      <c r="S52" s="1790"/>
      <c r="T52" s="799" t="s">
        <v>530</v>
      </c>
      <c r="U52" s="1112"/>
      <c r="V52" s="1112"/>
      <c r="W52" s="1112"/>
      <c r="X52" s="1112"/>
      <c r="Y52" s="1112"/>
      <c r="Z52" s="1112"/>
      <c r="AA52" s="1112"/>
      <c r="AB52" s="1112"/>
      <c r="AC52" s="878"/>
      <c r="AD52" s="1112"/>
      <c r="AE52" s="1112"/>
      <c r="AF52" s="1112"/>
      <c r="AG52" s="1112"/>
      <c r="AH52" s="1112"/>
      <c r="AI52" s="1112"/>
      <c r="AJ52" s="1112"/>
      <c r="AK52" s="878"/>
      <c r="AL52" s="1112"/>
      <c r="AM52" s="815"/>
      <c r="AO52" s="2136"/>
      <c r="AP52" s="2136" t="str">
        <f>IF(T52="","",T52)</f>
        <v>Добавить группу потребителей</v>
      </c>
      <c r="AQ52" s="2136"/>
      <c r="AR52" s="2136"/>
      <c r="AS52" s="2143">
        <v>11</v>
      </c>
    </row>
    <row customHeight="1" ht="14.699999999999998">
      <c r="A53" s="1779" t="s">
        <v>261</v>
      </c>
      <c r="B53" s="1779" t="s">
        <v>262</v>
      </c>
      <c r="C53" s="1779" t="s">
        <v>263</v>
      </c>
      <c r="D53" s="1779" t="s">
        <v>264</v>
      </c>
      <c r="E53" s="2802"/>
      <c r="F53" s="2802"/>
      <c r="G53" s="2802"/>
      <c r="H53" s="2801"/>
      <c r="I53" s="1779"/>
      <c r="J53" s="1779"/>
      <c r="K53" s="1779"/>
      <c r="L53" s="1822"/>
      <c r="M53" s="2122"/>
      <c r="N53" s="2122"/>
      <c r="O53" s="2147"/>
      <c r="P53" s="872"/>
      <c r="Q53" s="887"/>
      <c r="R53" s="867"/>
      <c r="S53" s="1790"/>
      <c r="T53" s="877" t="s">
        <v>531</v>
      </c>
      <c r="U53" s="1112"/>
      <c r="V53" s="1112"/>
      <c r="W53" s="1112"/>
      <c r="X53" s="1112"/>
      <c r="Y53" s="1112"/>
      <c r="Z53" s="1112"/>
      <c r="AA53" s="1112"/>
      <c r="AB53" s="1112"/>
      <c r="AC53" s="878"/>
      <c r="AD53" s="1112"/>
      <c r="AE53" s="1112"/>
      <c r="AF53" s="1112"/>
      <c r="AG53" s="1112"/>
      <c r="AH53" s="1112"/>
      <c r="AI53" s="1112"/>
      <c r="AJ53" s="1112"/>
      <c r="AK53" s="878"/>
      <c r="AL53" s="1112"/>
      <c r="AM53" s="815"/>
      <c r="AO53" s="2136"/>
      <c r="AP53" s="2136" t="str">
        <f>IF(T53="","",T53)</f>
        <v>Добавить схему подключения</v>
      </c>
      <c r="AQ53" s="2136"/>
      <c r="AR53" s="2136"/>
      <c r="AS53" s="2143">
        <v>14</v>
      </c>
    </row>
    <row s="46890" customFormat="1" customHeight="1" ht="1.05">
      <c r="A54" s="1779" t="s">
        <v>261</v>
      </c>
      <c r="B54" s="1779" t="s">
        <v>262</v>
      </c>
      <c r="C54" s="1779" t="s">
        <v>263</v>
      </c>
      <c r="D54" s="2486"/>
      <c r="E54" s="2802"/>
      <c r="F54" s="2802"/>
      <c r="G54" s="2801"/>
      <c r="H54" s="2486"/>
      <c r="I54" s="2486"/>
      <c r="J54" s="2486"/>
      <c r="K54" s="2486"/>
      <c r="L54" s="1892"/>
      <c r="M54" s="2122"/>
      <c r="N54" s="2122"/>
      <c r="O54" s="2147"/>
      <c r="P54" s="1828"/>
      <c r="Q54" s="1829"/>
      <c r="R54" s="1828"/>
      <c r="S54" s="1834"/>
      <c r="T54" s="1837" t="s">
        <v>532</v>
      </c>
      <c r="U54" s="1836"/>
      <c r="V54" s="1836"/>
      <c r="W54" s="1836"/>
      <c r="X54" s="1836"/>
      <c r="Y54" s="1836"/>
      <c r="Z54" s="1836"/>
      <c r="AA54" s="1836"/>
      <c r="AB54" s="1836"/>
      <c r="AC54" s="1836"/>
      <c r="AD54" s="1836"/>
      <c r="AE54" s="1836"/>
      <c r="AF54" s="1836"/>
      <c r="AG54" s="1836"/>
      <c r="AH54" s="1836"/>
      <c r="AI54" s="1836"/>
      <c r="AJ54" s="1836"/>
      <c r="AK54" s="1836"/>
      <c r="AL54" s="1836"/>
      <c r="AM54" s="1836"/>
      <c r="AO54" s="1763"/>
      <c r="AP54" s="1763" t="str">
        <f>IF(T54="","",T54)</f>
        <v>Добавить источник для дифференциации</v>
      </c>
      <c r="AQ54" s="1763"/>
      <c r="AR54" s="1763"/>
      <c r="AS54" s="2154">
        <v>1</v>
      </c>
    </row>
    <row s="46890" customFormat="1" customHeight="1" ht="1.05">
      <c r="A55" s="1779" t="s">
        <v>261</v>
      </c>
      <c r="B55" s="1779" t="s">
        <v>262</v>
      </c>
      <c r="C55" s="2486"/>
      <c r="D55" s="2486"/>
      <c r="E55" s="2802"/>
      <c r="F55" s="2801"/>
      <c r="G55" s="2486"/>
      <c r="H55" s="2486"/>
      <c r="I55" s="2486"/>
      <c r="J55" s="2486"/>
      <c r="K55" s="2486"/>
      <c r="L55" s="1892"/>
      <c r="M55" s="2487"/>
      <c r="N55" s="2487"/>
      <c r="O55" s="2147"/>
      <c r="P55" s="1828"/>
      <c r="Q55" s="1829"/>
      <c r="R55" s="1828"/>
      <c r="S55" s="1834"/>
      <c r="T55" s="1837" t="s">
        <v>321</v>
      </c>
      <c r="U55" s="1836"/>
      <c r="V55" s="1836"/>
      <c r="W55" s="1836"/>
      <c r="X55" s="1836"/>
      <c r="Y55" s="1836"/>
      <c r="Z55" s="1836"/>
      <c r="AA55" s="1836"/>
      <c r="AB55" s="1836"/>
      <c r="AC55" s="1836"/>
      <c r="AD55" s="1836"/>
      <c r="AE55" s="1836"/>
      <c r="AF55" s="1836"/>
      <c r="AG55" s="1836"/>
      <c r="AH55" s="1836"/>
      <c r="AI55" s="1836"/>
      <c r="AJ55" s="1836"/>
      <c r="AK55" s="1836"/>
      <c r="AL55" s="1836"/>
      <c r="AM55" s="1836"/>
      <c r="AO55" s="1763"/>
      <c r="AP55" s="1763" t="str">
        <f>IF(T55="","",T55)</f>
        <v>Добавить централизованную систему для дифференциации</v>
      </c>
      <c r="AQ55" s="1763"/>
      <c r="AR55" s="1763"/>
      <c r="AS55" s="2154">
        <v>1</v>
      </c>
    </row>
    <row s="46890" customFormat="1" customHeight="1" ht="1.05">
      <c r="A56" s="1779" t="s">
        <v>261</v>
      </c>
      <c r="B56" s="1779"/>
      <c r="C56" s="1779"/>
      <c r="D56" s="1779"/>
      <c r="E56" s="2801"/>
      <c r="F56" s="1779"/>
      <c r="G56" s="1779"/>
      <c r="H56" s="1779"/>
      <c r="I56" s="1779"/>
      <c r="J56" s="1779"/>
      <c r="K56" s="1779"/>
      <c r="L56" s="1822"/>
      <c r="M56" s="2487"/>
      <c r="N56" s="2487"/>
      <c r="O56" s="2147"/>
      <c r="P56" s="892"/>
      <c r="Q56" s="1856"/>
      <c r="R56" s="892"/>
      <c r="S56" s="1834"/>
      <c r="T56" s="1837" t="s">
        <v>385</v>
      </c>
      <c r="U56" s="1836"/>
      <c r="V56" s="1836"/>
      <c r="W56" s="1836"/>
      <c r="X56" s="1836"/>
      <c r="Y56" s="1836"/>
      <c r="Z56" s="1836"/>
      <c r="AA56" s="1836"/>
      <c r="AB56" s="1836"/>
      <c r="AC56" s="1836"/>
      <c r="AD56" s="1836"/>
      <c r="AE56" s="1836"/>
      <c r="AF56" s="1836"/>
      <c r="AG56" s="1836"/>
      <c r="AH56" s="1836"/>
      <c r="AI56" s="1836"/>
      <c r="AJ56" s="1836"/>
      <c r="AK56" s="1836"/>
      <c r="AL56" s="1836"/>
      <c r="AM56" s="1836"/>
      <c r="AO56" s="2136"/>
      <c r="AP56" s="2136" t="str">
        <f>IF(T56="","",T56)</f>
        <v>Добавить территорию для дифференциации</v>
      </c>
      <c r="AQ56" s="2136"/>
      <c r="AR56" s="2136"/>
      <c r="AS56" s="2148">
        <v>1</v>
      </c>
    </row>
    <row s="46890" customFormat="1" customHeight="1" ht="1.05">
      <c r="A57" s="2486"/>
      <c r="B57" s="2486"/>
      <c r="C57" s="2486"/>
      <c r="D57" s="2486"/>
      <c r="E57" s="1779"/>
      <c r="F57" s="2486"/>
      <c r="G57" s="2486"/>
      <c r="H57" s="2486"/>
      <c r="I57" s="2486"/>
      <c r="J57" s="2486"/>
      <c r="K57" s="2486"/>
      <c r="L57" s="1892"/>
      <c r="M57" s="2487"/>
      <c r="N57" s="2487"/>
      <c r="O57" s="2147"/>
      <c r="P57" s="1828"/>
      <c r="Q57" s="1829"/>
      <c r="R57" s="1828"/>
      <c r="S57" s="1834"/>
      <c r="T57" s="1837" t="s">
        <v>386</v>
      </c>
      <c r="U57" s="1836"/>
      <c r="V57" s="1836"/>
      <c r="W57" s="1836"/>
      <c r="X57" s="1836"/>
      <c r="Y57" s="1836"/>
      <c r="Z57" s="1836"/>
      <c r="AA57" s="1836"/>
      <c r="AB57" s="1836"/>
      <c r="AC57" s="1836"/>
      <c r="AD57" s="1836"/>
      <c r="AE57" s="1836"/>
      <c r="AF57" s="1836"/>
      <c r="AG57" s="1836"/>
      <c r="AH57" s="1836"/>
      <c r="AI57" s="1836"/>
      <c r="AJ57" s="1836"/>
      <c r="AK57" s="1836"/>
      <c r="AL57" s="1836"/>
      <c r="AM57" s="1836"/>
      <c r="AO57" s="1763"/>
      <c r="AP57" s="1763" t="str">
        <f>IF(T57="","",T57)</f>
        <v>Добавить наименование тарифа</v>
      </c>
      <c r="AQ57" s="1763"/>
      <c r="AR57" s="1763"/>
      <c r="AS57" s="2154">
        <v>1</v>
      </c>
    </row>
    <row customHeight="1" ht="11.549999999999999">
      <c r="M58" s="2143"/>
      <c r="N58" s="2143"/>
      <c r="O58" s="2147"/>
      <c r="P58" s="2143"/>
      <c r="Q58" s="2143"/>
      <c r="R58" s="2143"/>
      <c r="S58" s="2143"/>
      <c r="AN58" s="2143"/>
      <c r="AO58" s="2143"/>
      <c r="AP58" s="2143"/>
      <c r="AQ58" s="2143"/>
      <c r="AR58" s="2143"/>
      <c r="AS58" s="2143">
        <v>11</v>
      </c>
    </row>
    <row customHeight="1" ht="28.5">
      <c r="O59" s="2147"/>
      <c r="S59" s="1765"/>
      <c r="T59" s="2797"/>
      <c r="U59" s="2797"/>
      <c r="V59" s="2797"/>
      <c r="W59" s="2797"/>
      <c r="X59" s="2797"/>
      <c r="Y59" s="2797"/>
      <c r="Z59" s="2797"/>
      <c r="AA59" s="2797"/>
      <c r="AB59" s="2797"/>
      <c r="AC59" s="2797"/>
      <c r="AD59" s="2797"/>
      <c r="AE59" s="2797"/>
      <c r="AF59" s="2797"/>
      <c r="AG59" s="2797"/>
      <c r="AH59" s="2797"/>
      <c r="AI59" s="2797"/>
      <c r="AJ59" s="2797"/>
      <c r="AK59" s="2797"/>
      <c r="AL59" s="2797"/>
      <c r="AM59" s="2797"/>
      <c r="AS59" s="2143">
        <v>27</v>
      </c>
    </row>
    <row customHeight="1" ht="65.25">
      <c r="O60" s="2147"/>
      <c r="T60" s="2797"/>
      <c r="U60" s="2797"/>
      <c r="V60" s="2797"/>
      <c r="W60" s="2797"/>
      <c r="X60" s="2797"/>
      <c r="Y60" s="2797"/>
      <c r="Z60" s="2797"/>
      <c r="AA60" s="2797"/>
      <c r="AB60" s="2797"/>
      <c r="AC60" s="2797"/>
      <c r="AD60" s="2797"/>
      <c r="AE60" s="2797"/>
      <c r="AF60" s="2797"/>
      <c r="AG60" s="2797"/>
      <c r="AH60" s="2797"/>
      <c r="AI60" s="2797"/>
      <c r="AJ60" s="2797"/>
      <c r="AK60" s="2797"/>
      <c r="AL60" s="2797"/>
      <c r="AM60" s="2797"/>
      <c r="AS60" s="2143">
        <v>62</v>
      </c>
    </row>
    <row customHeight="1" ht="14.699999999999998">
      <c r="O61" s="2147"/>
      <c r="AS61" s="2143">
        <v>14</v>
      </c>
    </row>
    <row customHeight="1" ht="18.75">
      <c r="O62" s="2147"/>
      <c r="S62" s="1765"/>
      <c r="T62" s="2797"/>
      <c r="U62" s="2797"/>
      <c r="V62" s="2797"/>
      <c r="W62" s="2797"/>
      <c r="X62" s="2797"/>
      <c r="Y62" s="2797"/>
      <c r="Z62" s="2797"/>
      <c r="AA62" s="2797"/>
      <c r="AB62" s="2797"/>
      <c r="AC62" s="2797"/>
      <c r="AD62" s="2797"/>
      <c r="AE62" s="2797"/>
      <c r="AF62" s="2797"/>
      <c r="AG62" s="2797"/>
      <c r="AH62" s="2797"/>
      <c r="AI62" s="2797"/>
      <c r="AJ62" s="2797"/>
      <c r="AK62" s="2797"/>
      <c r="AL62" s="2797"/>
      <c r="AM62" s="2797"/>
      <c r="AS62" s="2143">
        <v>18</v>
      </c>
    </row>
    <row customHeight="1" ht="18.75">
      <c r="O63" s="2147"/>
      <c r="T63" s="2797"/>
      <c r="U63" s="2797"/>
      <c r="V63" s="2797"/>
      <c r="W63" s="2797"/>
      <c r="X63" s="2797"/>
      <c r="Y63" s="2797"/>
      <c r="Z63" s="2797"/>
      <c r="AA63" s="2797"/>
      <c r="AB63" s="2797"/>
      <c r="AC63" s="2797"/>
      <c r="AD63" s="2797"/>
      <c r="AE63" s="2797"/>
      <c r="AF63" s="2797"/>
      <c r="AG63" s="2797"/>
      <c r="AH63" s="2797"/>
      <c r="AI63" s="2797"/>
      <c r="AJ63" s="2797"/>
      <c r="AK63" s="2797"/>
      <c r="AL63" s="2797"/>
      <c r="AM63" s="2797"/>
      <c r="AS63" s="2143">
        <v>18</v>
      </c>
    </row>
    <row customHeight="1" ht="29.25">
      <c r="O64" s="2147"/>
      <c r="S64" s="1765"/>
      <c r="T64" s="2797"/>
      <c r="U64" s="2797"/>
      <c r="V64" s="2797"/>
      <c r="W64" s="2797"/>
      <c r="X64" s="2797"/>
      <c r="Y64" s="2797"/>
      <c r="Z64" s="2797"/>
      <c r="AA64" s="2797"/>
      <c r="AB64" s="2797"/>
      <c r="AC64" s="2797"/>
      <c r="AD64" s="2797"/>
      <c r="AE64" s="2797"/>
      <c r="AF64" s="2797"/>
      <c r="AG64" s="2797"/>
      <c r="AH64" s="2797"/>
      <c r="AI64" s="2797"/>
      <c r="AJ64" s="2797"/>
      <c r="AK64" s="2797"/>
      <c r="AL64" s="2797"/>
      <c r="AM64" s="2797"/>
      <c r="AS64" s="2143">
        <v>28</v>
      </c>
    </row>
    <row customHeight="1" ht="22.5" hidden="1">
      <c r="A65" s="2143" t="s">
        <v>84</v>
      </c>
      <c r="B65" s="2143">
        <v>0</v>
      </c>
      <c r="C65" s="2143">
        <v>0</v>
      </c>
      <c r="D65" s="2143">
        <v>0</v>
      </c>
      <c r="E65" s="2143">
        <v>0</v>
      </c>
      <c r="F65" s="2143">
        <v>0</v>
      </c>
      <c r="G65" s="2143">
        <v>0</v>
      </c>
      <c r="H65" s="2143">
        <v>0</v>
      </c>
      <c r="I65" s="2143">
        <v>0</v>
      </c>
      <c r="J65" s="2143">
        <v>0</v>
      </c>
      <c r="K65" s="2143">
        <v>0</v>
      </c>
      <c r="L65" s="2451">
        <v>0</v>
      </c>
      <c r="M65" s="2477">
        <v>0</v>
      </c>
      <c r="N65" s="2477">
        <v>0</v>
      </c>
      <c r="O65" s="2477">
        <v>0</v>
      </c>
      <c r="P65" s="2477">
        <v>3</v>
      </c>
      <c r="Q65" s="856">
        <v>3</v>
      </c>
      <c r="R65" s="856">
        <v>3</v>
      </c>
      <c r="S65" s="1093">
        <v>12</v>
      </c>
      <c r="T65" s="2143">
        <v>31</v>
      </c>
      <c r="U65" s="2143">
        <v>0</v>
      </c>
      <c r="V65" s="2143">
        <v>0</v>
      </c>
      <c r="W65" s="2143">
        <v>0</v>
      </c>
      <c r="X65" s="2143">
        <v>0</v>
      </c>
      <c r="Y65" s="2143">
        <v>0</v>
      </c>
      <c r="Z65" s="2143">
        <v>0</v>
      </c>
      <c r="AA65" s="2143">
        <v>0</v>
      </c>
      <c r="AB65" s="2143">
        <v>0</v>
      </c>
      <c r="AC65" s="2143">
        <v>0</v>
      </c>
      <c r="AD65" s="2143">
        <v>24</v>
      </c>
      <c r="AE65" s="2143">
        <v>0</v>
      </c>
      <c r="AF65" s="2143">
        <v>24</v>
      </c>
      <c r="AG65" s="2143">
        <v>24</v>
      </c>
      <c r="AH65" s="2143">
        <v>11</v>
      </c>
      <c r="AI65" s="2143">
        <v>3</v>
      </c>
      <c r="AJ65" s="2143">
        <v>11</v>
      </c>
      <c r="AK65" s="2143">
        <v>0</v>
      </c>
      <c r="AL65" s="2143">
        <v>4</v>
      </c>
      <c r="AM65" s="2143">
        <v>115</v>
      </c>
      <c r="AN65" s="2148">
        <v>10</v>
      </c>
      <c r="AO65" s="2148">
        <v>10</v>
      </c>
      <c r="AP65" s="2148">
        <v>10</v>
      </c>
      <c r="AQ65" s="2148">
        <v>10</v>
      </c>
      <c r="AR65" s="2148">
        <v>10</v>
      </c>
      <c r="AS65" s="2143">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C32E43F-89A4-8E9B-210F-E4656EDC7942}"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46889" width="10.57421875" hidden="1"/>
    <col min="2" max="2" style="46889" width="11.00390625" hidden="1" customWidth="1"/>
    <col min="3" max="3" style="46889" width="10.57421875" hidden="1"/>
    <col min="4" max="4" style="46889" width="11.8515625" hidden="1" customWidth="1"/>
    <col min="5" max="5" style="46889" width="10.00390625" hidden="1" customWidth="1"/>
    <col min="6" max="6" style="46889" width="8.7109375" hidden="1" customWidth="1"/>
    <col min="7" max="7" style="46889" width="7.57421875" hidden="1" customWidth="1"/>
    <col min="8" max="8" style="46889" width="11.421875" hidden="1" customWidth="1"/>
    <col min="9" max="9" style="46889" width="12.00390625" hidden="1" customWidth="1"/>
    <col min="10" max="10" style="46889" width="9.8515625" hidden="1" customWidth="1"/>
    <col min="11" max="11" style="46889" width="11.421875" hidden="1" customWidth="1"/>
    <col min="12" max="12" style="47738" width="19.140625" hidden="1" customWidth="1"/>
    <col min="13" max="14" style="47739" width="12.28125" hidden="1" customWidth="1"/>
    <col min="15" max="15" style="47739" width="23.421875" hidden="1" customWidth="1"/>
    <col min="16" max="16" style="47740" width="3.00390625" customWidth="1"/>
    <col min="17" max="18" style="47741" width="3.00390625" customWidth="1"/>
    <col min="19" max="19" style="47742" width="12.00390625" customWidth="1"/>
    <col min="20" max="20" style="46808" width="31.00390625" customWidth="1"/>
    <col min="21" max="21" style="46808" width="0.7109375" hidden="1" customWidth="1"/>
    <col min="22" max="22" style="46808" width="1.7109375" hidden="1" customWidth="1"/>
    <col min="23" max="23" style="46808" width="24.7109375" hidden="1" customWidth="1"/>
    <col min="24" max="25" style="46808" width="0.140625" hidden="1" customWidth="1"/>
    <col min="26" max="26" style="46808" width="11.7109375" hidden="1" customWidth="1"/>
    <col min="27" max="27" style="46808" width="3.7109375" hidden="1" customWidth="1"/>
    <col min="28" max="28" style="46808" width="11.7109375" hidden="1" customWidth="1"/>
    <col min="29" max="29" style="46808" width="8.57421875" hidden="1" customWidth="1"/>
    <col min="30" max="30" style="46808" width="0.140625" customWidth="1"/>
    <col min="31" max="31" style="46808" width="24.00390625" customWidth="1"/>
    <col min="32" max="33" style="46808" width="0.140625" customWidth="1"/>
    <col min="34" max="34" style="46808" width="11.00390625" customWidth="1"/>
    <col min="35" max="35" style="46808" width="3.7109375" customWidth="1"/>
    <col min="36" max="36" style="46808" width="11.00390625" customWidth="1"/>
    <col min="37" max="37" style="46808" width="8.57421875" hidden="1" customWidth="1"/>
    <col min="38" max="38" style="46808" width="4.00390625" customWidth="1"/>
    <col min="39" max="39" style="46808" width="115.00390625" customWidth="1"/>
    <col min="40" max="44" style="46890" width="10.00390625" customWidth="1"/>
    <col min="45" max="45" style="46808" width="10.57421875" hidden="1"/>
  </cols>
  <sheetData>
    <row customHeight="1" ht="22.5" hidden="1">
      <c r="Y1" s="839"/>
      <c r="Z1" s="839"/>
      <c r="AG1" s="839"/>
      <c r="AH1" s="839"/>
      <c r="AS1" s="1667" t="s">
        <v>14</v>
      </c>
    </row>
    <row customHeight="1" ht="21" hidden="1">
      <c r="A2" s="1875"/>
      <c r="B2" s="1875"/>
      <c r="C2" s="1875"/>
      <c r="D2" s="1875"/>
      <c r="E2" s="2770">
        <v>1</v>
      </c>
      <c r="F2" s="1875"/>
      <c r="G2" s="1875"/>
      <c r="H2" s="1875"/>
      <c r="I2" s="1875"/>
      <c r="J2" s="1875"/>
      <c r="K2" s="1875"/>
      <c r="L2" s="1876"/>
      <c r="M2" s="1877"/>
      <c r="N2" s="1877"/>
      <c r="O2" s="1877"/>
      <c r="P2" s="873"/>
      <c r="Q2" s="872"/>
      <c r="R2" s="867"/>
      <c r="S2" s="1848">
        <f>INDEX(PT_DIFFERENTIATION_NUM_NTAR,MATCH(A2,PT_DIFFERENTIATION_NTAR_ID,0))</f>
      </c>
      <c r="T2" s="810" t="s">
        <v>179</v>
      </c>
      <c r="U2" s="812"/>
      <c r="V2" s="2754"/>
      <c r="W2" s="2755"/>
      <c r="X2" s="2755"/>
      <c r="Y2" s="2755"/>
      <c r="Z2" s="2755"/>
      <c r="AA2" s="2755"/>
      <c r="AB2" s="2755"/>
      <c r="AC2" s="2756"/>
      <c r="AD2" s="2754">
        <f>INDEX(PT_DIFFERENTIATION_NTAR,MATCH(A2,PT_DIFFERENTIATION_NTAR_ID,0))</f>
      </c>
      <c r="AE2" s="2755"/>
      <c r="AF2" s="2755"/>
      <c r="AG2" s="2755"/>
      <c r="AH2" s="2755"/>
      <c r="AI2" s="2755"/>
      <c r="AJ2" s="2755"/>
      <c r="AK2" s="2755"/>
      <c r="AL2" s="2756"/>
      <c r="AM2" s="1770" t="s">
        <v>514</v>
      </c>
      <c r="AO2" s="1012"/>
      <c r="AP2" s="1012" t="str">
        <f>IF(T2="","",T2)</f>
        <v>Наименование тарифа</v>
      </c>
      <c r="AQ2" s="1012"/>
      <c r="AR2" s="1012"/>
      <c r="AS2" s="1667">
        <v>0</v>
      </c>
    </row>
    <row customHeight="1" ht="21" hidden="1">
      <c r="A3" s="1875"/>
      <c r="B3" s="1875"/>
      <c r="C3" s="1875"/>
      <c r="D3" s="1875"/>
      <c r="E3" s="2771"/>
      <c r="F3" s="2770">
        <v>1</v>
      </c>
      <c r="G3" s="1875"/>
      <c r="H3" s="1875"/>
      <c r="I3" s="1875"/>
      <c r="J3" s="1875"/>
      <c r="K3" s="1875"/>
      <c r="L3" s="1876"/>
      <c r="M3" s="1877"/>
      <c r="N3" s="1877"/>
      <c r="O3" s="1877"/>
      <c r="P3" s="1844"/>
      <c r="Q3" s="864"/>
      <c r="R3" s="865"/>
      <c r="S3" s="1848">
        <f>INDEX(PT_DIFFERENTIATION_NUM_TER,MATCH(B3,PT_DIFFERENTIATION_TER_ID,0))</f>
      </c>
      <c r="T3" s="820" t="s">
        <v>515</v>
      </c>
      <c r="U3" s="812"/>
      <c r="V3" s="2754"/>
      <c r="W3" s="2755"/>
      <c r="X3" s="2755"/>
      <c r="Y3" s="2755"/>
      <c r="Z3" s="2755"/>
      <c r="AA3" s="2755"/>
      <c r="AB3" s="2755"/>
      <c r="AC3" s="2756"/>
      <c r="AD3" s="2754">
        <f>INDEX(PT_DIFFERENTIATION_TER,MATCH(B3,PT_DIFFERENTIATION_TER_ID,0))</f>
      </c>
      <c r="AE3" s="2755"/>
      <c r="AF3" s="2755"/>
      <c r="AG3" s="2755"/>
      <c r="AH3" s="2755"/>
      <c r="AI3" s="2755"/>
      <c r="AJ3" s="2755"/>
      <c r="AK3" s="2755"/>
      <c r="AL3" s="2756"/>
      <c r="AM3" s="1770" t="s">
        <v>516</v>
      </c>
      <c r="AO3" s="1012"/>
      <c r="AP3" s="1012" t="str">
        <f>IF(T3="","",T3)</f>
        <v>Территория действия тарифа</v>
      </c>
      <c r="AQ3" s="1012"/>
      <c r="AR3" s="1012"/>
      <c r="AS3" s="1667">
        <v>0</v>
      </c>
    </row>
    <row customHeight="1" ht="23.25" hidden="1">
      <c r="A4" s="1875"/>
      <c r="B4" s="1875"/>
      <c r="C4" s="1875"/>
      <c r="D4" s="1875"/>
      <c r="E4" s="2771"/>
      <c r="F4" s="2771"/>
      <c r="G4" s="2770">
        <v>1</v>
      </c>
      <c r="H4" s="1875"/>
      <c r="I4" s="1875"/>
      <c r="J4" s="1875"/>
      <c r="K4" s="1875"/>
      <c r="L4" s="1876"/>
      <c r="M4" s="1877"/>
      <c r="N4" s="1877"/>
      <c r="O4" s="1877"/>
      <c r="P4" s="866"/>
      <c r="Q4" s="864"/>
      <c r="R4" s="865"/>
      <c r="S4" s="1848">
        <f>INDEX(PT_DIFFERENTIATION_NUM_CS,MATCH(C4,PT_DIFFERENTIATION_CS_ID,0))</f>
      </c>
      <c r="T4" s="821" t="s">
        <v>517</v>
      </c>
      <c r="U4" s="812"/>
      <c r="V4" s="2754"/>
      <c r="W4" s="2755"/>
      <c r="X4" s="2755"/>
      <c r="Y4" s="2755"/>
      <c r="Z4" s="2755"/>
      <c r="AA4" s="2755"/>
      <c r="AB4" s="2755"/>
      <c r="AC4" s="2756"/>
      <c r="AD4" s="2754">
        <f>INDEX(PT_DIFFERENTIATION_CS,MATCH(C4,PT_DIFFERENTIATION_CS_ID,0))</f>
      </c>
      <c r="AE4" s="2755"/>
      <c r="AF4" s="2755"/>
      <c r="AG4" s="2755"/>
      <c r="AH4" s="2755"/>
      <c r="AI4" s="2755"/>
      <c r="AJ4" s="2755"/>
      <c r="AK4" s="2755"/>
      <c r="AL4" s="2756"/>
      <c r="AM4" s="1770" t="s">
        <v>518</v>
      </c>
      <c r="AO4" s="1012"/>
      <c r="AP4" s="1012" t="str">
        <f>IF(T4="","",T4)</f>
        <v>Наименование системы теплоснабжения </v>
      </c>
      <c r="AQ4" s="1012"/>
      <c r="AR4" s="1012"/>
      <c r="AS4" s="1667">
        <v>0</v>
      </c>
    </row>
    <row customHeight="1" ht="21" hidden="1">
      <c r="A5" s="1875"/>
      <c r="B5" s="1875"/>
      <c r="C5" s="1875"/>
      <c r="D5" s="1875"/>
      <c r="E5" s="2771"/>
      <c r="F5" s="2771"/>
      <c r="G5" s="2771"/>
      <c r="H5" s="2770">
        <v>1</v>
      </c>
      <c r="I5" s="1875"/>
      <c r="J5" s="1875"/>
      <c r="K5" s="1875"/>
      <c r="L5" s="1876"/>
      <c r="M5" s="1877"/>
      <c r="N5" s="1877"/>
      <c r="O5" s="1877"/>
      <c r="P5" s="866"/>
      <c r="Q5" s="864"/>
      <c r="R5" s="865"/>
      <c r="S5" s="1848">
        <f>INDEX(PT_DIFFERENTIATION_NUM_IST_TE,MATCH(D5,PT_DIFFERENTIATION_IST_TE_ID,0))</f>
      </c>
      <c r="T5" s="822" t="s">
        <v>519</v>
      </c>
      <c r="U5" s="812"/>
      <c r="V5" s="2754"/>
      <c r="W5" s="2755"/>
      <c r="X5" s="2755"/>
      <c r="Y5" s="2755"/>
      <c r="Z5" s="2755"/>
      <c r="AA5" s="2755"/>
      <c r="AB5" s="2755"/>
      <c r="AC5" s="2756"/>
      <c r="AD5" s="2754">
        <f>INDEX(PT_DIFFERENTIATION_IST_TE,MATCH(D5,PT_DIFFERENTIATION_IST_TE_ID,0))</f>
      </c>
      <c r="AE5" s="2755"/>
      <c r="AF5" s="2755"/>
      <c r="AG5" s="2755"/>
      <c r="AH5" s="2755"/>
      <c r="AI5" s="2755"/>
      <c r="AJ5" s="2755"/>
      <c r="AK5" s="2755"/>
      <c r="AL5" s="2756"/>
      <c r="AM5" s="1770" t="s">
        <v>520</v>
      </c>
      <c r="AO5" s="1012"/>
      <c r="AP5" s="1012" t="str">
        <f>IF(T5="","",T5)</f>
        <v>Источник тепловой энергии  </v>
      </c>
      <c r="AQ5" s="1012"/>
      <c r="AR5" s="1012"/>
      <c r="AS5" s="1667">
        <v>0</v>
      </c>
    </row>
    <row customHeight="1" ht="47.25" hidden="1">
      <c r="A6" s="1875"/>
      <c r="B6" s="1875"/>
      <c r="C6" s="1875"/>
      <c r="D6" s="1875"/>
      <c r="E6" s="2771"/>
      <c r="F6" s="2771"/>
      <c r="G6" s="2771"/>
      <c r="H6" s="2771"/>
      <c r="I6" s="2768">
        <f>S5&amp;".1"</f>
      </c>
      <c r="J6" s="1875"/>
      <c r="K6" s="1875"/>
      <c r="L6" s="1876" t="s">
        <v>521</v>
      </c>
      <c r="M6" s="1049"/>
      <c r="P6" s="2769">
        <v>1</v>
      </c>
      <c r="Q6" s="1843"/>
      <c r="R6" s="868"/>
      <c r="S6" s="1848">
        <f>$I6</f>
      </c>
      <c r="T6" s="797" t="s">
        <v>522</v>
      </c>
      <c r="U6" s="812"/>
      <c r="V6" s="2757"/>
      <c r="W6" s="2758"/>
      <c r="X6" s="2758"/>
      <c r="Y6" s="2758"/>
      <c r="Z6" s="2758"/>
      <c r="AA6" s="2758"/>
      <c r="AB6" s="2758"/>
      <c r="AC6" s="2759"/>
      <c r="AD6" s="2757"/>
      <c r="AE6" s="2758"/>
      <c r="AF6" s="2758"/>
      <c r="AG6" s="2758"/>
      <c r="AH6" s="2758"/>
      <c r="AI6" s="2758"/>
      <c r="AJ6" s="2758"/>
      <c r="AK6" s="2758"/>
      <c r="AL6" s="2759"/>
      <c r="AM6" s="1770" t="s">
        <v>523</v>
      </c>
      <c r="AO6" s="1012"/>
      <c r="AP6" s="1012" t="str">
        <f>IF(T6="","",T6)</f>
        <v>Схема подключения теплопотребляющей установки к коллектору источника тепловой энергии</v>
      </c>
      <c r="AQ6" s="1012"/>
      <c r="AR6" s="1012"/>
      <c r="AS6" s="1667">
        <v>0</v>
      </c>
    </row>
    <row customHeight="1" ht="21" hidden="1">
      <c r="A7" s="1875"/>
      <c r="B7" s="1875"/>
      <c r="C7" s="1875"/>
      <c r="D7" s="1875"/>
      <c r="E7" s="2771"/>
      <c r="F7" s="2771"/>
      <c r="G7" s="2771"/>
      <c r="H7" s="2771"/>
      <c r="I7" s="2798"/>
      <c r="J7" s="2768">
        <f>I6&amp;".1"</f>
      </c>
      <c r="K7" s="1875"/>
      <c r="L7" s="1876" t="s">
        <v>524</v>
      </c>
      <c r="M7" s="1049"/>
      <c r="N7" s="1878"/>
      <c r="P7" s="2769"/>
      <c r="Q7" s="2769">
        <v>1</v>
      </c>
      <c r="R7" s="869"/>
      <c r="S7" s="1848">
        <f>$J7</f>
      </c>
      <c r="T7" s="798" t="s">
        <v>525</v>
      </c>
      <c r="U7" s="812"/>
      <c r="V7" s="2757"/>
      <c r="W7" s="2758"/>
      <c r="X7" s="2758"/>
      <c r="Y7" s="2758"/>
      <c r="Z7" s="2758"/>
      <c r="AA7" s="2758"/>
      <c r="AB7" s="2758"/>
      <c r="AC7" s="2759"/>
      <c r="AD7" s="2757"/>
      <c r="AE7" s="2758"/>
      <c r="AF7" s="2758"/>
      <c r="AG7" s="2758"/>
      <c r="AH7" s="2758"/>
      <c r="AI7" s="2758"/>
      <c r="AJ7" s="2758"/>
      <c r="AK7" s="2758"/>
      <c r="AL7" s="2759"/>
      <c r="AM7" s="1770" t="s">
        <v>526</v>
      </c>
      <c r="AO7" s="1012"/>
      <c r="AP7" s="1012" t="str">
        <f>IF(T7="","",T7)</f>
        <v>Группа потребителей</v>
      </c>
      <c r="AQ7" s="1012"/>
      <c r="AR7" s="1012"/>
      <c r="AS7" s="1667">
        <v>0</v>
      </c>
    </row>
    <row customHeight="1" ht="21" hidden="1">
      <c r="A8" s="1875"/>
      <c r="B8" s="1875"/>
      <c r="C8" s="1875"/>
      <c r="D8" s="1875"/>
      <c r="E8" s="2771"/>
      <c r="F8" s="2771"/>
      <c r="G8" s="2771"/>
      <c r="H8" s="2771"/>
      <c r="I8" s="2798"/>
      <c r="J8" s="2798"/>
      <c r="K8" s="2768">
        <f>J7&amp;".1"</f>
      </c>
      <c r="L8" s="1876" t="s">
        <v>527</v>
      </c>
      <c r="M8" s="1049"/>
      <c r="N8" s="1878"/>
      <c r="O8" s="1878"/>
      <c r="P8" s="2769"/>
      <c r="Q8" s="2769"/>
      <c r="R8" s="869">
        <v>1</v>
      </c>
      <c r="S8" s="1848">
        <f>$K8</f>
      </c>
      <c r="T8" s="1859"/>
      <c r="U8" s="812"/>
      <c r="V8" s="837"/>
      <c r="W8" s="1263"/>
      <c r="X8" s="837"/>
      <c r="Y8" s="896"/>
      <c r="Z8" s="2777"/>
      <c r="AA8" s="2619" t="s">
        <v>63</v>
      </c>
      <c r="AB8" s="2777"/>
      <c r="AC8" s="2619" t="s">
        <v>63</v>
      </c>
      <c r="AD8" s="837"/>
      <c r="AE8" s="1263"/>
      <c r="AF8" s="837"/>
      <c r="AG8" s="896"/>
      <c r="AH8" s="2777"/>
      <c r="AI8" s="2619" t="s">
        <v>63</v>
      </c>
      <c r="AJ8" s="2777"/>
      <c r="AK8" s="2619" t="s">
        <v>63</v>
      </c>
      <c r="AL8" s="837"/>
      <c r="AM8" s="2765" t="s">
        <v>528</v>
      </c>
      <c r="AN8" s="1023">
        <f>STRCHECKDATE(V9:AL9)</f>
      </c>
      <c r="AO8" s="1012"/>
      <c r="AP8" s="1012" t="str">
        <f>IF(T8="","",T8)</f>
        <v/>
      </c>
      <c r="AQ8" s="1012"/>
      <c r="AR8" s="1012"/>
      <c r="AS8" s="1667">
        <v>0</v>
      </c>
    </row>
    <row customHeight="1" ht="0.75" hidden="1">
      <c r="A9" s="1875"/>
      <c r="B9" s="1875"/>
      <c r="C9" s="1875"/>
      <c r="D9" s="1875"/>
      <c r="E9" s="2771"/>
      <c r="F9" s="2771"/>
      <c r="G9" s="2771"/>
      <c r="H9" s="2771"/>
      <c r="I9" s="2798"/>
      <c r="J9" s="2798"/>
      <c r="K9" s="2768"/>
      <c r="L9" s="1876"/>
      <c r="M9" s="1049"/>
      <c r="N9" s="1878"/>
      <c r="O9" s="1878"/>
      <c r="P9" s="2769"/>
      <c r="Q9" s="2769"/>
      <c r="R9" s="869"/>
      <c r="S9" s="1854"/>
      <c r="T9" s="812"/>
      <c r="U9" s="812"/>
      <c r="V9" s="837"/>
      <c r="W9" s="837"/>
      <c r="X9" s="837"/>
      <c r="Y9" s="840" t="str">
        <f>Z8&amp;"-"&amp;AB8</f>
        <v>-</v>
      </c>
      <c r="Z9" s="2778"/>
      <c r="AA9" s="2619"/>
      <c r="AB9" s="2778"/>
      <c r="AC9" s="2619"/>
      <c r="AD9" s="837"/>
      <c r="AE9" s="837"/>
      <c r="AF9" s="837"/>
      <c r="AG9" s="840" t="str">
        <f>AH8&amp;"-"&amp;AJ8</f>
        <v>-</v>
      </c>
      <c r="AH9" s="2778"/>
      <c r="AI9" s="2619"/>
      <c r="AJ9" s="2778"/>
      <c r="AK9" s="2619"/>
      <c r="AL9" s="837"/>
      <c r="AM9" s="2766"/>
      <c r="AO9" s="1012"/>
      <c r="AP9" s="1012" t="str">
        <f>IF(T9="","",T9)</f>
        <v/>
      </c>
      <c r="AQ9" s="1012"/>
      <c r="AR9" s="1012"/>
      <c r="AS9" s="1667">
        <v>0</v>
      </c>
    </row>
    <row customHeight="1" ht="15" hidden="1">
      <c r="A10" s="1875"/>
      <c r="B10" s="1875"/>
      <c r="C10" s="1875"/>
      <c r="D10" s="1875"/>
      <c r="E10" s="2771"/>
      <c r="F10" s="2771"/>
      <c r="G10" s="2771"/>
      <c r="H10" s="2771"/>
      <c r="I10" s="2798"/>
      <c r="J10" s="2768"/>
      <c r="K10" s="1875"/>
      <c r="L10" s="1876"/>
      <c r="M10" s="1049"/>
      <c r="N10" s="1878"/>
      <c r="P10" s="2769"/>
      <c r="Q10" s="2769"/>
      <c r="R10" s="868"/>
      <c r="S10" s="1790"/>
      <c r="T10" s="800" t="s">
        <v>529</v>
      </c>
      <c r="U10" s="879"/>
      <c r="V10" s="879"/>
      <c r="W10" s="879"/>
      <c r="X10" s="879"/>
      <c r="Y10" s="879"/>
      <c r="Z10" s="879"/>
      <c r="AA10" s="879"/>
      <c r="AB10" s="879"/>
      <c r="AC10" s="879"/>
      <c r="AD10" s="879"/>
      <c r="AE10" s="879"/>
      <c r="AF10" s="879"/>
      <c r="AG10" s="879"/>
      <c r="AH10" s="879"/>
      <c r="AI10" s="879"/>
      <c r="AJ10" s="879"/>
      <c r="AK10" s="879"/>
      <c r="AL10" s="836"/>
      <c r="AM10" s="2767"/>
      <c r="AO10" s="1012"/>
      <c r="AP10" s="1012" t="str">
        <f>IF(T10="","",T10)</f>
        <v>Добавить вид теплоносителя (параметры теплоносителя)</v>
      </c>
      <c r="AQ10" s="1012"/>
      <c r="AR10" s="1012"/>
      <c r="AS10" s="1667">
        <v>0</v>
      </c>
    </row>
    <row customHeight="1" ht="15" hidden="1">
      <c r="A11" s="1875"/>
      <c r="B11" s="1875"/>
      <c r="C11" s="1875"/>
      <c r="D11" s="1875"/>
      <c r="E11" s="2771"/>
      <c r="F11" s="2771"/>
      <c r="G11" s="2771"/>
      <c r="H11" s="2771"/>
      <c r="I11" s="2768"/>
      <c r="J11" s="1875"/>
      <c r="K11" s="1875"/>
      <c r="L11" s="1876"/>
      <c r="M11" s="1049"/>
      <c r="P11" s="2769"/>
      <c r="Q11" s="1843"/>
      <c r="R11" s="868"/>
      <c r="S11" s="1790"/>
      <c r="T11" s="799" t="s">
        <v>530</v>
      </c>
      <c r="U11" s="879"/>
      <c r="V11" s="879"/>
      <c r="W11" s="879"/>
      <c r="X11" s="879"/>
      <c r="Y11" s="879"/>
      <c r="Z11" s="879"/>
      <c r="AA11" s="879"/>
      <c r="AB11" s="879"/>
      <c r="AC11" s="878"/>
      <c r="AD11" s="879"/>
      <c r="AE11" s="879"/>
      <c r="AF11" s="879"/>
      <c r="AG11" s="879"/>
      <c r="AH11" s="879"/>
      <c r="AI11" s="879"/>
      <c r="AJ11" s="879"/>
      <c r="AK11" s="878"/>
      <c r="AL11" s="879"/>
      <c r="AM11" s="815"/>
      <c r="AO11" s="1012"/>
      <c r="AP11" s="1012" t="str">
        <f>IF(T11="","",T11)</f>
        <v>Добавить группу потребителей</v>
      </c>
      <c r="AQ11" s="1012"/>
      <c r="AR11" s="1012"/>
      <c r="AS11" s="1667">
        <v>0</v>
      </c>
    </row>
    <row customHeight="1" ht="14.25" hidden="1">
      <c r="A12" s="1875"/>
      <c r="B12" s="1875"/>
      <c r="C12" s="1875"/>
      <c r="D12" s="1875"/>
      <c r="E12" s="2771"/>
      <c r="F12" s="2771"/>
      <c r="G12" s="2771"/>
      <c r="H12" s="2770"/>
      <c r="I12" s="1875"/>
      <c r="J12" s="1875"/>
      <c r="K12" s="1875"/>
      <c r="L12" s="1876"/>
      <c r="M12" s="1877"/>
      <c r="N12" s="1877"/>
      <c r="O12" s="1049"/>
      <c r="P12" s="872"/>
      <c r="Q12" s="887"/>
      <c r="R12" s="867"/>
      <c r="S12" s="1790"/>
      <c r="T12" s="877" t="s">
        <v>531</v>
      </c>
      <c r="U12" s="879"/>
      <c r="V12" s="879"/>
      <c r="W12" s="879"/>
      <c r="X12" s="879"/>
      <c r="Y12" s="879"/>
      <c r="Z12" s="879"/>
      <c r="AA12" s="879"/>
      <c r="AB12" s="879"/>
      <c r="AC12" s="878"/>
      <c r="AD12" s="879"/>
      <c r="AE12" s="879"/>
      <c r="AF12" s="879"/>
      <c r="AG12" s="879"/>
      <c r="AH12" s="879"/>
      <c r="AI12" s="879"/>
      <c r="AJ12" s="879"/>
      <c r="AK12" s="878"/>
      <c r="AL12" s="879"/>
      <c r="AM12" s="815"/>
      <c r="AO12" s="1012"/>
      <c r="AP12" s="1012" t="str">
        <f>IF(T12="","",T12)</f>
        <v>Добавить схему подключения</v>
      </c>
      <c r="AQ12" s="1012"/>
      <c r="AR12" s="1012"/>
      <c r="AS12" s="1667">
        <v>0</v>
      </c>
    </row>
    <row s="46890" customFormat="1" customHeight="1" ht="0.75" hidden="1">
      <c r="A13" s="1826"/>
      <c r="B13" s="1826"/>
      <c r="C13" s="1826"/>
      <c r="D13" s="1826"/>
      <c r="E13" s="2771"/>
      <c r="F13" s="2771"/>
      <c r="G13" s="2770"/>
      <c r="H13" s="1826"/>
      <c r="I13" s="1826"/>
      <c r="J13" s="1826"/>
      <c r="K13" s="1826"/>
      <c r="L13" s="1851"/>
      <c r="M13" s="1827"/>
      <c r="N13" s="1827"/>
      <c r="P13" s="1828"/>
      <c r="Q13" s="1829"/>
      <c r="R13" s="1828"/>
      <c r="S13" s="1830"/>
      <c r="T13" s="1831" t="s">
        <v>532</v>
      </c>
      <c r="U13" s="1832"/>
      <c r="V13" s="1832"/>
      <c r="W13" s="1832"/>
      <c r="X13" s="1832"/>
      <c r="Y13" s="1832"/>
      <c r="Z13" s="1832"/>
      <c r="AA13" s="1832"/>
      <c r="AB13" s="1832"/>
      <c r="AC13" s="1832"/>
      <c r="AD13" s="1832"/>
      <c r="AE13" s="1832"/>
      <c r="AF13" s="1832"/>
      <c r="AG13" s="1832"/>
      <c r="AH13" s="1832"/>
      <c r="AI13" s="1832"/>
      <c r="AJ13" s="1832"/>
      <c r="AK13" s="1832"/>
      <c r="AL13" s="1832"/>
      <c r="AM13" s="1832"/>
      <c r="AO13" s="1301"/>
      <c r="AP13" s="1301" t="str">
        <f>IF(T13="","",T13)</f>
        <v>Добавить источник для дифференциации</v>
      </c>
      <c r="AQ13" s="1301"/>
      <c r="AR13" s="1301"/>
      <c r="AS13" s="1030">
        <v>0</v>
      </c>
    </row>
    <row s="46890" customFormat="1" customHeight="1" ht="0.75" hidden="1">
      <c r="A14" s="1826"/>
      <c r="B14" s="1826"/>
      <c r="C14" s="1826"/>
      <c r="D14" s="1826"/>
      <c r="E14" s="2771"/>
      <c r="F14" s="2770"/>
      <c r="G14" s="1826"/>
      <c r="H14" s="1826"/>
      <c r="I14" s="1826"/>
      <c r="J14" s="1826"/>
      <c r="K14" s="1826"/>
      <c r="L14" s="1851"/>
      <c r="M14" s="1833"/>
      <c r="N14" s="1833"/>
      <c r="P14" s="1828"/>
      <c r="Q14" s="1829"/>
      <c r="R14" s="1828"/>
      <c r="S14" s="1834"/>
      <c r="T14" s="1835" t="s">
        <v>321</v>
      </c>
      <c r="U14" s="1836"/>
      <c r="V14" s="1836"/>
      <c r="W14" s="1836"/>
      <c r="X14" s="1836"/>
      <c r="Y14" s="1836"/>
      <c r="Z14" s="1836"/>
      <c r="AA14" s="1836"/>
      <c r="AB14" s="1836"/>
      <c r="AC14" s="1836"/>
      <c r="AD14" s="1836"/>
      <c r="AE14" s="1836"/>
      <c r="AF14" s="1836"/>
      <c r="AG14" s="1836"/>
      <c r="AH14" s="1836"/>
      <c r="AI14" s="1836"/>
      <c r="AJ14" s="1836"/>
      <c r="AK14" s="1836"/>
      <c r="AL14" s="1836"/>
      <c r="AM14" s="1836"/>
      <c r="AO14" s="1301"/>
      <c r="AP14" s="1301" t="str">
        <f>IF(T14="","",T14)</f>
        <v>Добавить централизованную систему для дифференциации</v>
      </c>
      <c r="AQ14" s="1301"/>
      <c r="AR14" s="1301"/>
      <c r="AS14" s="1030">
        <v>0</v>
      </c>
    </row>
    <row s="46890" customFormat="1" customHeight="1" ht="0.75" hidden="1">
      <c r="A15" s="1826"/>
      <c r="B15" s="1826"/>
      <c r="C15" s="1826"/>
      <c r="D15" s="1826"/>
      <c r="E15" s="2770"/>
      <c r="F15" s="1826"/>
      <c r="G15" s="1826"/>
      <c r="H15" s="1826"/>
      <c r="I15" s="1826"/>
      <c r="J15" s="1826"/>
      <c r="K15" s="1826"/>
      <c r="L15" s="1851"/>
      <c r="M15" s="1833"/>
      <c r="N15" s="1833"/>
      <c r="P15" s="1828"/>
      <c r="Q15" s="1829"/>
      <c r="R15" s="1828"/>
      <c r="S15" s="1834"/>
      <c r="T15" s="1837" t="s">
        <v>385</v>
      </c>
      <c r="U15" s="1836"/>
      <c r="V15" s="1836"/>
      <c r="W15" s="1836"/>
      <c r="X15" s="1836"/>
      <c r="Y15" s="1836"/>
      <c r="Z15" s="1836"/>
      <c r="AA15" s="1836"/>
      <c r="AB15" s="1836"/>
      <c r="AC15" s="1836"/>
      <c r="AD15" s="1836"/>
      <c r="AE15" s="1836"/>
      <c r="AF15" s="1836"/>
      <c r="AG15" s="1836"/>
      <c r="AH15" s="1836"/>
      <c r="AI15" s="1836"/>
      <c r="AJ15" s="1836"/>
      <c r="AK15" s="1836"/>
      <c r="AL15" s="1836"/>
      <c r="AM15" s="1836"/>
      <c r="AO15" s="1301"/>
      <c r="AP15" s="1301" t="str">
        <f>IF(T15="","",T15)</f>
        <v>Добавить территорию для дифференциации</v>
      </c>
      <c r="AQ15" s="1301"/>
      <c r="AR15" s="1301"/>
      <c r="AS15" s="1030">
        <v>0</v>
      </c>
    </row>
    <row customHeight="1" ht="14.25" hidden="1">
      <c r="AC16" s="839"/>
      <c r="AK16" s="839"/>
      <c r="AS16" s="1667">
        <v>0</v>
      </c>
    </row>
    <row customHeight="1" ht="14.25" hidden="1">
      <c r="AD17" s="1872"/>
      <c r="AE17" s="1872"/>
      <c r="AF17" s="1872"/>
      <c r="AG17" s="1873"/>
      <c r="AH17" s="2779"/>
      <c r="AI17" s="2780" t="s">
        <v>63</v>
      </c>
      <c r="AJ17" s="2779"/>
      <c r="AK17" s="2780" t="s">
        <v>63</v>
      </c>
      <c r="AS17" s="1667">
        <v>0</v>
      </c>
    </row>
    <row customHeight="1" ht="14.25" hidden="1">
      <c r="AD18" s="1872"/>
      <c r="AE18" s="1872"/>
      <c r="AF18" s="1872"/>
      <c r="AG18" s="840" t="str">
        <f>AH17&amp;"-"&amp;AJ17</f>
        <v>-</v>
      </c>
      <c r="AH18" s="2780"/>
      <c r="AI18" s="2780"/>
      <c r="AJ18" s="2780"/>
      <c r="AK18" s="2780"/>
      <c r="AS18" s="1667">
        <v>0</v>
      </c>
    </row>
    <row customHeight="1" ht="14.25" hidden="1">
      <c r="AK19" s="839"/>
      <c r="AS19" s="1667">
        <v>0</v>
      </c>
    </row>
    <row s="46889" customFormat="1" customHeight="1" ht="22.5" hidden="1">
      <c r="L20" s="1841"/>
      <c r="M20" s="1874"/>
      <c r="N20" s="1874"/>
      <c r="O20" s="1879" t="s">
        <v>533</v>
      </c>
      <c r="P20" s="1874"/>
      <c r="Q20" s="1883"/>
      <c r="R20" s="1883"/>
      <c r="S20" s="1241"/>
      <c r="Z20" s="1879"/>
      <c r="AB20" s="1879"/>
      <c r="AC20" s="1878"/>
      <c r="AH20" s="1879"/>
      <c r="AJ20" s="1879"/>
      <c r="AK20" s="1878"/>
      <c r="AN20" s="1023"/>
      <c r="AO20" s="1023"/>
      <c r="AP20" s="1023"/>
      <c r="AQ20" s="1023"/>
      <c r="AR20" s="1023"/>
      <c r="AS20" s="1672">
        <v>0</v>
      </c>
    </row>
    <row s="46889" customFormat="1" customHeight="1" ht="14.25" hidden="1">
      <c r="L21" s="1841"/>
      <c r="M21" s="1874"/>
      <c r="N21" s="1874"/>
      <c r="O21" s="1874"/>
      <c r="P21" s="1874"/>
      <c r="Q21" s="1883"/>
      <c r="R21" s="1883"/>
      <c r="S21" s="1241"/>
      <c r="AC21" s="1878"/>
      <c r="AK21" s="1878"/>
      <c r="AN21" s="1023"/>
      <c r="AO21" s="1023"/>
      <c r="AP21" s="1023"/>
      <c r="AQ21" s="1023"/>
      <c r="AR21" s="1023"/>
      <c r="AS21" s="1672">
        <v>0</v>
      </c>
    </row>
    <row s="46889" customFormat="1" customHeight="1" ht="33.75" hidden="1">
      <c r="L22" s="1841"/>
      <c r="M22" s="1874"/>
      <c r="N22" s="1874"/>
      <c r="O22" s="1876" t="s">
        <v>534</v>
      </c>
      <c r="P22" s="1874"/>
      <c r="Q22" s="1883"/>
      <c r="R22" s="1883"/>
      <c r="S22" s="1241"/>
      <c r="T22" s="1672" t="s">
        <v>535</v>
      </c>
      <c r="AA22" s="698" t="s">
        <v>536</v>
      </c>
      <c r="AC22" s="698" t="s">
        <v>537</v>
      </c>
      <c r="AD22" s="1672" t="s">
        <v>535</v>
      </c>
      <c r="AI22" s="698" t="s">
        <v>538</v>
      </c>
      <c r="AK22" s="698" t="s">
        <v>537</v>
      </c>
      <c r="AN22" s="1023"/>
      <c r="AO22" s="1023"/>
      <c r="AP22" s="1023"/>
      <c r="AQ22" s="1023"/>
      <c r="AR22" s="1023"/>
      <c r="AS22" s="1672">
        <v>0</v>
      </c>
    </row>
    <row customHeight="1" ht="14.25" hidden="1">
      <c r="O23" s="1876"/>
      <c r="AS23" s="1667">
        <v>0</v>
      </c>
    </row>
    <row customHeight="1" ht="14.25" hidden="1">
      <c r="O24" s="1876"/>
      <c r="AS24" s="1667">
        <v>0</v>
      </c>
    </row>
    <row customHeight="1" ht="14.699999999999998">
      <c r="Q25" s="888"/>
      <c r="R25" s="888"/>
      <c r="S25" s="1787"/>
      <c r="T25" s="875"/>
      <c r="U25" s="875"/>
      <c r="V25" s="1021"/>
      <c r="W25" s="1021"/>
      <c r="X25" s="1021"/>
      <c r="Y25" s="1021"/>
      <c r="Z25" s="1021"/>
      <c r="AA25" s="1021"/>
      <c r="AB25" s="1021"/>
      <c r="AC25" s="1021"/>
      <c r="AD25" s="1021"/>
      <c r="AE25" s="1021"/>
      <c r="AF25" s="1021"/>
      <c r="AG25" s="1021"/>
      <c r="AH25" s="1021"/>
      <c r="AI25" s="1021"/>
      <c r="AJ25" s="1021"/>
      <c r="AK25" s="1021"/>
      <c r="AS25" s="1667">
        <v>14</v>
      </c>
    </row>
    <row customHeight="1" ht="29.25">
      <c r="Q26" s="888"/>
      <c r="R26" s="888"/>
      <c r="S26" s="2760"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760"/>
      <c r="U26" s="2760"/>
      <c r="V26" s="2760"/>
      <c r="W26" s="2760"/>
      <c r="X26" s="2760"/>
      <c r="Y26" s="2760"/>
      <c r="Z26" s="2760"/>
      <c r="AA26" s="2760"/>
      <c r="AB26" s="2760"/>
      <c r="AC26" s="2760"/>
      <c r="AD26" s="2760"/>
      <c r="AE26" s="2760"/>
      <c r="AF26" s="2760"/>
      <c r="AG26" s="2760"/>
      <c r="AH26" s="2760"/>
      <c r="AI26" s="2760"/>
      <c r="AJ26" s="2760"/>
      <c r="AK26" s="1755"/>
      <c r="AS26" s="1667">
        <v>28</v>
      </c>
    </row>
    <row customHeight="1" ht="14.699999999999998">
      <c r="Q27" s="888"/>
      <c r="R27" s="888"/>
      <c r="S27" s="2761" t="str">
        <f>IF(org=0,"Не определено",org)</f>
        <v>КГУП "Примтеплоэнерго"</v>
      </c>
      <c r="T27" s="2761"/>
      <c r="U27" s="2761"/>
      <c r="V27" s="2761"/>
      <c r="W27" s="2761"/>
      <c r="X27" s="2761"/>
      <c r="Y27" s="2761"/>
      <c r="Z27" s="2761"/>
      <c r="AA27" s="2761"/>
      <c r="AB27" s="2761"/>
      <c r="AC27" s="2761"/>
      <c r="AD27" s="2761"/>
      <c r="AE27" s="2761"/>
      <c r="AF27" s="2761"/>
      <c r="AG27" s="2761"/>
      <c r="AH27" s="2761"/>
      <c r="AI27" s="2761"/>
      <c r="AJ27" s="2761"/>
      <c r="AK27" s="1755"/>
      <c r="AS27" s="1667">
        <v>14</v>
      </c>
    </row>
    <row customHeight="1" ht="14.25">
      <c r="Q28" s="888"/>
      <c r="R28" s="888"/>
      <c r="S28" s="1787"/>
      <c r="T28" s="875"/>
      <c r="U28" s="875"/>
      <c r="V28" s="834"/>
      <c r="W28" s="834"/>
      <c r="X28" s="834"/>
      <c r="Y28" s="834"/>
      <c r="Z28" s="834"/>
      <c r="AA28" s="834"/>
      <c r="AB28" s="834"/>
      <c r="AC28" s="834"/>
      <c r="AD28" s="834"/>
      <c r="AE28" s="834"/>
      <c r="AF28" s="834"/>
      <c r="AG28" s="834"/>
      <c r="AH28" s="834"/>
      <c r="AI28" s="834"/>
      <c r="AJ28" s="834"/>
      <c r="AK28" s="834"/>
      <c r="AL28" s="1021"/>
      <c r="AS28" s="1667">
        <v>0</v>
      </c>
    </row>
    <row s="47026" customFormat="1" customHeight="1" ht="25.5">
      <c r="A29" s="1880"/>
      <c r="B29" s="1880"/>
      <c r="C29" s="1880"/>
      <c r="D29" s="1880"/>
      <c r="E29" s="1880"/>
      <c r="F29" s="1880"/>
      <c r="G29" s="1880"/>
      <c r="H29" s="1880"/>
      <c r="I29" s="1880"/>
      <c r="J29" s="1880"/>
      <c r="K29" s="1880"/>
      <c r="L29" s="1881"/>
      <c r="M29" s="1880"/>
      <c r="N29" s="1880"/>
      <c r="O29" s="1880"/>
      <c r="S29" s="2762" t="s">
        <v>42</v>
      </c>
      <c r="T29" s="2762"/>
      <c r="U29" s="1884"/>
      <c r="V29" s="2763" t="str">
        <f>IF(TITLE_NAME_OR_PR_CHANGE="",IF(TITLE_NAME_OR_PR="","",TITLE_NAME_OR_PR),TITLE_NAME_OR_PR_CHANGE)</f>
        <v>Агентство по тарифам Приморского края</v>
      </c>
      <c r="W29" s="2763"/>
      <c r="X29" s="2763"/>
      <c r="Y29" s="2763"/>
      <c r="Z29" s="2763"/>
      <c r="AA29" s="2763"/>
      <c r="AB29" s="2763"/>
      <c r="AC29" s="838"/>
      <c r="AD29" s="2763" t="str">
        <f>IF(TITLE_NAME_OR_PR_CHANGE="",IF(TITLE_NAME_OR_PR="","",TITLE_NAME_OR_PR),TITLE_NAME_OR_PR_CHANGE)</f>
        <v>Агентство по тарифам Приморского края</v>
      </c>
      <c r="AE29" s="2763"/>
      <c r="AF29" s="2763"/>
      <c r="AG29" s="2763"/>
      <c r="AH29" s="2763"/>
      <c r="AI29" s="2763"/>
      <c r="AJ29" s="2763"/>
      <c r="AK29" s="838"/>
      <c r="AL29" s="838"/>
      <c r="AM29" s="792"/>
      <c r="AN29" s="880"/>
      <c r="AO29" s="880"/>
      <c r="AP29" s="880"/>
      <c r="AQ29" s="880"/>
      <c r="AR29" s="880"/>
      <c r="AS29" s="930">
        <v>0</v>
      </c>
    </row>
    <row s="47026" customFormat="1" customHeight="1" ht="18.75">
      <c r="A30" s="1880"/>
      <c r="B30" s="1880"/>
      <c r="C30" s="1880"/>
      <c r="D30" s="1880"/>
      <c r="E30" s="1880"/>
      <c r="F30" s="1880"/>
      <c r="G30" s="1880"/>
      <c r="H30" s="1880"/>
      <c r="I30" s="1880"/>
      <c r="J30" s="1880"/>
      <c r="K30" s="1880"/>
      <c r="L30" s="1881"/>
      <c r="M30" s="1880"/>
      <c r="N30" s="1880"/>
      <c r="O30" s="1880"/>
      <c r="S30" s="2762" t="s">
        <v>539</v>
      </c>
      <c r="T30" s="2762"/>
      <c r="U30" s="1884"/>
      <c r="V30" s="2776" t="str">
        <f>IF(TITLE_DATE_PR_CHANGE="",IF(TITLE_DATE_PR="","",TITLE_DATE_PR),TITLE_DATE_PR_CHANGE)</f>
        <v>45631.495844907404</v>
      </c>
      <c r="W30" s="2776"/>
      <c r="X30" s="2776"/>
      <c r="Y30" s="2776"/>
      <c r="Z30" s="2776"/>
      <c r="AA30" s="2776"/>
      <c r="AB30" s="2776"/>
      <c r="AC30" s="838"/>
      <c r="AD30" s="2776" t="str">
        <f>IF(TITLE_DATE_PR_CHANGE="",IF(TITLE_DATE_PR="","",TITLE_DATE_PR),TITLE_DATE_PR_CHANGE)</f>
        <v>45631.495844907404</v>
      </c>
      <c r="AE30" s="2776"/>
      <c r="AF30" s="2776"/>
      <c r="AG30" s="2776"/>
      <c r="AH30" s="2776"/>
      <c r="AI30" s="2776"/>
      <c r="AJ30" s="2776"/>
      <c r="AK30" s="838"/>
      <c r="AL30" s="838"/>
      <c r="AM30" s="792"/>
      <c r="AN30" s="880"/>
      <c r="AO30" s="880"/>
      <c r="AP30" s="880"/>
      <c r="AQ30" s="880"/>
      <c r="AR30" s="880"/>
      <c r="AS30" s="930">
        <v>0</v>
      </c>
    </row>
    <row s="47026" customFormat="1" customHeight="1" ht="18.75">
      <c r="A31" s="1880"/>
      <c r="B31" s="1880"/>
      <c r="C31" s="1880"/>
      <c r="D31" s="1880"/>
      <c r="E31" s="1880"/>
      <c r="F31" s="1880"/>
      <c r="G31" s="1880"/>
      <c r="H31" s="1880"/>
      <c r="I31" s="1880"/>
      <c r="J31" s="1880"/>
      <c r="K31" s="1880"/>
      <c r="L31" s="1881"/>
      <c r="M31" s="1880"/>
      <c r="N31" s="1880"/>
      <c r="O31" s="1880"/>
      <c r="S31" s="2762" t="s">
        <v>540</v>
      </c>
      <c r="T31" s="2762"/>
      <c r="U31" s="1884"/>
      <c r="V31" s="2763" t="str">
        <f>IF(TITLE_NUMBER_PR_CHANGE="",IF(TITLE_NUMBER_PR="","",TITLE_NUMBER_PR),TITLE_NUMBER_PR_CHANGE)</f>
        <v>53/9</v>
      </c>
      <c r="W31" s="2763"/>
      <c r="X31" s="2763"/>
      <c r="Y31" s="2763"/>
      <c r="Z31" s="2763"/>
      <c r="AA31" s="2763"/>
      <c r="AB31" s="2763"/>
      <c r="AC31" s="838"/>
      <c r="AD31" s="2763" t="str">
        <f>IF(TITLE_NUMBER_PR_CHANGE="",IF(TITLE_NUMBER_PR="","",TITLE_NUMBER_PR),TITLE_NUMBER_PR_CHANGE)</f>
        <v>53/9</v>
      </c>
      <c r="AE31" s="2763"/>
      <c r="AF31" s="2763"/>
      <c r="AG31" s="2763"/>
      <c r="AH31" s="2763"/>
      <c r="AI31" s="2763"/>
      <c r="AJ31" s="2763"/>
      <c r="AK31" s="838"/>
      <c r="AL31" s="838"/>
      <c r="AM31" s="792"/>
      <c r="AN31" s="880"/>
      <c r="AO31" s="880"/>
      <c r="AP31" s="880"/>
      <c r="AQ31" s="880"/>
      <c r="AR31" s="880"/>
      <c r="AS31" s="930">
        <v>0</v>
      </c>
    </row>
    <row s="47026" customFormat="1" customHeight="1" ht="18.75">
      <c r="A32" s="1880"/>
      <c r="B32" s="1880"/>
      <c r="C32" s="1880"/>
      <c r="D32" s="1880"/>
      <c r="E32" s="1880"/>
      <c r="F32" s="1880"/>
      <c r="G32" s="1880"/>
      <c r="H32" s="1880"/>
      <c r="I32" s="1880"/>
      <c r="J32" s="1880"/>
      <c r="K32" s="1880"/>
      <c r="L32" s="1881"/>
      <c r="M32" s="1880"/>
      <c r="N32" s="1880"/>
      <c r="O32" s="1880"/>
      <c r="S32" s="2762" t="s">
        <v>44</v>
      </c>
      <c r="T32" s="2762"/>
      <c r="U32" s="1884"/>
      <c r="V32" s="2763" t="str">
        <f>IF(TITLE_IST_PUB_CHANGE="",IF(TITLE_IST_PUB="","",TITLE_IST_PUB),TITLE_IST_PUB_CHANGE)</f>
        <v>http://pravo.gov.ru</v>
      </c>
      <c r="W32" s="2763"/>
      <c r="X32" s="2763"/>
      <c r="Y32" s="2763"/>
      <c r="Z32" s="2763"/>
      <c r="AA32" s="2763"/>
      <c r="AB32" s="2763"/>
      <c r="AC32" s="838"/>
      <c r="AD32" s="2763" t="str">
        <f>IF(TITLE_IST_PUB_CHANGE="",IF(TITLE_IST_PUB="","",TITLE_IST_PUB),TITLE_IST_PUB_CHANGE)</f>
        <v>http://pravo.gov.ru</v>
      </c>
      <c r="AE32" s="2763"/>
      <c r="AF32" s="2763"/>
      <c r="AG32" s="2763"/>
      <c r="AH32" s="2763"/>
      <c r="AI32" s="2763"/>
      <c r="AJ32" s="2763"/>
      <c r="AK32" s="838"/>
      <c r="AL32" s="838"/>
      <c r="AM32" s="792"/>
      <c r="AN32" s="880"/>
      <c r="AO32" s="880"/>
      <c r="AP32" s="880"/>
      <c r="AQ32" s="880"/>
      <c r="AR32" s="880"/>
      <c r="AS32" s="930">
        <v>0</v>
      </c>
    </row>
    <row customHeight="1" ht="14.25" hidden="1">
      <c r="Q33" s="888"/>
      <c r="R33" s="888"/>
      <c r="S33" s="1787"/>
      <c r="T33" s="875"/>
      <c r="U33" s="875"/>
      <c r="V33" s="834"/>
      <c r="W33" s="834"/>
      <c r="X33" s="834"/>
      <c r="Y33" s="834"/>
      <c r="Z33" s="834"/>
      <c r="AA33" s="834"/>
      <c r="AB33" s="834"/>
      <c r="AC33" s="834"/>
      <c r="AD33" s="834"/>
      <c r="AE33" s="834"/>
      <c r="AF33" s="834"/>
      <c r="AG33" s="834"/>
      <c r="AH33" s="834"/>
      <c r="AI33" s="834"/>
      <c r="AJ33" s="834"/>
      <c r="AK33" s="834"/>
      <c r="AL33" s="1021"/>
      <c r="AS33" s="1667">
        <v>0</v>
      </c>
    </row>
    <row s="47026" customFormat="1" customHeight="1" ht="18.75" hidden="1">
      <c r="A34" s="1880"/>
      <c r="B34" s="1880"/>
      <c r="C34" s="1880"/>
      <c r="D34" s="1880"/>
      <c r="E34" s="1880"/>
      <c r="F34" s="1880"/>
      <c r="G34" s="1880"/>
      <c r="H34" s="1880"/>
      <c r="I34" s="1880"/>
      <c r="J34" s="1880"/>
      <c r="K34" s="1880"/>
      <c r="L34" s="1881"/>
      <c r="M34" s="1880"/>
      <c r="N34" s="1880"/>
      <c r="O34" s="1880"/>
      <c r="S34" s="2762" t="s">
        <v>541</v>
      </c>
      <c r="T34" s="2762"/>
      <c r="U34" s="1884"/>
      <c r="V34" s="2776" t="str">
        <f>IF(TITLE_DATE_PR_CHANGE="",IF(TITLE_DATE_PR="","",TITLE_DATE_PR),TITLE_DATE_PR_CHANGE)</f>
        <v>45631.495844907404</v>
      </c>
      <c r="W34" s="2776"/>
      <c r="X34" s="2776"/>
      <c r="Y34" s="2776"/>
      <c r="Z34" s="2776"/>
      <c r="AA34" s="2776"/>
      <c r="AB34" s="2776"/>
      <c r="AC34" s="838"/>
      <c r="AD34" s="2776" t="str">
        <f>IF(TITLE_DATE_PR_CHANGE="",IF(TITLE_DATE_PR="","",TITLE_DATE_PR),TITLE_DATE_PR_CHANGE)</f>
        <v>45631.495844907404</v>
      </c>
      <c r="AE34" s="2776"/>
      <c r="AF34" s="2776"/>
      <c r="AG34" s="2776"/>
      <c r="AH34" s="2776"/>
      <c r="AI34" s="2776"/>
      <c r="AJ34" s="2776"/>
      <c r="AK34" s="838"/>
      <c r="AL34" s="838"/>
      <c r="AM34" s="792"/>
      <c r="AN34" s="880"/>
      <c r="AO34" s="880"/>
      <c r="AP34" s="880"/>
      <c r="AQ34" s="880"/>
      <c r="AR34" s="880"/>
      <c r="AS34" s="930">
        <v>0</v>
      </c>
    </row>
    <row s="47026" customFormat="1" customHeight="1" ht="18.75" hidden="1">
      <c r="A35" s="1880"/>
      <c r="B35" s="1880"/>
      <c r="C35" s="1880"/>
      <c r="D35" s="1880"/>
      <c r="E35" s="1880"/>
      <c r="F35" s="1880"/>
      <c r="G35" s="1880"/>
      <c r="H35" s="1880"/>
      <c r="I35" s="1880"/>
      <c r="J35" s="1880"/>
      <c r="K35" s="1880"/>
      <c r="L35" s="1881"/>
      <c r="M35" s="1880"/>
      <c r="N35" s="1880"/>
      <c r="O35" s="1880"/>
      <c r="S35" s="2762" t="s">
        <v>542</v>
      </c>
      <c r="T35" s="2762"/>
      <c r="U35" s="1884"/>
      <c r="V35" s="2763" t="str">
        <f>IF(TITLE_NUMBER_PR_CHANGE="",IF(TITLE_NUMBER_PR="","",TITLE_NUMBER_PR),TITLE_NUMBER_PR_CHANGE)</f>
        <v>53/9</v>
      </c>
      <c r="W35" s="2763"/>
      <c r="X35" s="2763"/>
      <c r="Y35" s="2763"/>
      <c r="Z35" s="2763"/>
      <c r="AA35" s="2763"/>
      <c r="AB35" s="2763"/>
      <c r="AC35" s="838"/>
      <c r="AD35" s="2763" t="str">
        <f>IF(TITLE_NUMBER_PR_CHANGE="",IF(TITLE_NUMBER_PR="","",TITLE_NUMBER_PR),TITLE_NUMBER_PR_CHANGE)</f>
        <v>53/9</v>
      </c>
      <c r="AE35" s="2763"/>
      <c r="AF35" s="2763"/>
      <c r="AG35" s="2763"/>
      <c r="AH35" s="2763"/>
      <c r="AI35" s="2763"/>
      <c r="AJ35" s="2763"/>
      <c r="AK35" s="838"/>
      <c r="AL35" s="838"/>
      <c r="AM35" s="792"/>
      <c r="AN35" s="880"/>
      <c r="AO35" s="880"/>
      <c r="AP35" s="880"/>
      <c r="AQ35" s="880"/>
      <c r="AR35" s="880"/>
      <c r="AS35" s="930">
        <v>0</v>
      </c>
    </row>
    <row s="47026" customFormat="1" customHeight="1" ht="0">
      <c r="A36" s="1880"/>
      <c r="B36" s="1880"/>
      <c r="C36" s="1880"/>
      <c r="D36" s="1880"/>
      <c r="E36" s="1880"/>
      <c r="F36" s="1880"/>
      <c r="G36" s="1880"/>
      <c r="H36" s="1880"/>
      <c r="I36" s="1880"/>
      <c r="J36" s="1880"/>
      <c r="K36" s="1880"/>
      <c r="L36" s="1881"/>
      <c r="M36" s="1880"/>
      <c r="N36" s="1880"/>
      <c r="O36" s="1880"/>
      <c r="S36" s="835"/>
      <c r="T36" s="835"/>
      <c r="U36" s="1852"/>
      <c r="V36" s="838"/>
      <c r="W36" s="838"/>
      <c r="X36" s="838"/>
      <c r="Y36" s="838"/>
      <c r="Z36" s="838"/>
      <c r="AA36" s="838"/>
      <c r="AB36" s="838"/>
      <c r="AC36" s="790" t="s">
        <v>543</v>
      </c>
      <c r="AD36" s="838"/>
      <c r="AE36" s="838"/>
      <c r="AF36" s="838"/>
      <c r="AG36" s="838"/>
      <c r="AH36" s="838"/>
      <c r="AI36" s="838"/>
      <c r="AJ36" s="838"/>
      <c r="AK36" s="790" t="s">
        <v>543</v>
      </c>
      <c r="AN36" s="880"/>
      <c r="AO36" s="880"/>
      <c r="AP36" s="880"/>
      <c r="AQ36" s="880"/>
      <c r="AR36" s="880"/>
      <c r="AS36" s="930">
        <v>0</v>
      </c>
    </row>
    <row customHeight="1" ht="14.699999999999998">
      <c r="Q37" s="888"/>
      <c r="R37" s="888"/>
      <c r="S37" s="1787"/>
      <c r="T37" s="875"/>
      <c r="U37" s="1756"/>
      <c r="V37" s="2764"/>
      <c r="W37" s="2764"/>
      <c r="X37" s="2764"/>
      <c r="Y37" s="2764"/>
      <c r="Z37" s="2764"/>
      <c r="AA37" s="2764"/>
      <c r="AB37" s="2764"/>
      <c r="AC37" s="2764"/>
      <c r="AD37" s="2764"/>
      <c r="AE37" s="2764"/>
      <c r="AF37" s="2764"/>
      <c r="AG37" s="2764"/>
      <c r="AH37" s="2764"/>
      <c r="AI37" s="2764"/>
      <c r="AJ37" s="2764"/>
      <c r="AK37" s="2764"/>
      <c r="AS37" s="1667">
        <v>14</v>
      </c>
    </row>
    <row customHeight="1" ht="14.699999999999998">
      <c r="Q38" s="888"/>
      <c r="R38" s="888"/>
      <c r="S38" s="2639" t="s">
        <v>418</v>
      </c>
      <c r="T38" s="2639"/>
      <c r="U38" s="2639"/>
      <c r="V38" s="2639"/>
      <c r="W38" s="2639"/>
      <c r="X38" s="2639"/>
      <c r="Y38" s="2639"/>
      <c r="Z38" s="2639"/>
      <c r="AA38" s="2639"/>
      <c r="AB38" s="2639"/>
      <c r="AC38" s="2639"/>
      <c r="AD38" s="2639"/>
      <c r="AE38" s="2639"/>
      <c r="AF38" s="2639"/>
      <c r="AG38" s="2639"/>
      <c r="AH38" s="2639"/>
      <c r="AI38" s="2639"/>
      <c r="AJ38" s="2639"/>
      <c r="AK38" s="2639"/>
      <c r="AL38" s="2639"/>
      <c r="AM38" s="2639" t="s">
        <v>419</v>
      </c>
      <c r="AS38" s="1667">
        <v>14</v>
      </c>
    </row>
    <row customHeight="1" ht="14.699999999999998">
      <c r="Q39" s="888"/>
      <c r="R39" s="888"/>
      <c r="S39" s="2785" t="s">
        <v>90</v>
      </c>
      <c r="T39" s="2721" t="s">
        <v>544</v>
      </c>
      <c r="U39" s="813"/>
      <c r="V39" s="2786" t="s">
        <v>545</v>
      </c>
      <c r="W39" s="2787"/>
      <c r="X39" s="2803"/>
      <c r="Y39" s="2803"/>
      <c r="Z39" s="2787"/>
      <c r="AA39" s="2787"/>
      <c r="AB39" s="2788"/>
      <c r="AC39" s="2789" t="s">
        <v>546</v>
      </c>
      <c r="AD39" s="2786" t="s">
        <v>545</v>
      </c>
      <c r="AE39" s="2787"/>
      <c r="AF39" s="2803"/>
      <c r="AG39" s="2803"/>
      <c r="AH39" s="2787"/>
      <c r="AI39" s="2787"/>
      <c r="AJ39" s="2788"/>
      <c r="AK39" s="2789" t="s">
        <v>547</v>
      </c>
      <c r="AL39" s="2792" t="s">
        <v>548</v>
      </c>
      <c r="AM39" s="2639"/>
      <c r="AS39" s="1667">
        <v>14</v>
      </c>
    </row>
    <row customHeight="1" ht="24">
      <c r="Q40" s="888"/>
      <c r="R40" s="888"/>
      <c r="S40" s="2785"/>
      <c r="T40" s="2721"/>
      <c r="U40" s="1543"/>
      <c r="V40" s="2804" t="s">
        <v>549</v>
      </c>
      <c r="W40" s="2806" t="s">
        <v>550</v>
      </c>
      <c r="X40" s="1888" t="s">
        <v>551</v>
      </c>
      <c r="Y40" s="1888"/>
      <c r="Z40" s="2781" t="s">
        <v>552</v>
      </c>
      <c r="AA40" s="2781"/>
      <c r="AB40" s="2775"/>
      <c r="AC40" s="2790"/>
      <c r="AD40" s="2804" t="s">
        <v>549</v>
      </c>
      <c r="AE40" s="2806" t="s">
        <v>550</v>
      </c>
      <c r="AF40" s="1888" t="s">
        <v>551</v>
      </c>
      <c r="AG40" s="1888"/>
      <c r="AH40" s="2781" t="s">
        <v>552</v>
      </c>
      <c r="AI40" s="2781"/>
      <c r="AJ40" s="2775"/>
      <c r="AK40" s="2790"/>
      <c r="AL40" s="2793"/>
      <c r="AM40" s="2639"/>
      <c r="AS40" s="1667">
        <v>23</v>
      </c>
    </row>
    <row s="47078" customFormat="1" customHeight="1" ht="24">
      <c r="A41" s="1882"/>
      <c r="B41" s="1882" t="s">
        <v>191</v>
      </c>
      <c r="C41" s="1882" t="s">
        <v>192</v>
      </c>
      <c r="D41" s="1882" t="s">
        <v>193</v>
      </c>
      <c r="E41" s="1876" t="s">
        <v>553</v>
      </c>
      <c r="F41" s="1876" t="s">
        <v>554</v>
      </c>
      <c r="G41" s="1876" t="s">
        <v>555</v>
      </c>
      <c r="H41" s="1876" t="s">
        <v>556</v>
      </c>
      <c r="I41" s="1876" t="s">
        <v>557</v>
      </c>
      <c r="J41" s="1876" t="s">
        <v>558</v>
      </c>
      <c r="K41" s="1876" t="s">
        <v>559</v>
      </c>
      <c r="L41" s="1876" t="s">
        <v>534</v>
      </c>
      <c r="M41" s="1874"/>
      <c r="N41" s="1874"/>
      <c r="O41" s="1874"/>
      <c r="P41" s="1840"/>
      <c r="Q41" s="888"/>
      <c r="R41" s="888"/>
      <c r="S41" s="2785"/>
      <c r="T41" s="2721"/>
      <c r="U41" s="814"/>
      <c r="V41" s="2805"/>
      <c r="W41" s="2807"/>
      <c r="X41" s="1885" t="s">
        <v>560</v>
      </c>
      <c r="Y41" s="1885" t="s">
        <v>561</v>
      </c>
      <c r="Z41" s="1846" t="s">
        <v>562</v>
      </c>
      <c r="AA41" s="2782" t="s">
        <v>563</v>
      </c>
      <c r="AB41" s="2783"/>
      <c r="AC41" s="2791"/>
      <c r="AD41" s="2805"/>
      <c r="AE41" s="2807"/>
      <c r="AF41" s="1885" t="s">
        <v>560</v>
      </c>
      <c r="AG41" s="1885" t="s">
        <v>561</v>
      </c>
      <c r="AH41" s="1846" t="s">
        <v>562</v>
      </c>
      <c r="AI41" s="2782" t="s">
        <v>563</v>
      </c>
      <c r="AJ41" s="2783"/>
      <c r="AK41" s="2791"/>
      <c r="AL41" s="2794"/>
      <c r="AM41" s="2639"/>
      <c r="AN41" s="1023"/>
      <c r="AO41" s="1012"/>
      <c r="AP41" s="1012"/>
      <c r="AQ41" s="1012"/>
      <c r="AR41" s="1012"/>
      <c r="AS41" s="1094">
        <v>23</v>
      </c>
    </row>
    <row s="47496" customFormat="1" customHeight="1" ht="11.25" hidden="1">
      <c r="A42" s="1882"/>
      <c r="B42" s="1882"/>
      <c r="C42" s="1882"/>
      <c r="D42" s="1882"/>
      <c r="E42" s="1882"/>
      <c r="F42" s="1882"/>
      <c r="G42" s="1882"/>
      <c r="H42" s="1882"/>
      <c r="I42" s="1882"/>
      <c r="J42" s="1882"/>
      <c r="K42" s="1882"/>
      <c r="L42" s="1876"/>
      <c r="M42" s="1874"/>
      <c r="N42" s="1874"/>
      <c r="O42" s="1874"/>
      <c r="P42" s="1758"/>
      <c r="Q42" s="1759"/>
      <c r="R42" s="1766">
        <v>1</v>
      </c>
      <c r="S42" s="1789" t="s">
        <v>101</v>
      </c>
      <c r="T42" s="1767" t="s">
        <v>105</v>
      </c>
      <c r="U42" s="1757" t="str">
        <f>OFFSET(U42,0,-1)</f>
        <v>2</v>
      </c>
      <c r="V42" s="1847">
        <f>OFFSET(V42,0,-1)+1</f>
        <v>3</v>
      </c>
      <c r="W42" s="1847"/>
      <c r="X42" s="1853">
        <f>OFFSET(X42,0,-1)+1</f>
        <v>1</v>
      </c>
      <c r="Y42" s="1853">
        <f>OFFSET(Y42,0,-1)+1</f>
        <v>2</v>
      </c>
      <c r="Z42" s="1847">
        <f>OFFSET(Z42,0,-1)+1</f>
        <v>3</v>
      </c>
      <c r="AA42" s="2784">
        <f>OFFSET(AA42,0,-1)+1</f>
        <v>4</v>
      </c>
      <c r="AB42" s="2784"/>
      <c r="AC42" s="1847">
        <f>OFFSET(AC42,0,-2)+1</f>
        <v>5</v>
      </c>
      <c r="AD42" s="1847">
        <f>OFFSET(AD42,0,-1)+1</f>
        <v>6</v>
      </c>
      <c r="AE42" s="1847"/>
      <c r="AF42" s="1853">
        <f>OFFSET(AF42,0,-1)+1</f>
        <v>1</v>
      </c>
      <c r="AG42" s="1853">
        <f>OFFSET(AG42,0,-1)+1</f>
        <v>2</v>
      </c>
      <c r="AH42" s="1847">
        <f>OFFSET(AH42,0,-1)+1</f>
        <v>3</v>
      </c>
      <c r="AI42" s="2784">
        <f>OFFSET(AI42,0,-1)+1</f>
        <v>4</v>
      </c>
      <c r="AJ42" s="2784"/>
      <c r="AK42" s="1847">
        <f>OFFSET(AK42,0,-2)+1</f>
        <v>5</v>
      </c>
      <c r="AL42" s="1757">
        <f>OFFSET(AL42,0,-1)</f>
        <v>5</v>
      </c>
      <c r="AM42" s="1847">
        <f>OFFSET(AM42,0,-1)+1</f>
        <v>6</v>
      </c>
      <c r="AN42" s="1023"/>
      <c r="AO42" s="1023"/>
      <c r="AP42" s="1023"/>
      <c r="AQ42" s="1023"/>
      <c r="AR42" s="1023"/>
      <c r="AS42" s="1008">
        <v>0</v>
      </c>
    </row>
    <row customHeight="1" ht="22.049999999999997">
      <c r="A43" s="1875" t="s">
        <v>243</v>
      </c>
      <c r="B43" s="1875"/>
      <c r="C43" s="1875"/>
      <c r="D43" s="1875"/>
      <c r="E43" s="2770">
        <v>1</v>
      </c>
      <c r="F43" s="1875"/>
      <c r="G43" s="1875"/>
      <c r="H43" s="1875"/>
      <c r="I43" s="1875"/>
      <c r="J43" s="1875"/>
      <c r="K43" s="1875"/>
      <c r="L43" s="1876"/>
      <c r="M43" s="1877"/>
      <c r="N43" s="1877"/>
      <c r="O43" s="1877"/>
      <c r="P43" s="873"/>
      <c r="Q43" s="872"/>
      <c r="R43" s="867"/>
      <c r="S43" s="1848">
        <f>INDEX(PT_DIFFERENTIATION_NUM_NTAR,MATCH(A43,PT_DIFFERENTIATION_NTAR_ID,0))</f>
        <v>0</v>
      </c>
      <c r="T43" s="810" t="s">
        <v>179</v>
      </c>
      <c r="U43" s="812"/>
      <c r="V43" s="2754"/>
      <c r="W43" s="2755"/>
      <c r="X43" s="2755"/>
      <c r="Y43" s="2755"/>
      <c r="Z43" s="2755"/>
      <c r="AA43" s="2755"/>
      <c r="AB43" s="2755"/>
      <c r="AC43" s="2756"/>
      <c r="AD43" s="2754" t="str">
        <f>INDEX(PT_DIFFERENTIATION_NTAR,MATCH(A43,PT_DIFFERENTIATION_NTAR_ID,0))</f>
        <v/>
      </c>
      <c r="AE43" s="2755"/>
      <c r="AF43" s="2755"/>
      <c r="AG43" s="2755"/>
      <c r="AH43" s="2755"/>
      <c r="AI43" s="2755"/>
      <c r="AJ43" s="2755"/>
      <c r="AK43" s="2755"/>
      <c r="AL43" s="2756"/>
      <c r="AM43" s="177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012"/>
      <c r="AP43" s="1012" t="str">
        <f>IF(T43="","",T43)</f>
        <v>Наименование тарифа</v>
      </c>
      <c r="AQ43" s="1012"/>
      <c r="AR43" s="1012"/>
      <c r="AS43" s="1667">
        <v>21</v>
      </c>
    </row>
    <row customHeight="1" ht="22.049999999999997">
      <c r="A44" s="1875" t="s">
        <v>243</v>
      </c>
      <c r="B44" s="1875" t="s">
        <v>244</v>
      </c>
      <c r="C44" s="1875"/>
      <c r="D44" s="1875"/>
      <c r="E44" s="2771"/>
      <c r="F44" s="2770">
        <v>1</v>
      </c>
      <c r="G44" s="1875"/>
      <c r="H44" s="1875"/>
      <c r="I44" s="1875"/>
      <c r="J44" s="1875"/>
      <c r="K44" s="1875"/>
      <c r="L44" s="1876"/>
      <c r="M44" s="1877"/>
      <c r="N44" s="1877"/>
      <c r="O44" s="1877"/>
      <c r="P44" s="1844"/>
      <c r="Q44" s="864"/>
      <c r="R44" s="865"/>
      <c r="S44" s="1848" t="str">
        <f>INDEX(PT_DIFFERENTIATION_NUM_TER,MATCH(B44,PT_DIFFERENTIATION_TER_ID,0))</f>
        <v>.</v>
      </c>
      <c r="T44" s="820" t="s">
        <v>515</v>
      </c>
      <c r="U44" s="812"/>
      <c r="V44" s="2754"/>
      <c r="W44" s="2755"/>
      <c r="X44" s="2755"/>
      <c r="Y44" s="2755"/>
      <c r="Z44" s="2755"/>
      <c r="AA44" s="2755"/>
      <c r="AB44" s="2755"/>
      <c r="AC44" s="2756"/>
      <c r="AD44" s="2754" t="str">
        <f>INDEX(PT_DIFFERENTIATION_TER,MATCH(B44,PT_DIFFERENTIATION_TER_ID,0))</f>
        <v/>
      </c>
      <c r="AE44" s="2755"/>
      <c r="AF44" s="2755"/>
      <c r="AG44" s="2755"/>
      <c r="AH44" s="2755"/>
      <c r="AI44" s="2755"/>
      <c r="AJ44" s="2755"/>
      <c r="AK44" s="2755"/>
      <c r="AL44" s="2756"/>
      <c r="AM44" s="1770" t="s">
        <v>516</v>
      </c>
      <c r="AO44" s="1012"/>
      <c r="AP44" s="1012" t="str">
        <f>IF(T44="","",T44)</f>
        <v>Территория действия тарифа</v>
      </c>
      <c r="AQ44" s="1012"/>
      <c r="AR44" s="1012"/>
      <c r="AS44" s="1667">
        <v>21</v>
      </c>
    </row>
    <row customHeight="1" ht="24">
      <c r="A45" s="1875" t="s">
        <v>243</v>
      </c>
      <c r="B45" s="1875" t="s">
        <v>244</v>
      </c>
      <c r="C45" s="1875" t="s">
        <v>245</v>
      </c>
      <c r="D45" s="1875"/>
      <c r="E45" s="2771"/>
      <c r="F45" s="2771"/>
      <c r="G45" s="2770">
        <v>1</v>
      </c>
      <c r="H45" s="1875"/>
      <c r="I45" s="1875"/>
      <c r="J45" s="1875"/>
      <c r="K45" s="1875"/>
      <c r="L45" s="1876"/>
      <c r="M45" s="1877"/>
      <c r="N45" s="1877"/>
      <c r="O45" s="1877"/>
      <c r="P45" s="866"/>
      <c r="Q45" s="864"/>
      <c r="R45" s="865"/>
      <c r="S45" s="1848" t="str">
        <f>INDEX(PT_DIFFERENTIATION_NUM_CS,MATCH(C45,PT_DIFFERENTIATION_CS_ID,0))</f>
        <v>..</v>
      </c>
      <c r="T45" s="821" t="s">
        <v>517</v>
      </c>
      <c r="U45" s="812"/>
      <c r="V45" s="2754"/>
      <c r="W45" s="2755"/>
      <c r="X45" s="2755"/>
      <c r="Y45" s="2755"/>
      <c r="Z45" s="2755"/>
      <c r="AA45" s="2755"/>
      <c r="AB45" s="2755"/>
      <c r="AC45" s="2756"/>
      <c r="AD45" s="2754" t="str">
        <f>INDEX(PT_DIFFERENTIATION_CS,MATCH(C45,PT_DIFFERENTIATION_CS_ID,0))</f>
        <v/>
      </c>
      <c r="AE45" s="2755"/>
      <c r="AF45" s="2755"/>
      <c r="AG45" s="2755"/>
      <c r="AH45" s="2755"/>
      <c r="AI45" s="2755"/>
      <c r="AJ45" s="2755"/>
      <c r="AK45" s="2755"/>
      <c r="AL45" s="2756"/>
      <c r="AM45" s="1770" t="s">
        <v>518</v>
      </c>
      <c r="AO45" s="1012"/>
      <c r="AP45" s="1012" t="str">
        <f>IF(T45="","",T45)</f>
        <v>Наименование системы теплоснабжения </v>
      </c>
      <c r="AQ45" s="1012"/>
      <c r="AR45" s="1012"/>
      <c r="AS45" s="1667">
        <v>23</v>
      </c>
    </row>
    <row customHeight="1" ht="22.049999999999997">
      <c r="A46" s="1875" t="s">
        <v>243</v>
      </c>
      <c r="B46" s="1875" t="s">
        <v>244</v>
      </c>
      <c r="C46" s="1875" t="s">
        <v>245</v>
      </c>
      <c r="D46" s="1875" t="s">
        <v>246</v>
      </c>
      <c r="E46" s="2771"/>
      <c r="F46" s="2771"/>
      <c r="G46" s="2771"/>
      <c r="H46" s="2770">
        <v>1</v>
      </c>
      <c r="I46" s="1875"/>
      <c r="J46" s="1875"/>
      <c r="K46" s="1875"/>
      <c r="L46" s="1876"/>
      <c r="M46" s="1877"/>
      <c r="N46" s="1877"/>
      <c r="O46" s="1877"/>
      <c r="P46" s="866"/>
      <c r="Q46" s="864"/>
      <c r="R46" s="865"/>
      <c r="S46" s="1848" t="str">
        <f>INDEX(PT_DIFFERENTIATION_NUM_IST_TE,MATCH(D46,PT_DIFFERENTIATION_IST_TE_ID,0))</f>
        <v>...</v>
      </c>
      <c r="T46" s="822" t="s">
        <v>519</v>
      </c>
      <c r="U46" s="812"/>
      <c r="V46" s="2754"/>
      <c r="W46" s="2755"/>
      <c r="X46" s="2755"/>
      <c r="Y46" s="2755"/>
      <c r="Z46" s="2755"/>
      <c r="AA46" s="2755"/>
      <c r="AB46" s="2755"/>
      <c r="AC46" s="2756"/>
      <c r="AD46" s="2754" t="str">
        <f>INDEX(PT_DIFFERENTIATION_IST_TE,MATCH(D46,PT_DIFFERENTIATION_IST_TE_ID,0))</f>
        <v/>
      </c>
      <c r="AE46" s="2755"/>
      <c r="AF46" s="2755"/>
      <c r="AG46" s="2755"/>
      <c r="AH46" s="2755"/>
      <c r="AI46" s="2755"/>
      <c r="AJ46" s="2755"/>
      <c r="AK46" s="2755"/>
      <c r="AL46" s="2756"/>
      <c r="AM46" s="1770" t="s">
        <v>520</v>
      </c>
      <c r="AO46" s="1012"/>
      <c r="AP46" s="1012" t="str">
        <f>IF(T46="","",T46)</f>
        <v>Источник тепловой энергии  </v>
      </c>
      <c r="AQ46" s="1012"/>
      <c r="AR46" s="1012"/>
      <c r="AS46" s="1667">
        <v>21</v>
      </c>
    </row>
    <row customHeight="1" ht="49.5">
      <c r="A47" s="1875" t="s">
        <v>243</v>
      </c>
      <c r="B47" s="1875" t="s">
        <v>244</v>
      </c>
      <c r="C47" s="1875" t="s">
        <v>245</v>
      </c>
      <c r="D47" s="1875" t="s">
        <v>246</v>
      </c>
      <c r="E47" s="2771"/>
      <c r="F47" s="2771"/>
      <c r="G47" s="2771"/>
      <c r="H47" s="2771"/>
      <c r="I47" s="2768" t="str">
        <f>S46&amp;".1"</f>
        <v>....1</v>
      </c>
      <c r="J47" s="1875"/>
      <c r="K47" s="1875"/>
      <c r="L47" s="1876" t="s">
        <v>521</v>
      </c>
      <c r="P47" s="2769">
        <v>1</v>
      </c>
      <c r="Q47" s="1843"/>
      <c r="R47" s="868"/>
      <c r="S47" s="1848" t="str">
        <f>$I47</f>
        <v>....1</v>
      </c>
      <c r="T47" s="797" t="s">
        <v>522</v>
      </c>
      <c r="U47" s="812"/>
      <c r="V47" s="2757"/>
      <c r="W47" s="2758"/>
      <c r="X47" s="2758"/>
      <c r="Y47" s="2758"/>
      <c r="Z47" s="2758"/>
      <c r="AA47" s="2758"/>
      <c r="AB47" s="2758"/>
      <c r="AC47" s="2759"/>
      <c r="AD47" s="2757"/>
      <c r="AE47" s="2758"/>
      <c r="AF47" s="2758"/>
      <c r="AG47" s="2758"/>
      <c r="AH47" s="2758"/>
      <c r="AI47" s="2758"/>
      <c r="AJ47" s="2758"/>
      <c r="AK47" s="2758"/>
      <c r="AL47" s="2759"/>
      <c r="AM47" s="1770" t="s">
        <v>523</v>
      </c>
      <c r="AO47" s="1012"/>
      <c r="AP47" s="1012" t="str">
        <f>IF(T47="","",T47)</f>
        <v>Схема подключения теплопотребляющей установки к коллектору источника тепловой энергии</v>
      </c>
      <c r="AQ47" s="1012"/>
      <c r="AR47" s="1012"/>
      <c r="AS47" s="1667">
        <v>47</v>
      </c>
    </row>
    <row customHeight="1" ht="22.049999999999997">
      <c r="A48" s="1875" t="s">
        <v>243</v>
      </c>
      <c r="B48" s="1875" t="s">
        <v>244</v>
      </c>
      <c r="C48" s="1875" t="s">
        <v>245</v>
      </c>
      <c r="D48" s="1875" t="s">
        <v>246</v>
      </c>
      <c r="E48" s="2771"/>
      <c r="F48" s="2771"/>
      <c r="G48" s="2771"/>
      <c r="H48" s="2771"/>
      <c r="I48" s="2798"/>
      <c r="J48" s="2768" t="str">
        <f>I47&amp;".1"</f>
        <v>....1.1</v>
      </c>
      <c r="K48" s="1875"/>
      <c r="L48" s="1876" t="s">
        <v>524</v>
      </c>
      <c r="P48" s="2769"/>
      <c r="Q48" s="2769">
        <v>1</v>
      </c>
      <c r="R48" s="869"/>
      <c r="S48" s="1848" t="str">
        <f>$J48</f>
        <v>....1.1</v>
      </c>
      <c r="T48" s="798" t="s">
        <v>525</v>
      </c>
      <c r="U48" s="812"/>
      <c r="V48" s="2757"/>
      <c r="W48" s="2758"/>
      <c r="X48" s="2758"/>
      <c r="Y48" s="2758"/>
      <c r="Z48" s="2758"/>
      <c r="AA48" s="2758"/>
      <c r="AB48" s="2758"/>
      <c r="AC48" s="2759"/>
      <c r="AD48" s="2757"/>
      <c r="AE48" s="2758"/>
      <c r="AF48" s="2758"/>
      <c r="AG48" s="2758"/>
      <c r="AH48" s="2758"/>
      <c r="AI48" s="2758"/>
      <c r="AJ48" s="2758"/>
      <c r="AK48" s="2758"/>
      <c r="AL48" s="2759"/>
      <c r="AM48" s="1770" t="s">
        <v>526</v>
      </c>
      <c r="AO48" s="1012"/>
      <c r="AP48" s="1012" t="str">
        <f>IF(T48="","",T48)</f>
        <v>Группа потребителей</v>
      </c>
      <c r="AQ48" s="1012"/>
      <c r="AR48" s="1012"/>
      <c r="AS48" s="1667">
        <v>21</v>
      </c>
    </row>
    <row customHeight="1" ht="22.049999999999997">
      <c r="A49" s="1875" t="s">
        <v>243</v>
      </c>
      <c r="B49" s="1875" t="s">
        <v>244</v>
      </c>
      <c r="C49" s="1875" t="s">
        <v>245</v>
      </c>
      <c r="D49" s="1875" t="s">
        <v>246</v>
      </c>
      <c r="E49" s="2771"/>
      <c r="F49" s="2771"/>
      <c r="G49" s="2771"/>
      <c r="H49" s="2771"/>
      <c r="I49" s="2798"/>
      <c r="J49" s="2798"/>
      <c r="K49" s="2768" t="str">
        <f>J48&amp;".1"</f>
        <v>....1.1.1</v>
      </c>
      <c r="L49" s="1876" t="s">
        <v>527</v>
      </c>
      <c r="P49" s="2769"/>
      <c r="Q49" s="2769"/>
      <c r="R49" s="869">
        <v>1</v>
      </c>
      <c r="S49" s="1848" t="str">
        <f>$K49</f>
        <v>....1.1.1</v>
      </c>
      <c r="T49" s="1859"/>
      <c r="U49" s="812"/>
      <c r="V49" s="837"/>
      <c r="W49" s="1263"/>
      <c r="X49" s="837"/>
      <c r="Y49" s="896"/>
      <c r="Z49" s="2777"/>
      <c r="AA49" s="2619" t="s">
        <v>63</v>
      </c>
      <c r="AB49" s="2777"/>
      <c r="AC49" s="2619" t="s">
        <v>63</v>
      </c>
      <c r="AD49" s="837"/>
      <c r="AE49" s="1263"/>
      <c r="AF49" s="837"/>
      <c r="AG49" s="896"/>
      <c r="AH49" s="2777"/>
      <c r="AI49" s="2619" t="s">
        <v>63</v>
      </c>
      <c r="AJ49" s="2799"/>
      <c r="AK49" s="2619" t="s">
        <v>63</v>
      </c>
      <c r="AL49" s="1860"/>
      <c r="AM49" s="2765" t="s">
        <v>528</v>
      </c>
      <c r="AN49" s="1023">
        <f>STRCHECKDATE(V50:AL50)</f>
      </c>
      <c r="AO49" s="1012"/>
      <c r="AP49" s="1012" t="str">
        <f>IF(T49="","",T49)</f>
        <v/>
      </c>
      <c r="AQ49" s="1012"/>
      <c r="AR49" s="1012"/>
      <c r="AS49" s="1667">
        <v>21</v>
      </c>
    </row>
    <row customHeight="1" ht="1.05">
      <c r="A50" s="1875" t="s">
        <v>243</v>
      </c>
      <c r="B50" s="1875" t="s">
        <v>244</v>
      </c>
      <c r="C50" s="1875" t="s">
        <v>245</v>
      </c>
      <c r="D50" s="1875" t="s">
        <v>246</v>
      </c>
      <c r="E50" s="2771"/>
      <c r="F50" s="2771"/>
      <c r="G50" s="2771"/>
      <c r="H50" s="2771"/>
      <c r="I50" s="2798"/>
      <c r="J50" s="2798"/>
      <c r="K50" s="2768"/>
      <c r="L50" s="1876"/>
      <c r="P50" s="2769"/>
      <c r="Q50" s="2769"/>
      <c r="R50" s="869"/>
      <c r="S50" s="1854"/>
      <c r="T50" s="812"/>
      <c r="U50" s="812"/>
      <c r="V50" s="837"/>
      <c r="W50" s="837"/>
      <c r="X50" s="837"/>
      <c r="Y50" s="840" t="str">
        <f>Z49&amp;"-"&amp;AB49</f>
        <v>-</v>
      </c>
      <c r="Z50" s="2778"/>
      <c r="AA50" s="2619"/>
      <c r="AB50" s="2778"/>
      <c r="AC50" s="2619"/>
      <c r="AD50" s="837"/>
      <c r="AE50" s="837"/>
      <c r="AF50" s="837"/>
      <c r="AG50" s="840" t="str">
        <f>AH49&amp;"-"&amp;AJ49</f>
        <v>-</v>
      </c>
      <c r="AH50" s="2778"/>
      <c r="AI50" s="2619"/>
      <c r="AJ50" s="2800"/>
      <c r="AK50" s="2619"/>
      <c r="AL50" s="1861"/>
      <c r="AM50" s="2766"/>
      <c r="AO50" s="1012"/>
      <c r="AP50" s="1012" t="str">
        <f>IF(T50="","",T50)</f>
        <v/>
      </c>
      <c r="AQ50" s="1012"/>
      <c r="AR50" s="1012"/>
      <c r="AS50" s="1667">
        <v>1</v>
      </c>
    </row>
    <row customHeight="1" ht="11.549999999999999">
      <c r="A51" s="1875" t="s">
        <v>243</v>
      </c>
      <c r="B51" s="1875" t="s">
        <v>244</v>
      </c>
      <c r="C51" s="1875" t="s">
        <v>245</v>
      </c>
      <c r="D51" s="1875" t="s">
        <v>246</v>
      </c>
      <c r="E51" s="2771"/>
      <c r="F51" s="2771"/>
      <c r="G51" s="2771"/>
      <c r="H51" s="2771"/>
      <c r="I51" s="2798"/>
      <c r="J51" s="2768"/>
      <c r="K51" s="1875"/>
      <c r="L51" s="1876"/>
      <c r="P51" s="2769"/>
      <c r="Q51" s="2769"/>
      <c r="R51" s="868"/>
      <c r="S51" s="1790"/>
      <c r="T51" s="800" t="s">
        <v>529</v>
      </c>
      <c r="U51" s="879"/>
      <c r="V51" s="879"/>
      <c r="W51" s="879"/>
      <c r="X51" s="879"/>
      <c r="Y51" s="879"/>
      <c r="Z51" s="879"/>
      <c r="AA51" s="879"/>
      <c r="AB51" s="879"/>
      <c r="AC51" s="879"/>
      <c r="AD51" s="879"/>
      <c r="AE51" s="879"/>
      <c r="AF51" s="879"/>
      <c r="AG51" s="879"/>
      <c r="AH51" s="879"/>
      <c r="AI51" s="879"/>
      <c r="AJ51" s="879"/>
      <c r="AK51" s="879"/>
      <c r="AL51" s="836"/>
      <c r="AM51" s="2767"/>
      <c r="AO51" s="1012"/>
      <c r="AP51" s="1012" t="str">
        <f>IF(T51="","",T51)</f>
        <v>Добавить вид теплоносителя (параметры теплоносителя)</v>
      </c>
      <c r="AQ51" s="1012"/>
      <c r="AR51" s="1012"/>
      <c r="AS51" s="1667">
        <v>11</v>
      </c>
    </row>
    <row customHeight="1" ht="11.549999999999999">
      <c r="A52" s="1875" t="s">
        <v>243</v>
      </c>
      <c r="B52" s="1875" t="s">
        <v>244</v>
      </c>
      <c r="C52" s="1875" t="s">
        <v>245</v>
      </c>
      <c r="D52" s="1875" t="s">
        <v>246</v>
      </c>
      <c r="E52" s="2771"/>
      <c r="F52" s="2771"/>
      <c r="G52" s="2771"/>
      <c r="H52" s="2771"/>
      <c r="I52" s="2768"/>
      <c r="J52" s="1875"/>
      <c r="K52" s="1875"/>
      <c r="L52" s="1876"/>
      <c r="P52" s="2769"/>
      <c r="Q52" s="1843"/>
      <c r="R52" s="868"/>
      <c r="S52" s="1790"/>
      <c r="T52" s="799" t="s">
        <v>530</v>
      </c>
      <c r="U52" s="879"/>
      <c r="V52" s="879"/>
      <c r="W52" s="879"/>
      <c r="X52" s="879"/>
      <c r="Y52" s="879"/>
      <c r="Z52" s="879"/>
      <c r="AA52" s="879"/>
      <c r="AB52" s="879"/>
      <c r="AC52" s="878"/>
      <c r="AD52" s="879"/>
      <c r="AE52" s="879"/>
      <c r="AF52" s="879"/>
      <c r="AG52" s="879"/>
      <c r="AH52" s="879"/>
      <c r="AI52" s="879"/>
      <c r="AJ52" s="879"/>
      <c r="AK52" s="878"/>
      <c r="AL52" s="879"/>
      <c r="AM52" s="815"/>
      <c r="AO52" s="1012"/>
      <c r="AP52" s="1012" t="str">
        <f>IF(T52="","",T52)</f>
        <v>Добавить группу потребителей</v>
      </c>
      <c r="AQ52" s="1012"/>
      <c r="AR52" s="1012"/>
      <c r="AS52" s="1667">
        <v>11</v>
      </c>
    </row>
    <row customHeight="1" ht="14.699999999999998">
      <c r="A53" s="1875" t="s">
        <v>243</v>
      </c>
      <c r="B53" s="1875" t="s">
        <v>244</v>
      </c>
      <c r="C53" s="1875" t="s">
        <v>245</v>
      </c>
      <c r="D53" s="1875" t="s">
        <v>246</v>
      </c>
      <c r="E53" s="2771"/>
      <c r="F53" s="2771"/>
      <c r="G53" s="2771"/>
      <c r="H53" s="2770"/>
      <c r="I53" s="1875"/>
      <c r="J53" s="1875"/>
      <c r="K53" s="1875"/>
      <c r="L53" s="1876"/>
      <c r="M53" s="1877"/>
      <c r="N53" s="1877"/>
      <c r="O53" s="1049"/>
      <c r="P53" s="872"/>
      <c r="Q53" s="887"/>
      <c r="R53" s="867"/>
      <c r="S53" s="1790"/>
      <c r="T53" s="877" t="s">
        <v>531</v>
      </c>
      <c r="U53" s="879"/>
      <c r="V53" s="879"/>
      <c r="W53" s="879"/>
      <c r="X53" s="879"/>
      <c r="Y53" s="879"/>
      <c r="Z53" s="879"/>
      <c r="AA53" s="879"/>
      <c r="AB53" s="879"/>
      <c r="AC53" s="878"/>
      <c r="AD53" s="879"/>
      <c r="AE53" s="879"/>
      <c r="AF53" s="879"/>
      <c r="AG53" s="879"/>
      <c r="AH53" s="879"/>
      <c r="AI53" s="879"/>
      <c r="AJ53" s="879"/>
      <c r="AK53" s="878"/>
      <c r="AL53" s="879"/>
      <c r="AM53" s="815"/>
      <c r="AO53" s="1012"/>
      <c r="AP53" s="1012" t="str">
        <f>IF(T53="","",T53)</f>
        <v>Добавить схему подключения</v>
      </c>
      <c r="AQ53" s="1012"/>
      <c r="AR53" s="1012"/>
      <c r="AS53" s="1667">
        <v>14</v>
      </c>
    </row>
    <row s="46890" customFormat="1" customHeight="1" ht="1.05">
      <c r="A54" s="1855" t="s">
        <v>243</v>
      </c>
      <c r="B54" s="1855" t="s">
        <v>244</v>
      </c>
      <c r="C54" s="1855" t="s">
        <v>245</v>
      </c>
      <c r="D54" s="1826"/>
      <c r="E54" s="2771"/>
      <c r="F54" s="2771"/>
      <c r="G54" s="2770"/>
      <c r="H54" s="1826"/>
      <c r="I54" s="1826"/>
      <c r="J54" s="1826"/>
      <c r="K54" s="1826"/>
      <c r="L54" s="1851"/>
      <c r="M54" s="1827"/>
      <c r="N54" s="1827"/>
      <c r="P54" s="1828"/>
      <c r="Q54" s="1829"/>
      <c r="R54" s="1828"/>
      <c r="S54" s="1834"/>
      <c r="T54" s="1837" t="s">
        <v>532</v>
      </c>
      <c r="U54" s="1836"/>
      <c r="V54" s="1836"/>
      <c r="W54" s="1836"/>
      <c r="X54" s="1836"/>
      <c r="Y54" s="1836"/>
      <c r="Z54" s="1836"/>
      <c r="AA54" s="1836"/>
      <c r="AB54" s="1836"/>
      <c r="AC54" s="1836"/>
      <c r="AD54" s="1836"/>
      <c r="AE54" s="1836"/>
      <c r="AF54" s="1836"/>
      <c r="AG54" s="1836"/>
      <c r="AH54" s="1836"/>
      <c r="AI54" s="1836"/>
      <c r="AJ54" s="1836"/>
      <c r="AK54" s="1836"/>
      <c r="AL54" s="1836"/>
      <c r="AM54" s="1836"/>
      <c r="AO54" s="1301"/>
      <c r="AP54" s="1301" t="str">
        <f>IF(T54="","",T54)</f>
        <v>Добавить источник для дифференциации</v>
      </c>
      <c r="AQ54" s="1301"/>
      <c r="AR54" s="1301"/>
      <c r="AS54" s="1030">
        <v>1</v>
      </c>
    </row>
    <row s="46890" customFormat="1" customHeight="1" ht="1.05">
      <c r="A55" s="1855" t="s">
        <v>243</v>
      </c>
      <c r="B55" s="1855" t="s">
        <v>244</v>
      </c>
      <c r="C55" s="1826"/>
      <c r="D55" s="1826"/>
      <c r="E55" s="2771"/>
      <c r="F55" s="2770"/>
      <c r="G55" s="1826"/>
      <c r="H55" s="1826"/>
      <c r="I55" s="1826"/>
      <c r="J55" s="1826"/>
      <c r="K55" s="1826"/>
      <c r="L55" s="1851"/>
      <c r="M55" s="1833"/>
      <c r="N55" s="1833"/>
      <c r="P55" s="1828"/>
      <c r="Q55" s="1829"/>
      <c r="R55" s="1828"/>
      <c r="S55" s="1834"/>
      <c r="T55" s="1837" t="s">
        <v>321</v>
      </c>
      <c r="U55" s="1836"/>
      <c r="V55" s="1836"/>
      <c r="W55" s="1836"/>
      <c r="X55" s="1836"/>
      <c r="Y55" s="1836"/>
      <c r="Z55" s="1836"/>
      <c r="AA55" s="1836"/>
      <c r="AB55" s="1836"/>
      <c r="AC55" s="1836"/>
      <c r="AD55" s="1836"/>
      <c r="AE55" s="1836"/>
      <c r="AF55" s="1836"/>
      <c r="AG55" s="1836"/>
      <c r="AH55" s="1836"/>
      <c r="AI55" s="1836"/>
      <c r="AJ55" s="1836"/>
      <c r="AK55" s="1836"/>
      <c r="AL55" s="1836"/>
      <c r="AM55" s="1836"/>
      <c r="AO55" s="1301"/>
      <c r="AP55" s="1301" t="str">
        <f>IF(T55="","",T55)</f>
        <v>Добавить централизованную систему для дифференциации</v>
      </c>
      <c r="AQ55" s="1301"/>
      <c r="AR55" s="1301"/>
      <c r="AS55" s="1030">
        <v>1</v>
      </c>
    </row>
    <row s="46890" customFormat="1" customHeight="1" ht="1.05">
      <c r="A56" s="1855" t="s">
        <v>243</v>
      </c>
      <c r="B56" s="1855"/>
      <c r="C56" s="1855"/>
      <c r="D56" s="1855"/>
      <c r="E56" s="2770"/>
      <c r="F56" s="1855"/>
      <c r="G56" s="1855"/>
      <c r="H56" s="1855"/>
      <c r="I56" s="1855"/>
      <c r="J56" s="1855"/>
      <c r="K56" s="1855"/>
      <c r="L56" s="1858"/>
      <c r="M56" s="1833"/>
      <c r="N56" s="1833"/>
      <c r="O56" s="1030"/>
      <c r="P56" s="892"/>
      <c r="Q56" s="1856"/>
      <c r="R56" s="892"/>
      <c r="S56" s="1834"/>
      <c r="T56" s="1837" t="s">
        <v>385</v>
      </c>
      <c r="U56" s="1836"/>
      <c r="V56" s="1836"/>
      <c r="W56" s="1836"/>
      <c r="X56" s="1836"/>
      <c r="Y56" s="1836"/>
      <c r="Z56" s="1836"/>
      <c r="AA56" s="1836"/>
      <c r="AB56" s="1836"/>
      <c r="AC56" s="1836"/>
      <c r="AD56" s="1836"/>
      <c r="AE56" s="1836"/>
      <c r="AF56" s="1836"/>
      <c r="AG56" s="1836"/>
      <c r="AH56" s="1836"/>
      <c r="AI56" s="1836"/>
      <c r="AJ56" s="1836"/>
      <c r="AK56" s="1836"/>
      <c r="AL56" s="1836"/>
      <c r="AM56" s="1836"/>
      <c r="AO56" s="1012"/>
      <c r="AP56" s="1012" t="str">
        <f>IF(T56="","",T56)</f>
        <v>Добавить территорию для дифференциации</v>
      </c>
      <c r="AQ56" s="1012"/>
      <c r="AR56" s="1012"/>
      <c r="AS56" s="1023">
        <v>1</v>
      </c>
    </row>
    <row s="46890" customFormat="1" customHeight="1" ht="1.05">
      <c r="A57" s="1826"/>
      <c r="B57" s="1826"/>
      <c r="C57" s="1826"/>
      <c r="D57" s="1826"/>
      <c r="E57" s="1855"/>
      <c r="F57" s="1826"/>
      <c r="G57" s="1826"/>
      <c r="H57" s="1826"/>
      <c r="I57" s="1826"/>
      <c r="J57" s="1826"/>
      <c r="K57" s="1826"/>
      <c r="L57" s="1851"/>
      <c r="M57" s="1833"/>
      <c r="N57" s="1833"/>
      <c r="P57" s="1828"/>
      <c r="Q57" s="1829"/>
      <c r="R57" s="1828"/>
      <c r="S57" s="1834"/>
      <c r="T57" s="1837" t="s">
        <v>386</v>
      </c>
      <c r="U57" s="1836"/>
      <c r="V57" s="1836"/>
      <c r="W57" s="1836"/>
      <c r="X57" s="1836"/>
      <c r="Y57" s="1836"/>
      <c r="Z57" s="1836"/>
      <c r="AA57" s="1836"/>
      <c r="AB57" s="1836"/>
      <c r="AC57" s="1836"/>
      <c r="AD57" s="1836"/>
      <c r="AE57" s="1836"/>
      <c r="AF57" s="1836"/>
      <c r="AG57" s="1836"/>
      <c r="AH57" s="1836"/>
      <c r="AI57" s="1836"/>
      <c r="AJ57" s="1836"/>
      <c r="AK57" s="1836"/>
      <c r="AL57" s="1836"/>
      <c r="AM57" s="1836"/>
      <c r="AO57" s="1301"/>
      <c r="AP57" s="1301" t="str">
        <f>IF(T57="","",T57)</f>
        <v>Добавить наименование тарифа</v>
      </c>
      <c r="AQ57" s="1301"/>
      <c r="AR57" s="1301"/>
      <c r="AS57" s="1030">
        <v>1</v>
      </c>
    </row>
    <row customHeight="1" ht="11.549999999999999">
      <c r="M58" s="1672"/>
      <c r="N58" s="1672"/>
      <c r="O58" s="1049"/>
      <c r="P58" s="1667"/>
      <c r="Q58" s="1667"/>
      <c r="R58" s="1667"/>
      <c r="S58" s="1667"/>
      <c r="AN58" s="1667"/>
      <c r="AO58" s="1667"/>
      <c r="AP58" s="1667"/>
      <c r="AQ58" s="1667"/>
      <c r="AR58" s="1667"/>
      <c r="AS58" s="1667">
        <v>11</v>
      </c>
    </row>
    <row customHeight="1" ht="28.5">
      <c r="O59" s="1049"/>
      <c r="S59" s="1765"/>
      <c r="T59" s="2797"/>
      <c r="U59" s="2797"/>
      <c r="V59" s="2797"/>
      <c r="W59" s="2797"/>
      <c r="X59" s="2797"/>
      <c r="Y59" s="2797"/>
      <c r="Z59" s="2797"/>
      <c r="AA59" s="2797"/>
      <c r="AB59" s="2797"/>
      <c r="AC59" s="2797"/>
      <c r="AD59" s="2797"/>
      <c r="AE59" s="2797"/>
      <c r="AF59" s="2797"/>
      <c r="AG59" s="2797"/>
      <c r="AH59" s="2797"/>
      <c r="AI59" s="2797"/>
      <c r="AJ59" s="2797"/>
      <c r="AK59" s="2797"/>
      <c r="AL59" s="2797"/>
      <c r="AM59" s="2797"/>
      <c r="AS59" s="1667">
        <v>27</v>
      </c>
    </row>
    <row customHeight="1" ht="78.75">
      <c r="O60" s="1049"/>
      <c r="T60" s="2797"/>
      <c r="U60" s="2797"/>
      <c r="V60" s="2797"/>
      <c r="W60" s="2797"/>
      <c r="X60" s="2797"/>
      <c r="Y60" s="2797"/>
      <c r="Z60" s="2797"/>
      <c r="AA60" s="2797"/>
      <c r="AB60" s="2797"/>
      <c r="AC60" s="2797"/>
      <c r="AD60" s="2797"/>
      <c r="AE60" s="2797"/>
      <c r="AF60" s="2797"/>
      <c r="AG60" s="2797"/>
      <c r="AH60" s="2797"/>
      <c r="AI60" s="2797"/>
      <c r="AJ60" s="2797"/>
      <c r="AK60" s="2797"/>
      <c r="AL60" s="2797"/>
      <c r="AM60" s="2797"/>
      <c r="AS60" s="1667">
        <v>75</v>
      </c>
    </row>
    <row customHeight="1" ht="14.699999999999998">
      <c r="O61" s="1049"/>
      <c r="AS61" s="1667">
        <v>14</v>
      </c>
    </row>
    <row customHeight="1" ht="18.75">
      <c r="O62" s="1049"/>
      <c r="S62" s="1765"/>
      <c r="T62" s="2797"/>
      <c r="U62" s="2797"/>
      <c r="V62" s="2797"/>
      <c r="W62" s="2797"/>
      <c r="X62" s="2797"/>
      <c r="Y62" s="2797"/>
      <c r="Z62" s="2797"/>
      <c r="AA62" s="2797"/>
      <c r="AB62" s="2797"/>
      <c r="AC62" s="2797"/>
      <c r="AD62" s="2797"/>
      <c r="AE62" s="2797"/>
      <c r="AF62" s="2797"/>
      <c r="AG62" s="2797"/>
      <c r="AH62" s="2797"/>
      <c r="AI62" s="2797"/>
      <c r="AJ62" s="2797"/>
      <c r="AK62" s="2797"/>
      <c r="AL62" s="2797"/>
      <c r="AM62" s="2797"/>
      <c r="AS62" s="1667">
        <v>18</v>
      </c>
    </row>
    <row customHeight="1" ht="18.75">
      <c r="O63" s="1049"/>
      <c r="T63" s="2797"/>
      <c r="U63" s="2797"/>
      <c r="V63" s="2797"/>
      <c r="W63" s="2797"/>
      <c r="X63" s="2797"/>
      <c r="Y63" s="2797"/>
      <c r="Z63" s="2797"/>
      <c r="AA63" s="2797"/>
      <c r="AB63" s="2797"/>
      <c r="AC63" s="2797"/>
      <c r="AD63" s="2797"/>
      <c r="AE63" s="2797"/>
      <c r="AF63" s="2797"/>
      <c r="AG63" s="2797"/>
      <c r="AH63" s="2797"/>
      <c r="AI63" s="2797"/>
      <c r="AJ63" s="2797"/>
      <c r="AK63" s="2797"/>
      <c r="AL63" s="2797"/>
      <c r="AM63" s="2797"/>
      <c r="AS63" s="1667">
        <v>18</v>
      </c>
    </row>
    <row customHeight="1" ht="39.75">
      <c r="O64" s="1049"/>
      <c r="S64" s="1765"/>
      <c r="T64" s="2797"/>
      <c r="U64" s="2797"/>
      <c r="V64" s="2797"/>
      <c r="W64" s="2797"/>
      <c r="X64" s="2797"/>
      <c r="Y64" s="2797"/>
      <c r="Z64" s="2797"/>
      <c r="AA64" s="2797"/>
      <c r="AB64" s="2797"/>
      <c r="AC64" s="2797"/>
      <c r="AD64" s="2797"/>
      <c r="AE64" s="2797"/>
      <c r="AF64" s="2797"/>
      <c r="AG64" s="2797"/>
      <c r="AH64" s="2797"/>
      <c r="AI64" s="2797"/>
      <c r="AJ64" s="2797"/>
      <c r="AK64" s="2797"/>
      <c r="AL64" s="2797"/>
      <c r="AM64" s="2797"/>
      <c r="AS64" s="1667">
        <v>38</v>
      </c>
    </row>
    <row customHeight="1" ht="22.5" hidden="1">
      <c r="A65" s="1672" t="s">
        <v>84</v>
      </c>
      <c r="B65" s="1672">
        <v>0</v>
      </c>
      <c r="C65" s="1672">
        <v>0</v>
      </c>
      <c r="D65" s="1672">
        <v>0</v>
      </c>
      <c r="E65" s="1672">
        <v>0</v>
      </c>
      <c r="F65" s="1672">
        <v>0</v>
      </c>
      <c r="G65" s="1672">
        <v>0</v>
      </c>
      <c r="H65" s="1672">
        <v>0</v>
      </c>
      <c r="I65" s="1672">
        <v>0</v>
      </c>
      <c r="J65" s="1672">
        <v>0</v>
      </c>
      <c r="K65" s="1672">
        <v>0</v>
      </c>
      <c r="L65" s="1841">
        <v>0</v>
      </c>
      <c r="M65" s="1874">
        <v>0</v>
      </c>
      <c r="N65" s="1874">
        <v>0</v>
      </c>
      <c r="O65" s="1874">
        <v>0</v>
      </c>
      <c r="P65" s="1840">
        <v>3</v>
      </c>
      <c r="Q65" s="856">
        <v>3</v>
      </c>
      <c r="R65" s="856">
        <v>3</v>
      </c>
      <c r="S65" s="1093">
        <v>12</v>
      </c>
      <c r="T65" s="1667">
        <v>31</v>
      </c>
      <c r="U65" s="1667">
        <v>0</v>
      </c>
      <c r="V65" s="1667">
        <v>0</v>
      </c>
      <c r="W65" s="1667">
        <v>0</v>
      </c>
      <c r="X65" s="1667">
        <v>0</v>
      </c>
      <c r="Y65" s="1667">
        <v>0</v>
      </c>
      <c r="Z65" s="1667">
        <v>0</v>
      </c>
      <c r="AA65" s="1667">
        <v>0</v>
      </c>
      <c r="AB65" s="1667">
        <v>0</v>
      </c>
      <c r="AC65" s="1667">
        <v>0</v>
      </c>
      <c r="AD65" s="1667">
        <v>0</v>
      </c>
      <c r="AE65" s="1667">
        <v>24</v>
      </c>
      <c r="AF65" s="1667">
        <v>0</v>
      </c>
      <c r="AG65" s="1667">
        <v>0</v>
      </c>
      <c r="AH65" s="1667">
        <v>11</v>
      </c>
      <c r="AI65" s="1667">
        <v>3</v>
      </c>
      <c r="AJ65" s="1667">
        <v>11</v>
      </c>
      <c r="AK65" s="1667">
        <v>0</v>
      </c>
      <c r="AL65" s="1667">
        <v>4</v>
      </c>
      <c r="AM65" s="1667">
        <v>115</v>
      </c>
      <c r="AN65" s="1023">
        <v>10</v>
      </c>
      <c r="AO65" s="1023">
        <v>10</v>
      </c>
      <c r="AP65" s="1023">
        <v>10</v>
      </c>
      <c r="AQ65" s="1023">
        <v>10</v>
      </c>
      <c r="AR65" s="1023">
        <v>10</v>
      </c>
      <c r="AS65" s="1667">
        <v>23</v>
      </c>
    </row>
  </sheetData>
  <sheetProtection formatColumns="0" formatRows="0" autoFilter="0" sort="0" insertRows="0" insertColumns="1" deleteRows="0" deleteColumns="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CEE1215-3372-42DD-AC4E-22671B1A0B58}"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46889" width="10.57421875" hidden="1"/>
    <col min="2" max="2" style="46889" width="11.00390625" hidden="1" customWidth="1"/>
    <col min="3" max="3" style="46889" width="10.57421875" hidden="1"/>
    <col min="4" max="4" style="46889" width="11.8515625" hidden="1" customWidth="1"/>
    <col min="5" max="5" style="46889" width="10.00390625" hidden="1" customWidth="1"/>
    <col min="6" max="6" style="46889" width="8.7109375" hidden="1" customWidth="1"/>
    <col min="7" max="7" style="46889" width="7.57421875" hidden="1" customWidth="1"/>
    <col min="8" max="8" style="46889" width="11.421875" hidden="1" customWidth="1"/>
    <col min="9" max="9" style="46889" width="12.00390625" hidden="1" customWidth="1"/>
    <col min="10" max="10" style="46889" width="9.8515625" hidden="1" customWidth="1"/>
    <col min="11" max="11" style="46889" width="11.421875" hidden="1" customWidth="1"/>
    <col min="12" max="12" style="47738" width="19.140625" hidden="1" customWidth="1"/>
    <col min="13" max="14" style="47739" width="12.28125" hidden="1" customWidth="1"/>
    <col min="15" max="15" style="47739" width="23.421875" hidden="1" customWidth="1"/>
    <col min="16" max="16" style="47740" width="3.7109375" hidden="1" customWidth="1"/>
    <col min="17" max="18" style="47741" width="3.00390625" customWidth="1"/>
    <col min="19" max="19" style="47742" width="12.00390625" customWidth="1"/>
    <col min="20" max="20" style="46808" width="31.00390625" customWidth="1"/>
    <col min="21" max="21" style="46808" width="0.140625" customWidth="1"/>
    <col min="22" max="22" style="46808" width="24.7109375" hidden="1" customWidth="1"/>
    <col min="23" max="23" style="46808" width="0.140625" hidden="1" customWidth="1"/>
    <col min="24" max="25" style="46808" width="24.7109375" hidden="1" customWidth="1"/>
    <col min="26" max="26" style="46808" width="11.7109375" hidden="1" customWidth="1"/>
    <col min="27" max="27" style="46808" width="3.7109375" hidden="1" customWidth="1"/>
    <col min="28" max="28" style="46808" width="11.7109375" hidden="1" customWidth="1"/>
    <col min="29" max="29" style="46808" width="8.57421875" hidden="1" customWidth="1"/>
    <col min="30" max="30" style="46808" width="24.7109375" customWidth="1"/>
    <col min="31" max="31" style="46808" width="0.140625" customWidth="1"/>
    <col min="32" max="33" style="46808" width="24.00390625" customWidth="1"/>
    <col min="34" max="34" style="46808" width="11.00390625" customWidth="1"/>
    <col min="35" max="35" style="46808" width="3.7109375" customWidth="1"/>
    <col min="36" max="36" style="46808" width="11.00390625" customWidth="1"/>
    <col min="37" max="37" style="46808" width="8.57421875" hidden="1" customWidth="1"/>
    <col min="38" max="38" style="46808" width="4.00390625" customWidth="1"/>
    <col min="39" max="39" style="46808" width="115.00390625" customWidth="1"/>
    <col min="40" max="44" style="46890" width="10.00390625" customWidth="1"/>
    <col min="45" max="45" style="46808" width="8.421875" hidden="1" customWidth="1"/>
  </cols>
  <sheetData>
    <row customHeight="1" ht="22.5" hidden="1">
      <c r="Y1" s="839"/>
      <c r="Z1" s="839"/>
      <c r="AG1" s="839"/>
      <c r="AH1" s="839"/>
      <c r="AS1" s="1667" t="s">
        <v>14</v>
      </c>
    </row>
    <row customHeight="1" ht="21" hidden="1">
      <c r="A2" s="1875"/>
      <c r="B2" s="1875"/>
      <c r="C2" s="1875"/>
      <c r="D2" s="1875"/>
      <c r="E2" s="2770">
        <v>1</v>
      </c>
      <c r="F2" s="1875"/>
      <c r="G2" s="1875"/>
      <c r="H2" s="1875"/>
      <c r="I2" s="1875"/>
      <c r="J2" s="1875"/>
      <c r="K2" s="1875"/>
      <c r="L2" s="1876"/>
      <c r="M2" s="1877"/>
      <c r="N2" s="1877"/>
      <c r="O2" s="1877"/>
      <c r="P2" s="873"/>
      <c r="Q2" s="872"/>
      <c r="R2" s="867"/>
      <c r="S2" s="1848">
        <f>INDEX(PT_DIFFERENTIATION_NUM_NTAR,MATCH(A2,PT_DIFFERENTIATION_NTAR_ID,0))</f>
      </c>
      <c r="T2" s="810" t="s">
        <v>179</v>
      </c>
      <c r="U2" s="812"/>
      <c r="V2" s="2754"/>
      <c r="W2" s="2755"/>
      <c r="X2" s="2755"/>
      <c r="Y2" s="2755"/>
      <c r="Z2" s="2755"/>
      <c r="AA2" s="2755"/>
      <c r="AB2" s="2755"/>
      <c r="AC2" s="2756"/>
      <c r="AD2" s="2754">
        <f>INDEX(PT_DIFFERENTIATION_NTAR,MATCH(A2,PT_DIFFERENTIATION_NTAR_ID,0))</f>
      </c>
      <c r="AE2" s="2755"/>
      <c r="AF2" s="2755"/>
      <c r="AG2" s="2755"/>
      <c r="AH2" s="2755"/>
      <c r="AI2" s="2755"/>
      <c r="AJ2" s="2755"/>
      <c r="AK2" s="2755"/>
      <c r="AL2" s="2756"/>
      <c r="AM2" s="1770" t="s">
        <v>514</v>
      </c>
      <c r="AO2" s="1012"/>
      <c r="AP2" s="1012" t="str">
        <f>IF(T2="","",T2)</f>
        <v>Наименование тарифа</v>
      </c>
      <c r="AQ2" s="1012"/>
      <c r="AR2" s="1012"/>
      <c r="AS2" s="1667">
        <v>0</v>
      </c>
    </row>
    <row customHeight="1" ht="21" hidden="1">
      <c r="A3" s="1875"/>
      <c r="B3" s="1875"/>
      <c r="C3" s="1875"/>
      <c r="D3" s="1875"/>
      <c r="E3" s="2771"/>
      <c r="F3" s="2770">
        <v>1</v>
      </c>
      <c r="G3" s="1875"/>
      <c r="H3" s="1875"/>
      <c r="I3" s="1875"/>
      <c r="J3" s="1875"/>
      <c r="K3" s="1875"/>
      <c r="L3" s="1876"/>
      <c r="M3" s="1877"/>
      <c r="N3" s="1877"/>
      <c r="O3" s="1877"/>
      <c r="P3" s="1844"/>
      <c r="Q3" s="864"/>
      <c r="R3" s="865"/>
      <c r="S3" s="1848">
        <f>INDEX(PT_DIFFERENTIATION_NUM_TER,MATCH(B3,PT_DIFFERENTIATION_TER_ID,0))</f>
      </c>
      <c r="T3" s="820" t="s">
        <v>515</v>
      </c>
      <c r="U3" s="812"/>
      <c r="V3" s="2754"/>
      <c r="W3" s="2755"/>
      <c r="X3" s="2755"/>
      <c r="Y3" s="2755"/>
      <c r="Z3" s="2755"/>
      <c r="AA3" s="2755"/>
      <c r="AB3" s="2755"/>
      <c r="AC3" s="2756"/>
      <c r="AD3" s="2754">
        <f>INDEX(PT_DIFFERENTIATION_TER,MATCH(B3,PT_DIFFERENTIATION_TER_ID,0))</f>
      </c>
      <c r="AE3" s="2755"/>
      <c r="AF3" s="2755"/>
      <c r="AG3" s="2755"/>
      <c r="AH3" s="2755"/>
      <c r="AI3" s="2755"/>
      <c r="AJ3" s="2755"/>
      <c r="AK3" s="2755"/>
      <c r="AL3" s="2756"/>
      <c r="AM3" s="1770" t="s">
        <v>516</v>
      </c>
      <c r="AO3" s="1012"/>
      <c r="AP3" s="1012" t="str">
        <f>IF(T3="","",T3)</f>
        <v>Территория действия тарифа</v>
      </c>
      <c r="AQ3" s="1012"/>
      <c r="AR3" s="1012"/>
      <c r="AS3" s="1667">
        <v>0</v>
      </c>
    </row>
    <row customHeight="1" ht="23.25" hidden="1">
      <c r="A4" s="1875"/>
      <c r="B4" s="1875"/>
      <c r="C4" s="1875"/>
      <c r="D4" s="1875"/>
      <c r="E4" s="2771"/>
      <c r="F4" s="2771"/>
      <c r="G4" s="2770">
        <v>1</v>
      </c>
      <c r="H4" s="1875"/>
      <c r="I4" s="1875"/>
      <c r="J4" s="1875"/>
      <c r="K4" s="1875"/>
      <c r="L4" s="1876"/>
      <c r="M4" s="1877"/>
      <c r="N4" s="1877"/>
      <c r="O4" s="1877"/>
      <c r="P4" s="866"/>
      <c r="Q4" s="864"/>
      <c r="R4" s="865"/>
      <c r="S4" s="1848">
        <f>INDEX(PT_DIFFERENTIATION_NUM_CS,MATCH(C4,PT_DIFFERENTIATION_CS_ID,0))</f>
      </c>
      <c r="T4" s="821" t="s">
        <v>517</v>
      </c>
      <c r="U4" s="812"/>
      <c r="V4" s="2754"/>
      <c r="W4" s="2755"/>
      <c r="X4" s="2755"/>
      <c r="Y4" s="2755"/>
      <c r="Z4" s="2755"/>
      <c r="AA4" s="2755"/>
      <c r="AB4" s="2755"/>
      <c r="AC4" s="2756"/>
      <c r="AD4" s="2754">
        <f>INDEX(PT_DIFFERENTIATION_CS,MATCH(C4,PT_DIFFERENTIATION_CS_ID,0))</f>
      </c>
      <c r="AE4" s="2755"/>
      <c r="AF4" s="2755"/>
      <c r="AG4" s="2755"/>
      <c r="AH4" s="2755"/>
      <c r="AI4" s="2755"/>
      <c r="AJ4" s="2755"/>
      <c r="AK4" s="2755"/>
      <c r="AL4" s="2756"/>
      <c r="AM4" s="1770" t="s">
        <v>518</v>
      </c>
      <c r="AO4" s="1012"/>
      <c r="AP4" s="1012" t="str">
        <f>IF(T4="","",T4)</f>
        <v>Наименование системы теплоснабжения </v>
      </c>
      <c r="AQ4" s="1012"/>
      <c r="AR4" s="1012"/>
      <c r="AS4" s="1667">
        <v>0</v>
      </c>
    </row>
    <row customHeight="1" ht="21" hidden="1">
      <c r="A5" s="1875"/>
      <c r="B5" s="1875"/>
      <c r="C5" s="1875"/>
      <c r="D5" s="1875"/>
      <c r="E5" s="2771"/>
      <c r="F5" s="2771"/>
      <c r="G5" s="2771"/>
      <c r="H5" s="2770">
        <v>1</v>
      </c>
      <c r="I5" s="1875"/>
      <c r="J5" s="1875"/>
      <c r="K5" s="1875"/>
      <c r="L5" s="1876"/>
      <c r="M5" s="1877"/>
      <c r="N5" s="1877"/>
      <c r="O5" s="1877"/>
      <c r="P5" s="866"/>
      <c r="Q5" s="864"/>
      <c r="R5" s="865"/>
      <c r="S5" s="1848">
        <f>INDEX(PT_DIFFERENTIATION_NUM_IST_TE,MATCH(D5,PT_DIFFERENTIATION_IST_TE_ID,0))</f>
      </c>
      <c r="T5" s="822" t="s">
        <v>519</v>
      </c>
      <c r="U5" s="812"/>
      <c r="V5" s="2754"/>
      <c r="W5" s="2755"/>
      <c r="X5" s="2755"/>
      <c r="Y5" s="2755"/>
      <c r="Z5" s="2755"/>
      <c r="AA5" s="2755"/>
      <c r="AB5" s="2755"/>
      <c r="AC5" s="2756"/>
      <c r="AD5" s="2754">
        <f>INDEX(PT_DIFFERENTIATION_IST_TE,MATCH(D5,PT_DIFFERENTIATION_IST_TE_ID,0))</f>
      </c>
      <c r="AE5" s="2755"/>
      <c r="AF5" s="2755"/>
      <c r="AG5" s="2755"/>
      <c r="AH5" s="2755"/>
      <c r="AI5" s="2755"/>
      <c r="AJ5" s="2755"/>
      <c r="AK5" s="2755"/>
      <c r="AL5" s="2756"/>
      <c r="AM5" s="1770" t="s">
        <v>520</v>
      </c>
      <c r="AO5" s="1012"/>
      <c r="AP5" s="1012" t="str">
        <f>IF(T5="","",T5)</f>
        <v>Источник тепловой энергии  </v>
      </c>
      <c r="AQ5" s="1012"/>
      <c r="AR5" s="1012"/>
      <c r="AS5" s="1667">
        <v>0</v>
      </c>
    </row>
    <row customHeight="1" ht="14.25" hidden="1">
      <c r="A6" s="1875"/>
      <c r="B6" s="1875"/>
      <c r="C6" s="1875"/>
      <c r="D6" s="1875"/>
      <c r="E6" s="2771"/>
      <c r="F6" s="2771"/>
      <c r="G6" s="2771"/>
      <c r="H6" s="2771"/>
      <c r="I6" s="2768">
        <f>S5&amp;".1"</f>
      </c>
      <c r="J6" s="1875"/>
      <c r="K6" s="1875"/>
      <c r="L6" s="1876" t="s">
        <v>521</v>
      </c>
      <c r="M6" s="1049"/>
      <c r="P6" s="2769">
        <v>1</v>
      </c>
      <c r="Q6" s="1843"/>
      <c r="R6" s="868"/>
      <c r="S6" s="1554"/>
      <c r="T6" s="1895"/>
      <c r="U6" s="1896"/>
      <c r="V6" s="2808"/>
      <c r="W6" s="2809"/>
      <c r="X6" s="2809"/>
      <c r="Y6" s="2809"/>
      <c r="Z6" s="2809"/>
      <c r="AA6" s="2809"/>
      <c r="AB6" s="2809"/>
      <c r="AC6" s="2810"/>
      <c r="AD6" s="2808"/>
      <c r="AE6" s="2809"/>
      <c r="AF6" s="2809"/>
      <c r="AG6" s="2809"/>
      <c r="AH6" s="2809"/>
      <c r="AI6" s="2809"/>
      <c r="AJ6" s="2809"/>
      <c r="AK6" s="2809"/>
      <c r="AL6" s="2810"/>
      <c r="AM6" s="1897"/>
      <c r="AO6" s="1012"/>
      <c r="AP6" s="1012" t="str">
        <f>IF(T6="","",T6)</f>
        <v/>
      </c>
      <c r="AQ6" s="1012"/>
      <c r="AR6" s="1012"/>
      <c r="AS6" s="1667">
        <v>0</v>
      </c>
    </row>
    <row customHeight="1" ht="21" hidden="1">
      <c r="A7" s="1875"/>
      <c r="B7" s="1875"/>
      <c r="C7" s="1875"/>
      <c r="D7" s="1875"/>
      <c r="E7" s="2771"/>
      <c r="F7" s="2771"/>
      <c r="G7" s="2771"/>
      <c r="H7" s="2771"/>
      <c r="I7" s="2798"/>
      <c r="J7" s="2768">
        <f>I6&amp;".1"</f>
      </c>
      <c r="K7" s="1875"/>
      <c r="L7" s="1876" t="s">
        <v>524</v>
      </c>
      <c r="M7" s="1049"/>
      <c r="N7" s="1878"/>
      <c r="P7" s="2769"/>
      <c r="Q7" s="2769">
        <v>1</v>
      </c>
      <c r="R7" s="869"/>
      <c r="S7" s="1848">
        <f>$J7</f>
      </c>
      <c r="T7" s="798" t="s">
        <v>525</v>
      </c>
      <c r="U7" s="812"/>
      <c r="V7" s="2757"/>
      <c r="W7" s="2758"/>
      <c r="X7" s="2758"/>
      <c r="Y7" s="2758"/>
      <c r="Z7" s="2758"/>
      <c r="AA7" s="2758"/>
      <c r="AB7" s="2758"/>
      <c r="AC7" s="2759"/>
      <c r="AD7" s="2757"/>
      <c r="AE7" s="2758"/>
      <c r="AF7" s="2758"/>
      <c r="AG7" s="2758"/>
      <c r="AH7" s="2758"/>
      <c r="AI7" s="2758"/>
      <c r="AJ7" s="2758"/>
      <c r="AK7" s="2758"/>
      <c r="AL7" s="2759"/>
      <c r="AM7" s="1770" t="s">
        <v>526</v>
      </c>
      <c r="AO7" s="1012"/>
      <c r="AP7" s="1012" t="str">
        <f>IF(T7="","",T7)</f>
        <v>Группа потребителей</v>
      </c>
      <c r="AQ7" s="1012"/>
      <c r="AR7" s="1012"/>
      <c r="AS7" s="1667">
        <v>0</v>
      </c>
    </row>
    <row customHeight="1" ht="21" hidden="1">
      <c r="A8" s="1875"/>
      <c r="B8" s="1875"/>
      <c r="C8" s="1875"/>
      <c r="D8" s="1875"/>
      <c r="E8" s="2771"/>
      <c r="F8" s="2771"/>
      <c r="G8" s="2771"/>
      <c r="H8" s="2771"/>
      <c r="I8" s="2798"/>
      <c r="J8" s="2798"/>
      <c r="K8" s="2768">
        <f>J7&amp;".1"</f>
      </c>
      <c r="L8" s="1876" t="s">
        <v>527</v>
      </c>
      <c r="M8" s="1049"/>
      <c r="N8" s="1878"/>
      <c r="O8" s="1878"/>
      <c r="P8" s="2769"/>
      <c r="Q8" s="2769"/>
      <c r="R8" s="869">
        <v>1</v>
      </c>
      <c r="S8" s="1848">
        <f>$K8</f>
      </c>
      <c r="T8" s="1859"/>
      <c r="U8" s="812"/>
      <c r="V8" s="1263"/>
      <c r="W8" s="837"/>
      <c r="X8" s="1263"/>
      <c r="Y8" s="1769"/>
      <c r="Z8" s="2777"/>
      <c r="AA8" s="2619" t="s">
        <v>63</v>
      </c>
      <c r="AB8" s="2777"/>
      <c r="AC8" s="2619" t="s">
        <v>63</v>
      </c>
      <c r="AD8" s="1263"/>
      <c r="AE8" s="837"/>
      <c r="AF8" s="1263"/>
      <c r="AG8" s="1769"/>
      <c r="AH8" s="2777"/>
      <c r="AI8" s="2619" t="s">
        <v>63</v>
      </c>
      <c r="AJ8" s="2777"/>
      <c r="AK8" s="2619" t="s">
        <v>63</v>
      </c>
      <c r="AL8" s="837"/>
      <c r="AM8" s="2765" t="s">
        <v>528</v>
      </c>
      <c r="AN8" s="1023">
        <f>STRCHECKDATE(V9:AL9)</f>
      </c>
      <c r="AO8" s="1012"/>
      <c r="AP8" s="1012" t="str">
        <f>IF(T8="","",T8)</f>
        <v/>
      </c>
      <c r="AQ8" s="1012"/>
      <c r="AR8" s="1012"/>
      <c r="AS8" s="1667">
        <v>0</v>
      </c>
    </row>
    <row customHeight="1" ht="0.75" hidden="1">
      <c r="A9" s="1875"/>
      <c r="B9" s="1875"/>
      <c r="C9" s="1875"/>
      <c r="D9" s="1875"/>
      <c r="E9" s="2771"/>
      <c r="F9" s="2771"/>
      <c r="G9" s="2771"/>
      <c r="H9" s="2771"/>
      <c r="I9" s="2798"/>
      <c r="J9" s="2798"/>
      <c r="K9" s="2768"/>
      <c r="L9" s="1876"/>
      <c r="M9" s="1049"/>
      <c r="N9" s="1878"/>
      <c r="O9" s="1878"/>
      <c r="P9" s="2769"/>
      <c r="Q9" s="2769"/>
      <c r="R9" s="869"/>
      <c r="S9" s="1854"/>
      <c r="T9" s="812"/>
      <c r="U9" s="812"/>
      <c r="V9" s="837"/>
      <c r="W9" s="837"/>
      <c r="X9" s="837"/>
      <c r="Y9" s="840" t="str">
        <f>Z8&amp;"-"&amp;AB8</f>
        <v>-</v>
      </c>
      <c r="Z9" s="2778"/>
      <c r="AA9" s="2619"/>
      <c r="AB9" s="2778"/>
      <c r="AC9" s="2619"/>
      <c r="AD9" s="837"/>
      <c r="AE9" s="837"/>
      <c r="AF9" s="837"/>
      <c r="AG9" s="840" t="str">
        <f>AH8&amp;"-"&amp;AJ8</f>
        <v>-</v>
      </c>
      <c r="AH9" s="2778"/>
      <c r="AI9" s="2619"/>
      <c r="AJ9" s="2778"/>
      <c r="AK9" s="2619"/>
      <c r="AL9" s="837"/>
      <c r="AM9" s="2766"/>
      <c r="AO9" s="1012"/>
      <c r="AP9" s="1012" t="str">
        <f>IF(T9="","",T9)</f>
        <v/>
      </c>
      <c r="AQ9" s="1012"/>
      <c r="AR9" s="1012"/>
      <c r="AS9" s="1667">
        <v>0</v>
      </c>
    </row>
    <row customHeight="1" ht="15" hidden="1">
      <c r="A10" s="1875"/>
      <c r="B10" s="1875"/>
      <c r="C10" s="1875"/>
      <c r="D10" s="1875"/>
      <c r="E10" s="2771"/>
      <c r="F10" s="2771"/>
      <c r="G10" s="2771"/>
      <c r="H10" s="2771"/>
      <c r="I10" s="2798"/>
      <c r="J10" s="2768"/>
      <c r="K10" s="1875"/>
      <c r="L10" s="1876"/>
      <c r="M10" s="1049"/>
      <c r="N10" s="1878"/>
      <c r="P10" s="2769"/>
      <c r="Q10" s="2769"/>
      <c r="R10" s="868"/>
      <c r="S10" s="1790"/>
      <c r="T10" s="799" t="s">
        <v>529</v>
      </c>
      <c r="U10" s="879"/>
      <c r="V10" s="879"/>
      <c r="W10" s="879"/>
      <c r="X10" s="879"/>
      <c r="Y10" s="879"/>
      <c r="Z10" s="879"/>
      <c r="AA10" s="879"/>
      <c r="AB10" s="879"/>
      <c r="AC10" s="879"/>
      <c r="AD10" s="879"/>
      <c r="AE10" s="879"/>
      <c r="AF10" s="879"/>
      <c r="AG10" s="879"/>
      <c r="AH10" s="879"/>
      <c r="AI10" s="879"/>
      <c r="AJ10" s="879"/>
      <c r="AK10" s="879"/>
      <c r="AL10" s="836"/>
      <c r="AM10" s="2767"/>
      <c r="AO10" s="1012"/>
      <c r="AP10" s="1012" t="str">
        <f>IF(T10="","",T10)</f>
        <v>Добавить вид теплоносителя (параметры теплоносителя)</v>
      </c>
      <c r="AQ10" s="1012"/>
      <c r="AR10" s="1012"/>
      <c r="AS10" s="1667">
        <v>0</v>
      </c>
    </row>
    <row customHeight="1" ht="15" hidden="1">
      <c r="A11" s="1875"/>
      <c r="B11" s="1875"/>
      <c r="C11" s="1875"/>
      <c r="D11" s="1875"/>
      <c r="E11" s="2771"/>
      <c r="F11" s="2771"/>
      <c r="G11" s="2771"/>
      <c r="H11" s="2771"/>
      <c r="I11" s="2768"/>
      <c r="J11" s="1875"/>
      <c r="K11" s="1875"/>
      <c r="L11" s="1876"/>
      <c r="M11" s="1049"/>
      <c r="P11" s="2769"/>
      <c r="Q11" s="1843"/>
      <c r="R11" s="868"/>
      <c r="S11" s="1790"/>
      <c r="T11" s="877" t="s">
        <v>530</v>
      </c>
      <c r="U11" s="879"/>
      <c r="V11" s="879"/>
      <c r="W11" s="879"/>
      <c r="X11" s="879"/>
      <c r="Y11" s="879"/>
      <c r="Z11" s="879"/>
      <c r="AA11" s="879"/>
      <c r="AB11" s="879"/>
      <c r="AC11" s="878"/>
      <c r="AD11" s="879"/>
      <c r="AE11" s="879"/>
      <c r="AF11" s="879"/>
      <c r="AG11" s="879"/>
      <c r="AH11" s="879"/>
      <c r="AI11" s="879"/>
      <c r="AJ11" s="879"/>
      <c r="AK11" s="878"/>
      <c r="AL11" s="879"/>
      <c r="AM11" s="815"/>
      <c r="AO11" s="1012"/>
      <c r="AP11" s="1012" t="str">
        <f>IF(T11="","",T11)</f>
        <v>Добавить группу потребителей</v>
      </c>
      <c r="AQ11" s="1012"/>
      <c r="AR11" s="1012"/>
      <c r="AS11" s="1667">
        <v>0</v>
      </c>
    </row>
    <row customHeight="1" ht="14.25" hidden="1">
      <c r="A12" s="1875"/>
      <c r="B12" s="1875"/>
      <c r="C12" s="1875"/>
      <c r="D12" s="1875"/>
      <c r="E12" s="2771"/>
      <c r="F12" s="2771"/>
      <c r="G12" s="2771"/>
      <c r="H12" s="2770"/>
      <c r="I12" s="1875"/>
      <c r="J12" s="1875"/>
      <c r="K12" s="1875"/>
      <c r="L12" s="1876"/>
      <c r="M12" s="1877"/>
      <c r="N12" s="1877"/>
      <c r="O12" s="1049"/>
      <c r="P12" s="872"/>
      <c r="Q12" s="887"/>
      <c r="R12" s="867"/>
      <c r="S12" s="1898"/>
      <c r="T12" s="1899"/>
      <c r="U12" s="1900"/>
      <c r="V12" s="1900"/>
      <c r="W12" s="1900"/>
      <c r="X12" s="1900"/>
      <c r="Y12" s="1900"/>
      <c r="Z12" s="1900"/>
      <c r="AA12" s="1900"/>
      <c r="AB12" s="1900"/>
      <c r="AC12" s="1900"/>
      <c r="AD12" s="1900"/>
      <c r="AE12" s="1900"/>
      <c r="AF12" s="1900"/>
      <c r="AG12" s="1900"/>
      <c r="AH12" s="1900"/>
      <c r="AI12" s="1900"/>
      <c r="AJ12" s="1900"/>
      <c r="AK12" s="1900"/>
      <c r="AL12" s="1900"/>
      <c r="AM12" s="1901"/>
      <c r="AO12" s="1012"/>
      <c r="AP12" s="1012" t="str">
        <f>IF(T12="","",T12)</f>
        <v/>
      </c>
      <c r="AQ12" s="1012"/>
      <c r="AR12" s="1012"/>
      <c r="AS12" s="1667">
        <v>0</v>
      </c>
    </row>
    <row s="46890" customFormat="1" customHeight="1" ht="0.75" hidden="1">
      <c r="A13" s="1826"/>
      <c r="B13" s="1826"/>
      <c r="C13" s="1826"/>
      <c r="D13" s="1826"/>
      <c r="E13" s="2771"/>
      <c r="F13" s="2771"/>
      <c r="G13" s="2770"/>
      <c r="H13" s="1826"/>
      <c r="I13" s="1826"/>
      <c r="J13" s="1826"/>
      <c r="K13" s="1826"/>
      <c r="L13" s="1851"/>
      <c r="M13" s="1827"/>
      <c r="N13" s="1827"/>
      <c r="P13" s="1828"/>
      <c r="Q13" s="1829"/>
      <c r="R13" s="1828"/>
      <c r="S13" s="1830"/>
      <c r="T13" s="1831" t="s">
        <v>532</v>
      </c>
      <c r="U13" s="1832"/>
      <c r="V13" s="1832"/>
      <c r="W13" s="1832"/>
      <c r="X13" s="1832"/>
      <c r="Y13" s="1832"/>
      <c r="Z13" s="1832"/>
      <c r="AA13" s="1832"/>
      <c r="AB13" s="1832"/>
      <c r="AC13" s="1832"/>
      <c r="AD13" s="1832"/>
      <c r="AE13" s="1832"/>
      <c r="AF13" s="1832"/>
      <c r="AG13" s="1832"/>
      <c r="AH13" s="1832"/>
      <c r="AI13" s="1832"/>
      <c r="AJ13" s="1832"/>
      <c r="AK13" s="1832"/>
      <c r="AL13" s="1832"/>
      <c r="AM13" s="1832"/>
      <c r="AO13" s="1301"/>
      <c r="AP13" s="1301" t="str">
        <f>IF(T13="","",T13)</f>
        <v>Добавить источник для дифференциации</v>
      </c>
      <c r="AQ13" s="1301"/>
      <c r="AR13" s="1301"/>
      <c r="AS13" s="1030">
        <v>0</v>
      </c>
    </row>
    <row s="46890" customFormat="1" customHeight="1" ht="0.75" hidden="1">
      <c r="A14" s="1826"/>
      <c r="B14" s="1826"/>
      <c r="C14" s="1826"/>
      <c r="D14" s="1826"/>
      <c r="E14" s="2771"/>
      <c r="F14" s="2770"/>
      <c r="G14" s="1826"/>
      <c r="H14" s="1826"/>
      <c r="I14" s="1826"/>
      <c r="J14" s="1826"/>
      <c r="K14" s="1826"/>
      <c r="L14" s="1851"/>
      <c r="M14" s="1833"/>
      <c r="N14" s="1833"/>
      <c r="P14" s="1828"/>
      <c r="Q14" s="1829"/>
      <c r="R14" s="1828"/>
      <c r="S14" s="1834"/>
      <c r="T14" s="1835" t="s">
        <v>321</v>
      </c>
      <c r="U14" s="1836"/>
      <c r="V14" s="1836"/>
      <c r="W14" s="1836"/>
      <c r="X14" s="1836"/>
      <c r="Y14" s="1836"/>
      <c r="Z14" s="1836"/>
      <c r="AA14" s="1836"/>
      <c r="AB14" s="1836"/>
      <c r="AC14" s="1836"/>
      <c r="AD14" s="1836"/>
      <c r="AE14" s="1836"/>
      <c r="AF14" s="1836"/>
      <c r="AG14" s="1836"/>
      <c r="AH14" s="1836"/>
      <c r="AI14" s="1836"/>
      <c r="AJ14" s="1836"/>
      <c r="AK14" s="1836"/>
      <c r="AL14" s="1836"/>
      <c r="AM14" s="1836"/>
      <c r="AO14" s="1301"/>
      <c r="AP14" s="1301" t="str">
        <f>IF(T14="","",T14)</f>
        <v>Добавить централизованную систему для дифференциации</v>
      </c>
      <c r="AQ14" s="1301"/>
      <c r="AR14" s="1301"/>
      <c r="AS14" s="1030">
        <v>0</v>
      </c>
    </row>
    <row s="46890" customFormat="1" customHeight="1" ht="0.75" hidden="1">
      <c r="A15" s="1826"/>
      <c r="B15" s="1826"/>
      <c r="C15" s="1826"/>
      <c r="D15" s="1826"/>
      <c r="E15" s="2770"/>
      <c r="F15" s="1826"/>
      <c r="G15" s="1826"/>
      <c r="H15" s="1826"/>
      <c r="I15" s="1826"/>
      <c r="J15" s="1826"/>
      <c r="K15" s="1826"/>
      <c r="L15" s="1851"/>
      <c r="M15" s="1833"/>
      <c r="N15" s="1833"/>
      <c r="P15" s="1828"/>
      <c r="Q15" s="1829"/>
      <c r="R15" s="1828"/>
      <c r="S15" s="1834"/>
      <c r="T15" s="1837" t="s">
        <v>385</v>
      </c>
      <c r="U15" s="1836"/>
      <c r="V15" s="1836"/>
      <c r="W15" s="1836"/>
      <c r="X15" s="1836"/>
      <c r="Y15" s="1836"/>
      <c r="Z15" s="1836"/>
      <c r="AA15" s="1836"/>
      <c r="AB15" s="1836"/>
      <c r="AC15" s="1836"/>
      <c r="AD15" s="1836"/>
      <c r="AE15" s="1836"/>
      <c r="AF15" s="1836"/>
      <c r="AG15" s="1836"/>
      <c r="AH15" s="1836"/>
      <c r="AI15" s="1836"/>
      <c r="AJ15" s="1836"/>
      <c r="AK15" s="1836"/>
      <c r="AL15" s="1836"/>
      <c r="AM15" s="1836"/>
      <c r="AO15" s="1301"/>
      <c r="AP15" s="1301" t="str">
        <f>IF(T15="","",T15)</f>
        <v>Добавить территорию для дифференциации</v>
      </c>
      <c r="AQ15" s="1301"/>
      <c r="AR15" s="1301"/>
      <c r="AS15" s="1030">
        <v>0</v>
      </c>
    </row>
    <row customHeight="1" ht="14.25" hidden="1">
      <c r="AC16" s="839"/>
      <c r="AK16" s="839"/>
      <c r="AS16" s="1667">
        <v>0</v>
      </c>
    </row>
    <row customHeight="1" ht="14.25" hidden="1">
      <c r="AD17" s="1872"/>
      <c r="AE17" s="1872"/>
      <c r="AF17" s="1872"/>
      <c r="AG17" s="1873"/>
      <c r="AH17" s="2779"/>
      <c r="AI17" s="2780" t="s">
        <v>63</v>
      </c>
      <c r="AJ17" s="2779"/>
      <c r="AK17" s="2780" t="s">
        <v>63</v>
      </c>
      <c r="AS17" s="1667">
        <v>0</v>
      </c>
    </row>
    <row customHeight="1" ht="14.25" hidden="1">
      <c r="AD18" s="1872"/>
      <c r="AE18" s="1872"/>
      <c r="AF18" s="1872"/>
      <c r="AG18" s="840" t="str">
        <f>AH17&amp;"-"&amp;AJ17</f>
        <v>-</v>
      </c>
      <c r="AH18" s="2780"/>
      <c r="AI18" s="2780"/>
      <c r="AJ18" s="2780"/>
      <c r="AK18" s="2780"/>
      <c r="AS18" s="1667">
        <v>0</v>
      </c>
    </row>
    <row customHeight="1" ht="14.25" hidden="1">
      <c r="AK19" s="839"/>
      <c r="AS19" s="1667">
        <v>0</v>
      </c>
    </row>
    <row s="46889" customFormat="1" customHeight="1" ht="22.5" hidden="1">
      <c r="L20" s="1841"/>
      <c r="M20" s="1874"/>
      <c r="N20" s="1874"/>
      <c r="O20" s="1879" t="s">
        <v>533</v>
      </c>
      <c r="P20" s="1874"/>
      <c r="Q20" s="1883"/>
      <c r="R20" s="1883"/>
      <c r="S20" s="1241"/>
      <c r="Z20" s="1879"/>
      <c r="AB20" s="1879"/>
      <c r="AC20" s="1878"/>
      <c r="AH20" s="1879"/>
      <c r="AJ20" s="1879"/>
      <c r="AK20" s="1878"/>
      <c r="AN20" s="1023"/>
      <c r="AO20" s="1023"/>
      <c r="AP20" s="1023"/>
      <c r="AQ20" s="1023"/>
      <c r="AR20" s="1023"/>
      <c r="AS20" s="1672">
        <v>0</v>
      </c>
    </row>
    <row s="46889" customFormat="1" customHeight="1" ht="14.25" hidden="1">
      <c r="L21" s="1841"/>
      <c r="M21" s="1874"/>
      <c r="N21" s="1874"/>
      <c r="O21" s="1874"/>
      <c r="P21" s="1874"/>
      <c r="Q21" s="1883"/>
      <c r="R21" s="1883"/>
      <c r="S21" s="1241"/>
      <c r="AC21" s="1878"/>
      <c r="AK21" s="1878"/>
      <c r="AN21" s="1023"/>
      <c r="AO21" s="1023"/>
      <c r="AP21" s="1023"/>
      <c r="AQ21" s="1023"/>
      <c r="AR21" s="1023"/>
      <c r="AS21" s="1672">
        <v>0</v>
      </c>
    </row>
    <row s="46889" customFormat="1" customHeight="1" ht="14.25" hidden="1">
      <c r="L22" s="1841"/>
      <c r="M22" s="1874"/>
      <c r="N22" s="1874"/>
      <c r="O22" s="1876" t="s">
        <v>534</v>
      </c>
      <c r="P22" s="1874"/>
      <c r="Q22" s="1883"/>
      <c r="R22" s="1883"/>
      <c r="S22" s="1241"/>
      <c r="T22" s="1672" t="s">
        <v>535</v>
      </c>
      <c r="AA22" s="698" t="s">
        <v>536</v>
      </c>
      <c r="AC22" s="698" t="s">
        <v>537</v>
      </c>
      <c r="AD22" s="1672" t="s">
        <v>535</v>
      </c>
      <c r="AI22" s="698" t="s">
        <v>538</v>
      </c>
      <c r="AK22" s="698" t="s">
        <v>537</v>
      </c>
      <c r="AN22" s="1023"/>
      <c r="AO22" s="1023"/>
      <c r="AP22" s="1023"/>
      <c r="AQ22" s="1023"/>
      <c r="AR22" s="1023"/>
      <c r="AS22" s="1672">
        <v>0</v>
      </c>
    </row>
    <row customHeight="1" ht="14.25" hidden="1">
      <c r="O23" s="1876"/>
      <c r="AS23" s="1667">
        <v>0</v>
      </c>
    </row>
    <row customHeight="1" ht="14.25" hidden="1">
      <c r="O24" s="1876"/>
      <c r="AS24" s="1667">
        <v>0</v>
      </c>
    </row>
    <row customHeight="1" ht="14.699999999999998">
      <c r="Q25" s="888"/>
      <c r="R25" s="888"/>
      <c r="S25" s="1787"/>
      <c r="T25" s="875"/>
      <c r="U25" s="875"/>
      <c r="V25" s="1021"/>
      <c r="W25" s="1021"/>
      <c r="X25" s="1021"/>
      <c r="Y25" s="1021"/>
      <c r="Z25" s="1021"/>
      <c r="AA25" s="1021"/>
      <c r="AB25" s="1021"/>
      <c r="AC25" s="1021"/>
      <c r="AD25" s="1021"/>
      <c r="AE25" s="1021"/>
      <c r="AF25" s="1021"/>
      <c r="AG25" s="1021"/>
      <c r="AH25" s="1021"/>
      <c r="AI25" s="1021"/>
      <c r="AJ25" s="1021"/>
      <c r="AK25" s="1021"/>
      <c r="AS25" s="1667">
        <v>14</v>
      </c>
    </row>
    <row customHeight="1" ht="63">
      <c r="Q26" s="888"/>
      <c r="R26" s="888"/>
      <c r="S26" s="2760"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760"/>
      <c r="U26" s="2760"/>
      <c r="V26" s="2760"/>
      <c r="W26" s="2760"/>
      <c r="X26" s="2760"/>
      <c r="Y26" s="2760"/>
      <c r="Z26" s="2760"/>
      <c r="AA26" s="2760"/>
      <c r="AB26" s="2760"/>
      <c r="AC26" s="2760"/>
      <c r="AD26" s="2760"/>
      <c r="AE26" s="2760"/>
      <c r="AF26" s="2760"/>
      <c r="AG26" s="2760"/>
      <c r="AH26" s="2760"/>
      <c r="AI26" s="2760"/>
      <c r="AJ26" s="2760"/>
      <c r="AK26" s="1755"/>
      <c r="AS26" s="1667">
        <v>60</v>
      </c>
    </row>
    <row customHeight="1" ht="14.699999999999998">
      <c r="Q27" s="888"/>
      <c r="R27" s="888"/>
      <c r="S27" s="2761" t="str">
        <f>IF(org=0,"Не определено",org)</f>
        <v>КГУП "Примтеплоэнерго"</v>
      </c>
      <c r="T27" s="2761"/>
      <c r="U27" s="2761"/>
      <c r="V27" s="2761"/>
      <c r="W27" s="2761"/>
      <c r="X27" s="2761"/>
      <c r="Y27" s="2761"/>
      <c r="Z27" s="2761"/>
      <c r="AA27" s="2761"/>
      <c r="AB27" s="2761"/>
      <c r="AC27" s="2761"/>
      <c r="AD27" s="2761"/>
      <c r="AE27" s="2761"/>
      <c r="AF27" s="2761"/>
      <c r="AG27" s="2761"/>
      <c r="AH27" s="2761"/>
      <c r="AI27" s="2761"/>
      <c r="AJ27" s="2761"/>
      <c r="AK27" s="1755"/>
      <c r="AS27" s="1667">
        <v>14</v>
      </c>
    </row>
    <row customHeight="1" ht="14.25">
      <c r="Q28" s="888"/>
      <c r="R28" s="888"/>
      <c r="S28" s="1787"/>
      <c r="T28" s="875"/>
      <c r="U28" s="875"/>
      <c r="V28" s="834"/>
      <c r="W28" s="834"/>
      <c r="X28" s="834"/>
      <c r="Y28" s="834"/>
      <c r="Z28" s="834"/>
      <c r="AA28" s="834"/>
      <c r="AB28" s="834"/>
      <c r="AC28" s="834"/>
      <c r="AD28" s="834"/>
      <c r="AE28" s="834"/>
      <c r="AF28" s="834"/>
      <c r="AG28" s="834"/>
      <c r="AH28" s="834"/>
      <c r="AI28" s="834"/>
      <c r="AJ28" s="834"/>
      <c r="AK28" s="834"/>
      <c r="AL28" s="1021"/>
      <c r="AS28" s="1667">
        <v>0</v>
      </c>
    </row>
    <row s="47026" customFormat="1" customHeight="1" ht="25.5">
      <c r="A29" s="1880"/>
      <c r="B29" s="1880"/>
      <c r="C29" s="1880"/>
      <c r="D29" s="1880"/>
      <c r="E29" s="1880"/>
      <c r="F29" s="1880"/>
      <c r="G29" s="1880"/>
      <c r="H29" s="1880"/>
      <c r="I29" s="1880"/>
      <c r="J29" s="1880"/>
      <c r="K29" s="1880"/>
      <c r="L29" s="1881"/>
      <c r="M29" s="1880"/>
      <c r="N29" s="1880"/>
      <c r="O29" s="1880"/>
      <c r="S29" s="2762" t="s">
        <v>42</v>
      </c>
      <c r="T29" s="2762"/>
      <c r="U29" s="1884"/>
      <c r="V29" s="2763" t="str">
        <f>IF(TITLE_NAME_OR_PR_CHANGE="",IF(TITLE_NAME_OR_PR="","",TITLE_NAME_OR_PR),TITLE_NAME_OR_PR_CHANGE)</f>
        <v>Агентство по тарифам Приморского края</v>
      </c>
      <c r="W29" s="2763"/>
      <c r="X29" s="2763"/>
      <c r="Y29" s="2763"/>
      <c r="Z29" s="2763"/>
      <c r="AA29" s="2763"/>
      <c r="AB29" s="2763"/>
      <c r="AC29" s="838"/>
      <c r="AD29" s="2763" t="str">
        <f>IF(TITLE_NAME_OR_PR_CHANGE="",IF(TITLE_NAME_OR_PR="","",TITLE_NAME_OR_PR),TITLE_NAME_OR_PR_CHANGE)</f>
        <v>Агентство по тарифам Приморского края</v>
      </c>
      <c r="AE29" s="2763"/>
      <c r="AF29" s="2763"/>
      <c r="AG29" s="2763"/>
      <c r="AH29" s="2763"/>
      <c r="AI29" s="2763"/>
      <c r="AJ29" s="2763"/>
      <c r="AK29" s="838"/>
      <c r="AL29" s="838"/>
      <c r="AM29" s="792"/>
      <c r="AN29" s="880"/>
      <c r="AO29" s="880"/>
      <c r="AP29" s="880"/>
      <c r="AQ29" s="880"/>
      <c r="AR29" s="880"/>
      <c r="AS29" s="930">
        <v>0</v>
      </c>
    </row>
    <row s="47026" customFormat="1" customHeight="1" ht="18.75">
      <c r="A30" s="1880"/>
      <c r="B30" s="1880"/>
      <c r="C30" s="1880"/>
      <c r="D30" s="1880"/>
      <c r="E30" s="1880"/>
      <c r="F30" s="1880"/>
      <c r="G30" s="1880"/>
      <c r="H30" s="1880"/>
      <c r="I30" s="1880"/>
      <c r="J30" s="1880"/>
      <c r="K30" s="1880"/>
      <c r="L30" s="1881"/>
      <c r="M30" s="1880"/>
      <c r="N30" s="1880"/>
      <c r="O30" s="1880"/>
      <c r="S30" s="2762" t="s">
        <v>539</v>
      </c>
      <c r="T30" s="2762"/>
      <c r="U30" s="1884"/>
      <c r="V30" s="2776" t="str">
        <f>IF(TITLE_DATE_PR_CHANGE="",IF(TITLE_DATE_PR="","",TITLE_DATE_PR),TITLE_DATE_PR_CHANGE)</f>
        <v>45631.495844907404</v>
      </c>
      <c r="W30" s="2776"/>
      <c r="X30" s="2776"/>
      <c r="Y30" s="2776"/>
      <c r="Z30" s="2776"/>
      <c r="AA30" s="2776"/>
      <c r="AB30" s="2776"/>
      <c r="AC30" s="838"/>
      <c r="AD30" s="2776" t="str">
        <f>IF(TITLE_DATE_PR_CHANGE="",IF(TITLE_DATE_PR="","",TITLE_DATE_PR),TITLE_DATE_PR_CHANGE)</f>
        <v>45631.495844907404</v>
      </c>
      <c r="AE30" s="2776"/>
      <c r="AF30" s="2776"/>
      <c r="AG30" s="2776"/>
      <c r="AH30" s="2776"/>
      <c r="AI30" s="2776"/>
      <c r="AJ30" s="2776"/>
      <c r="AK30" s="838"/>
      <c r="AL30" s="838"/>
      <c r="AM30" s="792"/>
      <c r="AN30" s="880"/>
      <c r="AO30" s="880"/>
      <c r="AP30" s="880"/>
      <c r="AQ30" s="880"/>
      <c r="AR30" s="880"/>
      <c r="AS30" s="930">
        <v>0</v>
      </c>
    </row>
    <row s="47026" customFormat="1" customHeight="1" ht="18.75">
      <c r="A31" s="1880"/>
      <c r="B31" s="1880"/>
      <c r="C31" s="1880"/>
      <c r="D31" s="1880"/>
      <c r="E31" s="1880"/>
      <c r="F31" s="1880"/>
      <c r="G31" s="1880"/>
      <c r="H31" s="1880"/>
      <c r="I31" s="1880"/>
      <c r="J31" s="1880"/>
      <c r="K31" s="1880"/>
      <c r="L31" s="1881"/>
      <c r="M31" s="1880"/>
      <c r="N31" s="1880"/>
      <c r="O31" s="1880"/>
      <c r="S31" s="2762" t="s">
        <v>540</v>
      </c>
      <c r="T31" s="2762"/>
      <c r="U31" s="1884"/>
      <c r="V31" s="2763" t="str">
        <f>IF(TITLE_NUMBER_PR_CHANGE="",IF(TITLE_NUMBER_PR="","",TITLE_NUMBER_PR),TITLE_NUMBER_PR_CHANGE)</f>
        <v>53/9</v>
      </c>
      <c r="W31" s="2763"/>
      <c r="X31" s="2763"/>
      <c r="Y31" s="2763"/>
      <c r="Z31" s="2763"/>
      <c r="AA31" s="2763"/>
      <c r="AB31" s="2763"/>
      <c r="AC31" s="838"/>
      <c r="AD31" s="2763" t="str">
        <f>IF(TITLE_NUMBER_PR_CHANGE="",IF(TITLE_NUMBER_PR="","",TITLE_NUMBER_PR),TITLE_NUMBER_PR_CHANGE)</f>
        <v>53/9</v>
      </c>
      <c r="AE31" s="2763"/>
      <c r="AF31" s="2763"/>
      <c r="AG31" s="2763"/>
      <c r="AH31" s="2763"/>
      <c r="AI31" s="2763"/>
      <c r="AJ31" s="2763"/>
      <c r="AK31" s="838"/>
      <c r="AL31" s="838"/>
      <c r="AM31" s="792"/>
      <c r="AN31" s="880"/>
      <c r="AO31" s="880"/>
      <c r="AP31" s="880"/>
      <c r="AQ31" s="880"/>
      <c r="AR31" s="880"/>
      <c r="AS31" s="930">
        <v>0</v>
      </c>
    </row>
    <row s="47026" customFormat="1" customHeight="1" ht="18.75">
      <c r="A32" s="1880"/>
      <c r="B32" s="1880"/>
      <c r="C32" s="1880"/>
      <c r="D32" s="1880"/>
      <c r="E32" s="1880"/>
      <c r="F32" s="1880"/>
      <c r="G32" s="1880"/>
      <c r="H32" s="1880"/>
      <c r="I32" s="1880"/>
      <c r="J32" s="1880"/>
      <c r="K32" s="1880"/>
      <c r="L32" s="1881"/>
      <c r="M32" s="1880"/>
      <c r="N32" s="1880"/>
      <c r="O32" s="1880"/>
      <c r="S32" s="2762" t="s">
        <v>44</v>
      </c>
      <c r="T32" s="2762"/>
      <c r="U32" s="1884"/>
      <c r="V32" s="2763" t="str">
        <f>IF(TITLE_IST_PUB_CHANGE="",IF(TITLE_IST_PUB="","",TITLE_IST_PUB),TITLE_IST_PUB_CHANGE)</f>
        <v>http://pravo.gov.ru</v>
      </c>
      <c r="W32" s="2763"/>
      <c r="X32" s="2763"/>
      <c r="Y32" s="2763"/>
      <c r="Z32" s="2763"/>
      <c r="AA32" s="2763"/>
      <c r="AB32" s="2763"/>
      <c r="AC32" s="838"/>
      <c r="AD32" s="2763" t="str">
        <f>IF(TITLE_IST_PUB_CHANGE="",IF(TITLE_IST_PUB="","",TITLE_IST_PUB),TITLE_IST_PUB_CHANGE)</f>
        <v>http://pravo.gov.ru</v>
      </c>
      <c r="AE32" s="2763"/>
      <c r="AF32" s="2763"/>
      <c r="AG32" s="2763"/>
      <c r="AH32" s="2763"/>
      <c r="AI32" s="2763"/>
      <c r="AJ32" s="2763"/>
      <c r="AK32" s="838"/>
      <c r="AL32" s="838"/>
      <c r="AM32" s="792"/>
      <c r="AN32" s="880"/>
      <c r="AO32" s="880"/>
      <c r="AP32" s="880"/>
      <c r="AQ32" s="880"/>
      <c r="AR32" s="880"/>
      <c r="AS32" s="930">
        <v>0</v>
      </c>
    </row>
    <row customHeight="1" ht="14.25" hidden="1">
      <c r="Q33" s="888"/>
      <c r="R33" s="888"/>
      <c r="S33" s="1787"/>
      <c r="T33" s="875"/>
      <c r="U33" s="875"/>
      <c r="V33" s="834"/>
      <c r="W33" s="834"/>
      <c r="X33" s="834"/>
      <c r="Y33" s="834"/>
      <c r="Z33" s="834"/>
      <c r="AA33" s="834"/>
      <c r="AB33" s="834"/>
      <c r="AC33" s="834"/>
      <c r="AD33" s="834"/>
      <c r="AE33" s="834"/>
      <c r="AF33" s="834"/>
      <c r="AG33" s="834"/>
      <c r="AH33" s="834"/>
      <c r="AI33" s="834"/>
      <c r="AJ33" s="834"/>
      <c r="AK33" s="834"/>
      <c r="AL33" s="1021"/>
      <c r="AS33" s="1667">
        <v>0</v>
      </c>
    </row>
    <row s="47026" customFormat="1" customHeight="1" ht="18.75" hidden="1">
      <c r="A34" s="1880"/>
      <c r="B34" s="1880"/>
      <c r="C34" s="1880"/>
      <c r="D34" s="1880"/>
      <c r="E34" s="1880"/>
      <c r="F34" s="1880"/>
      <c r="G34" s="1880"/>
      <c r="H34" s="1880"/>
      <c r="I34" s="1880"/>
      <c r="J34" s="1880"/>
      <c r="K34" s="1880"/>
      <c r="L34" s="1881"/>
      <c r="M34" s="1880"/>
      <c r="N34" s="1880"/>
      <c r="O34" s="1880"/>
      <c r="S34" s="2762" t="s">
        <v>541</v>
      </c>
      <c r="T34" s="2762"/>
      <c r="U34" s="1884"/>
      <c r="V34" s="2776" t="str">
        <f>IF(TITLE_DATE_PR_CHANGE="",IF(TITLE_DATE_PR="","",TITLE_DATE_PR),TITLE_DATE_PR_CHANGE)</f>
        <v>45631.495844907404</v>
      </c>
      <c r="W34" s="2776"/>
      <c r="X34" s="2776"/>
      <c r="Y34" s="2776"/>
      <c r="Z34" s="2776"/>
      <c r="AA34" s="2776"/>
      <c r="AB34" s="2776"/>
      <c r="AC34" s="838"/>
      <c r="AD34" s="2776" t="str">
        <f>IF(TITLE_DATE_PR_CHANGE="",IF(TITLE_DATE_PR="","",TITLE_DATE_PR),TITLE_DATE_PR_CHANGE)</f>
        <v>45631.495844907404</v>
      </c>
      <c r="AE34" s="2776"/>
      <c r="AF34" s="2776"/>
      <c r="AG34" s="2776"/>
      <c r="AH34" s="2776"/>
      <c r="AI34" s="2776"/>
      <c r="AJ34" s="2776"/>
      <c r="AK34" s="838"/>
      <c r="AL34" s="838"/>
      <c r="AM34" s="792"/>
      <c r="AN34" s="880"/>
      <c r="AO34" s="880"/>
      <c r="AP34" s="880"/>
      <c r="AQ34" s="880"/>
      <c r="AR34" s="880"/>
      <c r="AS34" s="930">
        <v>0</v>
      </c>
    </row>
    <row s="47026" customFormat="1" customHeight="1" ht="18.75" hidden="1">
      <c r="A35" s="1880"/>
      <c r="B35" s="1880"/>
      <c r="C35" s="1880"/>
      <c r="D35" s="1880"/>
      <c r="E35" s="1880"/>
      <c r="F35" s="1880"/>
      <c r="G35" s="1880"/>
      <c r="H35" s="1880"/>
      <c r="I35" s="1880"/>
      <c r="J35" s="1880"/>
      <c r="K35" s="1880"/>
      <c r="L35" s="1881"/>
      <c r="M35" s="1880"/>
      <c r="N35" s="1880"/>
      <c r="O35" s="1880"/>
      <c r="S35" s="2762" t="s">
        <v>542</v>
      </c>
      <c r="T35" s="2762"/>
      <c r="U35" s="1884"/>
      <c r="V35" s="2763" t="str">
        <f>IF(TITLE_NUMBER_PR_CHANGE="",IF(TITLE_NUMBER_PR="","",TITLE_NUMBER_PR),TITLE_NUMBER_PR_CHANGE)</f>
        <v>53/9</v>
      </c>
      <c r="W35" s="2763"/>
      <c r="X35" s="2763"/>
      <c r="Y35" s="2763"/>
      <c r="Z35" s="2763"/>
      <c r="AA35" s="2763"/>
      <c r="AB35" s="2763"/>
      <c r="AC35" s="838"/>
      <c r="AD35" s="2763" t="str">
        <f>IF(TITLE_NUMBER_PR_CHANGE="",IF(TITLE_NUMBER_PR="","",TITLE_NUMBER_PR),TITLE_NUMBER_PR_CHANGE)</f>
        <v>53/9</v>
      </c>
      <c r="AE35" s="2763"/>
      <c r="AF35" s="2763"/>
      <c r="AG35" s="2763"/>
      <c r="AH35" s="2763"/>
      <c r="AI35" s="2763"/>
      <c r="AJ35" s="2763"/>
      <c r="AK35" s="838"/>
      <c r="AL35" s="838"/>
      <c r="AM35" s="792"/>
      <c r="AN35" s="880"/>
      <c r="AO35" s="880"/>
      <c r="AP35" s="880"/>
      <c r="AQ35" s="880"/>
      <c r="AR35" s="880"/>
      <c r="AS35" s="930">
        <v>0</v>
      </c>
    </row>
    <row s="47026" customFormat="1" customHeight="1" ht="0">
      <c r="A36" s="1880"/>
      <c r="B36" s="1880"/>
      <c r="C36" s="1880"/>
      <c r="D36" s="1880"/>
      <c r="E36" s="1880"/>
      <c r="F36" s="1880"/>
      <c r="G36" s="1880"/>
      <c r="H36" s="1880"/>
      <c r="I36" s="1880"/>
      <c r="J36" s="1880"/>
      <c r="K36" s="1880"/>
      <c r="L36" s="1881"/>
      <c r="M36" s="1880"/>
      <c r="N36" s="1880"/>
      <c r="O36" s="1880"/>
      <c r="S36" s="835"/>
      <c r="T36" s="835"/>
      <c r="U36" s="1852"/>
      <c r="V36" s="838"/>
      <c r="W36" s="838"/>
      <c r="X36" s="838"/>
      <c r="Y36" s="838"/>
      <c r="Z36" s="838"/>
      <c r="AA36" s="838"/>
      <c r="AB36" s="838"/>
      <c r="AC36" s="790" t="s">
        <v>543</v>
      </c>
      <c r="AD36" s="838"/>
      <c r="AE36" s="838"/>
      <c r="AF36" s="838"/>
      <c r="AG36" s="838"/>
      <c r="AH36" s="838"/>
      <c r="AI36" s="838"/>
      <c r="AJ36" s="838"/>
      <c r="AK36" s="790" t="s">
        <v>543</v>
      </c>
      <c r="AN36" s="880"/>
      <c r="AO36" s="880"/>
      <c r="AP36" s="880"/>
      <c r="AQ36" s="880"/>
      <c r="AR36" s="880"/>
      <c r="AS36" s="930">
        <v>0</v>
      </c>
    </row>
    <row customHeight="1" ht="14.699999999999998">
      <c r="Q37" s="888"/>
      <c r="R37" s="888"/>
      <c r="S37" s="1787"/>
      <c r="T37" s="875"/>
      <c r="U37" s="1756"/>
      <c r="V37" s="2764"/>
      <c r="W37" s="2764"/>
      <c r="X37" s="2764"/>
      <c r="Y37" s="2764"/>
      <c r="Z37" s="2764"/>
      <c r="AA37" s="2764"/>
      <c r="AB37" s="2764"/>
      <c r="AC37" s="2764"/>
      <c r="AD37" s="2764"/>
      <c r="AE37" s="2764"/>
      <c r="AF37" s="2764"/>
      <c r="AG37" s="2764"/>
      <c r="AH37" s="2764"/>
      <c r="AI37" s="2764"/>
      <c r="AJ37" s="2764"/>
      <c r="AK37" s="2764"/>
      <c r="AS37" s="1667">
        <v>14</v>
      </c>
    </row>
    <row customHeight="1" ht="14.699999999999998">
      <c r="Q38" s="888"/>
      <c r="R38" s="888"/>
      <c r="S38" s="2639" t="s">
        <v>418</v>
      </c>
      <c r="T38" s="2639"/>
      <c r="U38" s="2639"/>
      <c r="V38" s="2639"/>
      <c r="W38" s="2639"/>
      <c r="X38" s="2639"/>
      <c r="Y38" s="2639"/>
      <c r="Z38" s="2639"/>
      <c r="AA38" s="2639"/>
      <c r="AB38" s="2639"/>
      <c r="AC38" s="2639"/>
      <c r="AD38" s="2639"/>
      <c r="AE38" s="2639"/>
      <c r="AF38" s="2639"/>
      <c r="AG38" s="2639"/>
      <c r="AH38" s="2639"/>
      <c r="AI38" s="2639"/>
      <c r="AJ38" s="2639"/>
      <c r="AK38" s="2639"/>
      <c r="AL38" s="2639"/>
      <c r="AM38" s="2639" t="s">
        <v>419</v>
      </c>
      <c r="AS38" s="1667">
        <v>14</v>
      </c>
    </row>
    <row customHeight="1" ht="14.699999999999998">
      <c r="Q39" s="888"/>
      <c r="R39" s="888"/>
      <c r="S39" s="2785" t="s">
        <v>90</v>
      </c>
      <c r="T39" s="2721" t="s">
        <v>544</v>
      </c>
      <c r="U39" s="813"/>
      <c r="V39" s="2786" t="s">
        <v>545</v>
      </c>
      <c r="W39" s="2787"/>
      <c r="X39" s="2787"/>
      <c r="Y39" s="2787"/>
      <c r="Z39" s="2787"/>
      <c r="AA39" s="2787"/>
      <c r="AB39" s="2788"/>
      <c r="AC39" s="2789" t="s">
        <v>546</v>
      </c>
      <c r="AD39" s="2786" t="s">
        <v>545</v>
      </c>
      <c r="AE39" s="2787"/>
      <c r="AF39" s="2787"/>
      <c r="AG39" s="2787"/>
      <c r="AH39" s="2787"/>
      <c r="AI39" s="2787"/>
      <c r="AJ39" s="2788"/>
      <c r="AK39" s="2789" t="s">
        <v>547</v>
      </c>
      <c r="AL39" s="2792" t="s">
        <v>548</v>
      </c>
      <c r="AM39" s="2639"/>
      <c r="AS39" s="1667">
        <v>14</v>
      </c>
    </row>
    <row customHeight="1" ht="35.699999999999996">
      <c r="Q40" s="888"/>
      <c r="R40" s="888"/>
      <c r="S40" s="2785"/>
      <c r="T40" s="2721"/>
      <c r="U40" s="1543"/>
      <c r="V40" s="2772" t="s">
        <v>549</v>
      </c>
      <c r="W40" s="2795"/>
      <c r="X40" s="2774" t="s">
        <v>551</v>
      </c>
      <c r="Y40" s="2775"/>
      <c r="Z40" s="2774" t="s">
        <v>552</v>
      </c>
      <c r="AA40" s="2781"/>
      <c r="AB40" s="2775"/>
      <c r="AC40" s="2790"/>
      <c r="AD40" s="2772" t="s">
        <v>565</v>
      </c>
      <c r="AE40" s="2795"/>
      <c r="AF40" s="2774" t="s">
        <v>551</v>
      </c>
      <c r="AG40" s="2775"/>
      <c r="AH40" s="2774" t="s">
        <v>552</v>
      </c>
      <c r="AI40" s="2781"/>
      <c r="AJ40" s="2775"/>
      <c r="AK40" s="2790"/>
      <c r="AL40" s="2793"/>
      <c r="AM40" s="2639"/>
      <c r="AS40" s="1667">
        <v>34</v>
      </c>
    </row>
    <row customHeight="1" ht="35.699999999999996">
      <c r="A41" s="1882"/>
      <c r="B41" s="1882" t="s">
        <v>191</v>
      </c>
      <c r="C41" s="1882" t="s">
        <v>192</v>
      </c>
      <c r="D41" s="1882" t="s">
        <v>193</v>
      </c>
      <c r="E41" s="1876" t="s">
        <v>553</v>
      </c>
      <c r="F41" s="1876" t="s">
        <v>554</v>
      </c>
      <c r="G41" s="1876" t="s">
        <v>555</v>
      </c>
      <c r="H41" s="1876" t="s">
        <v>556</v>
      </c>
      <c r="I41" s="1876" t="s">
        <v>557</v>
      </c>
      <c r="J41" s="1876" t="s">
        <v>558</v>
      </c>
      <c r="K41" s="1876" t="s">
        <v>559</v>
      </c>
      <c r="L41" s="1876" t="s">
        <v>534</v>
      </c>
      <c r="Q41" s="888"/>
      <c r="R41" s="888"/>
      <c r="S41" s="2785"/>
      <c r="T41" s="2721"/>
      <c r="U41" s="814"/>
      <c r="V41" s="2773"/>
      <c r="W41" s="2796"/>
      <c r="X41" s="1734" t="s">
        <v>560</v>
      </c>
      <c r="Y41" s="1734" t="s">
        <v>561</v>
      </c>
      <c r="Z41" s="1850" t="s">
        <v>562</v>
      </c>
      <c r="AA41" s="2782" t="s">
        <v>563</v>
      </c>
      <c r="AB41" s="2783"/>
      <c r="AC41" s="2791"/>
      <c r="AD41" s="2773"/>
      <c r="AE41" s="2796"/>
      <c r="AF41" s="1734" t="s">
        <v>560</v>
      </c>
      <c r="AG41" s="1734" t="s">
        <v>561</v>
      </c>
      <c r="AH41" s="1850" t="s">
        <v>562</v>
      </c>
      <c r="AI41" s="2782" t="s">
        <v>563</v>
      </c>
      <c r="AJ41" s="2783"/>
      <c r="AK41" s="2791"/>
      <c r="AL41" s="2794"/>
      <c r="AM41" s="2639"/>
      <c r="AS41" s="1667">
        <v>34</v>
      </c>
    </row>
    <row s="47496" customFormat="1" customHeight="1" ht="11.25" hidden="1">
      <c r="A42" s="1882"/>
      <c r="B42" s="1882"/>
      <c r="C42" s="1882"/>
      <c r="D42" s="1882"/>
      <c r="E42" s="1882"/>
      <c r="F42" s="1882"/>
      <c r="G42" s="1882"/>
      <c r="H42" s="1882"/>
      <c r="I42" s="1882"/>
      <c r="J42" s="1882"/>
      <c r="K42" s="1882"/>
      <c r="L42" s="1876"/>
      <c r="M42" s="1874"/>
      <c r="N42" s="1874"/>
      <c r="O42" s="1874"/>
      <c r="P42" s="1758"/>
      <c r="Q42" s="1759"/>
      <c r="R42" s="1766">
        <v>1</v>
      </c>
      <c r="S42" s="1789" t="s">
        <v>101</v>
      </c>
      <c r="T42" s="1767" t="s">
        <v>105</v>
      </c>
      <c r="U42" s="1757" t="str">
        <f>OFFSET(U42,0,-1)</f>
        <v>2</v>
      </c>
      <c r="V42" s="1847">
        <f>OFFSET(V42,0,-1)+1</f>
        <v>3</v>
      </c>
      <c r="W42" s="1847"/>
      <c r="X42" s="1847">
        <f>OFFSET(X42,0,-1)+1</f>
        <v>1</v>
      </c>
      <c r="Y42" s="1847">
        <f>OFFSET(Y42,0,-1)+1</f>
        <v>2</v>
      </c>
      <c r="Z42" s="1847">
        <f>OFFSET(Z42,0,-1)+1</f>
        <v>3</v>
      </c>
      <c r="AA42" s="2784">
        <f>OFFSET(AA42,0,-1)+1</f>
        <v>4</v>
      </c>
      <c r="AB42" s="2784"/>
      <c r="AC42" s="1847">
        <f>OFFSET(AC42,0,-2)+1</f>
        <v>5</v>
      </c>
      <c r="AD42" s="1847">
        <f>OFFSET(AD42,0,-1)+1</f>
        <v>6</v>
      </c>
      <c r="AE42" s="1847"/>
      <c r="AF42" s="1847">
        <f>OFFSET(AF42,0,-1)+1</f>
        <v>1</v>
      </c>
      <c r="AG42" s="1847">
        <f>OFFSET(AG42,0,-1)+1</f>
        <v>2</v>
      </c>
      <c r="AH42" s="1847">
        <f>OFFSET(AH42,0,-1)+1</f>
        <v>3</v>
      </c>
      <c r="AI42" s="2784">
        <f>OFFSET(AI42,0,-1)+1</f>
        <v>4</v>
      </c>
      <c r="AJ42" s="2784"/>
      <c r="AK42" s="1847">
        <f>OFFSET(AK42,0,-2)+1</f>
        <v>5</v>
      </c>
      <c r="AL42" s="1757">
        <f>OFFSET(AL42,0,-1)</f>
        <v>5</v>
      </c>
      <c r="AM42" s="1847">
        <f>OFFSET(AM42,0,-1)+1</f>
        <v>6</v>
      </c>
      <c r="AN42" s="1023"/>
      <c r="AO42" s="1023"/>
      <c r="AP42" s="1023"/>
      <c r="AQ42" s="1023"/>
      <c r="AR42" s="1023"/>
      <c r="AS42" s="1008">
        <v>0</v>
      </c>
    </row>
    <row customHeight="1" ht="22.049999999999997">
      <c r="A43" s="1875" t="s">
        <v>219</v>
      </c>
      <c r="B43" s="1875"/>
      <c r="C43" s="1875"/>
      <c r="D43" s="1875"/>
      <c r="E43" s="2770">
        <v>1</v>
      </c>
      <c r="F43" s="1875"/>
      <c r="G43" s="1875"/>
      <c r="H43" s="1875"/>
      <c r="I43" s="1875"/>
      <c r="J43" s="1875"/>
      <c r="K43" s="1875"/>
      <c r="L43" s="1876"/>
      <c r="M43" s="1877"/>
      <c r="N43" s="1877"/>
      <c r="O43" s="1877"/>
      <c r="P43" s="873"/>
      <c r="Q43" s="872"/>
      <c r="R43" s="867"/>
      <c r="S43" s="1848">
        <f>INDEX(PT_DIFFERENTIATION_NUM_NTAR,MATCH(A43,PT_DIFFERENTIATION_NTAR_ID,0))</f>
        <v>0</v>
      </c>
      <c r="T43" s="810" t="s">
        <v>179</v>
      </c>
      <c r="U43" s="812"/>
      <c r="V43" s="2754"/>
      <c r="W43" s="2755"/>
      <c r="X43" s="2755"/>
      <c r="Y43" s="2755"/>
      <c r="Z43" s="2755"/>
      <c r="AA43" s="2755"/>
      <c r="AB43" s="2755"/>
      <c r="AC43" s="2756"/>
      <c r="AD43" s="2754" t="str">
        <f>INDEX(PT_DIFFERENTIATION_NTAR,MATCH(A43,PT_DIFFERENTIATION_NTAR_ID,0))</f>
        <v/>
      </c>
      <c r="AE43" s="2755"/>
      <c r="AF43" s="2755"/>
      <c r="AG43" s="2755"/>
      <c r="AH43" s="2755"/>
      <c r="AI43" s="2755"/>
      <c r="AJ43" s="2755"/>
      <c r="AK43" s="2755"/>
      <c r="AL43" s="2756"/>
      <c r="AM43" s="1770"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012"/>
      <c r="AP43" s="1012" t="str">
        <f>IF(T43="","",T43)</f>
        <v>Наименование тарифа</v>
      </c>
      <c r="AQ43" s="1012"/>
      <c r="AR43" s="1012"/>
      <c r="AS43" s="1667">
        <v>21</v>
      </c>
    </row>
    <row customHeight="1" ht="22.049999999999997">
      <c r="A44" s="1875" t="s">
        <v>219</v>
      </c>
      <c r="B44" s="1875" t="s">
        <v>220</v>
      </c>
      <c r="C44" s="1875"/>
      <c r="D44" s="1875"/>
      <c r="E44" s="2771"/>
      <c r="F44" s="2770">
        <v>1</v>
      </c>
      <c r="G44" s="1875"/>
      <c r="H44" s="1875"/>
      <c r="I44" s="1875"/>
      <c r="J44" s="1875"/>
      <c r="K44" s="1875"/>
      <c r="L44" s="1876"/>
      <c r="M44" s="1877"/>
      <c r="N44" s="1877"/>
      <c r="O44" s="1877"/>
      <c r="P44" s="1844"/>
      <c r="Q44" s="864"/>
      <c r="R44" s="865"/>
      <c r="S44" s="1848" t="str">
        <f>INDEX(PT_DIFFERENTIATION_NUM_TER,MATCH(B44,PT_DIFFERENTIATION_TER_ID,0))</f>
        <v>.</v>
      </c>
      <c r="T44" s="820" t="s">
        <v>515</v>
      </c>
      <c r="U44" s="812"/>
      <c r="V44" s="2754"/>
      <c r="W44" s="2755"/>
      <c r="X44" s="2755"/>
      <c r="Y44" s="2755"/>
      <c r="Z44" s="2755"/>
      <c r="AA44" s="2755"/>
      <c r="AB44" s="2755"/>
      <c r="AC44" s="2756"/>
      <c r="AD44" s="2754" t="str">
        <f>INDEX(PT_DIFFERENTIATION_TER,MATCH(B44,PT_DIFFERENTIATION_TER_ID,0))</f>
        <v/>
      </c>
      <c r="AE44" s="2755"/>
      <c r="AF44" s="2755"/>
      <c r="AG44" s="2755"/>
      <c r="AH44" s="2755"/>
      <c r="AI44" s="2755"/>
      <c r="AJ44" s="2755"/>
      <c r="AK44" s="2755"/>
      <c r="AL44" s="2756"/>
      <c r="AM44" s="1770" t="s">
        <v>516</v>
      </c>
      <c r="AO44" s="1012"/>
      <c r="AP44" s="1012" t="str">
        <f>IF(T44="","",T44)</f>
        <v>Территория действия тарифа</v>
      </c>
      <c r="AQ44" s="1012"/>
      <c r="AR44" s="1012"/>
      <c r="AS44" s="1667">
        <v>21</v>
      </c>
    </row>
    <row customHeight="1" ht="24">
      <c r="A45" s="1875" t="s">
        <v>219</v>
      </c>
      <c r="B45" s="1875" t="s">
        <v>220</v>
      </c>
      <c r="C45" s="1875" t="s">
        <v>221</v>
      </c>
      <c r="D45" s="1875"/>
      <c r="E45" s="2771"/>
      <c r="F45" s="2771"/>
      <c r="G45" s="2770">
        <v>1</v>
      </c>
      <c r="H45" s="1875"/>
      <c r="I45" s="1875"/>
      <c r="J45" s="1875"/>
      <c r="K45" s="1875"/>
      <c r="L45" s="1876"/>
      <c r="M45" s="1877"/>
      <c r="N45" s="1877"/>
      <c r="O45" s="1877"/>
      <c r="P45" s="866"/>
      <c r="Q45" s="864"/>
      <c r="R45" s="865"/>
      <c r="S45" s="1848" t="str">
        <f>INDEX(PT_DIFFERENTIATION_NUM_CS,MATCH(C45,PT_DIFFERENTIATION_CS_ID,0))</f>
        <v>..</v>
      </c>
      <c r="T45" s="821" t="s">
        <v>517</v>
      </c>
      <c r="U45" s="812"/>
      <c r="V45" s="2754"/>
      <c r="W45" s="2755"/>
      <c r="X45" s="2755"/>
      <c r="Y45" s="2755"/>
      <c r="Z45" s="2755"/>
      <c r="AA45" s="2755"/>
      <c r="AB45" s="2755"/>
      <c r="AC45" s="2756"/>
      <c r="AD45" s="2754" t="str">
        <f>INDEX(PT_DIFFERENTIATION_CS,MATCH(C45,PT_DIFFERENTIATION_CS_ID,0))</f>
        <v/>
      </c>
      <c r="AE45" s="2755"/>
      <c r="AF45" s="2755"/>
      <c r="AG45" s="2755"/>
      <c r="AH45" s="2755"/>
      <c r="AI45" s="2755"/>
      <c r="AJ45" s="2755"/>
      <c r="AK45" s="2755"/>
      <c r="AL45" s="2756"/>
      <c r="AM45" s="1770" t="s">
        <v>518</v>
      </c>
      <c r="AO45" s="1012"/>
      <c r="AP45" s="1012" t="str">
        <f>IF(T45="","",T45)</f>
        <v>Наименование системы теплоснабжения </v>
      </c>
      <c r="AQ45" s="1012"/>
      <c r="AR45" s="1012"/>
      <c r="AS45" s="1667">
        <v>23</v>
      </c>
    </row>
    <row customHeight="1" ht="22.049999999999997">
      <c r="A46" s="1875" t="s">
        <v>219</v>
      </c>
      <c r="B46" s="1875" t="s">
        <v>220</v>
      </c>
      <c r="C46" s="1875" t="s">
        <v>221</v>
      </c>
      <c r="D46" s="1875" t="s">
        <v>222</v>
      </c>
      <c r="E46" s="2771"/>
      <c r="F46" s="2771"/>
      <c r="G46" s="2771"/>
      <c r="H46" s="2770">
        <v>1</v>
      </c>
      <c r="I46" s="1875"/>
      <c r="J46" s="1875"/>
      <c r="K46" s="1875"/>
      <c r="L46" s="1876"/>
      <c r="M46" s="1877"/>
      <c r="N46" s="1877"/>
      <c r="O46" s="1877"/>
      <c r="P46" s="866"/>
      <c r="Q46" s="864"/>
      <c r="R46" s="865"/>
      <c r="S46" s="1848" t="str">
        <f>INDEX(PT_DIFFERENTIATION_NUM_IST_TE,MATCH(D46,PT_DIFFERENTIATION_IST_TE_ID,0))</f>
        <v>...</v>
      </c>
      <c r="T46" s="822" t="s">
        <v>519</v>
      </c>
      <c r="U46" s="812"/>
      <c r="V46" s="2754"/>
      <c r="W46" s="2755"/>
      <c r="X46" s="2755"/>
      <c r="Y46" s="2755"/>
      <c r="Z46" s="2755"/>
      <c r="AA46" s="2755"/>
      <c r="AB46" s="2755"/>
      <c r="AC46" s="2756"/>
      <c r="AD46" s="2754" t="str">
        <f>INDEX(PT_DIFFERENTIATION_IST_TE,MATCH(D46,PT_DIFFERENTIATION_IST_TE_ID,0))</f>
        <v/>
      </c>
      <c r="AE46" s="2755"/>
      <c r="AF46" s="2755"/>
      <c r="AG46" s="2755"/>
      <c r="AH46" s="2755"/>
      <c r="AI46" s="2755"/>
      <c r="AJ46" s="2755"/>
      <c r="AK46" s="2755"/>
      <c r="AL46" s="2756"/>
      <c r="AM46" s="1770" t="s">
        <v>520</v>
      </c>
      <c r="AO46" s="1012"/>
      <c r="AP46" s="1012" t="str">
        <f>IF(T46="","",T46)</f>
        <v>Источник тепловой энергии  </v>
      </c>
      <c r="AQ46" s="1012"/>
      <c r="AR46" s="1012"/>
      <c r="AS46" s="1667">
        <v>21</v>
      </c>
    </row>
    <row s="46890" customFormat="1" customHeight="1" ht="0">
      <c r="A47" s="1855" t="s">
        <v>219</v>
      </c>
      <c r="B47" s="1855" t="s">
        <v>220</v>
      </c>
      <c r="C47" s="1855" t="s">
        <v>221</v>
      </c>
      <c r="D47" s="1855" t="s">
        <v>222</v>
      </c>
      <c r="E47" s="2771"/>
      <c r="F47" s="2771"/>
      <c r="G47" s="2771"/>
      <c r="H47" s="2771"/>
      <c r="I47" s="2768" t="str">
        <f>S46&amp;".1"</f>
        <v>....1</v>
      </c>
      <c r="J47" s="1855"/>
      <c r="K47" s="1855"/>
      <c r="L47" s="1858" t="s">
        <v>521</v>
      </c>
      <c r="M47" s="1022"/>
      <c r="N47" s="1022"/>
      <c r="O47" s="1022"/>
      <c r="P47" s="2769">
        <v>1</v>
      </c>
      <c r="Q47" s="1843"/>
      <c r="R47" s="868"/>
      <c r="S47" s="1554"/>
      <c r="T47" s="1895"/>
      <c r="U47" s="1896"/>
      <c r="V47" s="2808"/>
      <c r="W47" s="2809"/>
      <c r="X47" s="2809"/>
      <c r="Y47" s="2809"/>
      <c r="Z47" s="2809"/>
      <c r="AA47" s="2809"/>
      <c r="AB47" s="2809"/>
      <c r="AC47" s="2810"/>
      <c r="AD47" s="2808"/>
      <c r="AE47" s="2809"/>
      <c r="AF47" s="2809"/>
      <c r="AG47" s="2809"/>
      <c r="AH47" s="2809"/>
      <c r="AI47" s="2809"/>
      <c r="AJ47" s="2809"/>
      <c r="AK47" s="2809"/>
      <c r="AL47" s="2810"/>
      <c r="AM47" s="1897"/>
      <c r="AO47" s="1012"/>
      <c r="AP47" s="1012" t="str">
        <f>IF(T47="","",T47)</f>
        <v/>
      </c>
      <c r="AQ47" s="1012"/>
      <c r="AR47" s="1012"/>
      <c r="AS47" s="1023">
        <v>0</v>
      </c>
    </row>
    <row customHeight="1" ht="22.049999999999997">
      <c r="A48" s="1875" t="s">
        <v>219</v>
      </c>
      <c r="B48" s="1875" t="s">
        <v>220</v>
      </c>
      <c r="C48" s="1875" t="s">
        <v>221</v>
      </c>
      <c r="D48" s="1875" t="s">
        <v>222</v>
      </c>
      <c r="E48" s="2771"/>
      <c r="F48" s="2771"/>
      <c r="G48" s="2771"/>
      <c r="H48" s="2771"/>
      <c r="I48" s="2798"/>
      <c r="J48" s="2768" t="str">
        <f>S46&amp;".1"</f>
        <v>....1</v>
      </c>
      <c r="K48" s="1875"/>
      <c r="L48" s="1876" t="s">
        <v>524</v>
      </c>
      <c r="P48" s="2769"/>
      <c r="Q48" s="2769">
        <v>1</v>
      </c>
      <c r="R48" s="869"/>
      <c r="S48" s="1848" t="str">
        <f>$J48</f>
        <v>....1</v>
      </c>
      <c r="T48" s="798" t="s">
        <v>525</v>
      </c>
      <c r="U48" s="812"/>
      <c r="V48" s="2757"/>
      <c r="W48" s="2758"/>
      <c r="X48" s="2758"/>
      <c r="Y48" s="2758"/>
      <c r="Z48" s="2758"/>
      <c r="AA48" s="2758"/>
      <c r="AB48" s="2758"/>
      <c r="AC48" s="2759"/>
      <c r="AD48" s="2757"/>
      <c r="AE48" s="2758"/>
      <c r="AF48" s="2758"/>
      <c r="AG48" s="2758"/>
      <c r="AH48" s="2758"/>
      <c r="AI48" s="2758"/>
      <c r="AJ48" s="2758"/>
      <c r="AK48" s="2758"/>
      <c r="AL48" s="2759"/>
      <c r="AM48" s="1770" t="s">
        <v>526</v>
      </c>
      <c r="AO48" s="1012"/>
      <c r="AP48" s="1012" t="str">
        <f>IF(T48="","",T48)</f>
        <v>Группа потребителей</v>
      </c>
      <c r="AQ48" s="1012"/>
      <c r="AR48" s="1012"/>
      <c r="AS48" s="1667">
        <v>21</v>
      </c>
    </row>
    <row customHeight="1" ht="22.049999999999997">
      <c r="A49" s="1875" t="s">
        <v>219</v>
      </c>
      <c r="B49" s="1875" t="s">
        <v>220</v>
      </c>
      <c r="C49" s="1875" t="s">
        <v>221</v>
      </c>
      <c r="D49" s="1875" t="s">
        <v>222</v>
      </c>
      <c r="E49" s="2771"/>
      <c r="F49" s="2771"/>
      <c r="G49" s="2771"/>
      <c r="H49" s="2771"/>
      <c r="I49" s="2798"/>
      <c r="J49" s="2798"/>
      <c r="K49" s="2768" t="str">
        <f>J48&amp;".1"</f>
        <v>....1.1</v>
      </c>
      <c r="L49" s="1876" t="s">
        <v>527</v>
      </c>
      <c r="P49" s="2769"/>
      <c r="Q49" s="2769"/>
      <c r="R49" s="869">
        <v>1</v>
      </c>
      <c r="S49" s="1848" t="str">
        <f>$K49</f>
        <v>....1.1</v>
      </c>
      <c r="T49" s="1859"/>
      <c r="U49" s="812"/>
      <c r="V49" s="1263"/>
      <c r="W49" s="837"/>
      <c r="X49" s="1263"/>
      <c r="Y49" s="1769"/>
      <c r="Z49" s="2777"/>
      <c r="AA49" s="2619" t="s">
        <v>63</v>
      </c>
      <c r="AB49" s="2777"/>
      <c r="AC49" s="2619" t="s">
        <v>63</v>
      </c>
      <c r="AD49" s="1263"/>
      <c r="AE49" s="837"/>
      <c r="AF49" s="1263"/>
      <c r="AG49" s="1769"/>
      <c r="AH49" s="2777"/>
      <c r="AI49" s="2619" t="s">
        <v>63</v>
      </c>
      <c r="AJ49" s="2799"/>
      <c r="AK49" s="2619" t="s">
        <v>63</v>
      </c>
      <c r="AL49" s="1860"/>
      <c r="AM49" s="2765" t="s">
        <v>566</v>
      </c>
      <c r="AN49" s="1023">
        <f>STRCHECKDATE(V50:AL50)</f>
      </c>
      <c r="AO49" s="1012"/>
      <c r="AP49" s="1012" t="str">
        <f>IF(T49="","",T49)</f>
        <v/>
      </c>
      <c r="AQ49" s="1012"/>
      <c r="AR49" s="1012"/>
      <c r="AS49" s="1667">
        <v>21</v>
      </c>
    </row>
    <row customHeight="1" ht="1.05">
      <c r="A50" s="1875" t="s">
        <v>219</v>
      </c>
      <c r="B50" s="1875" t="s">
        <v>220</v>
      </c>
      <c r="C50" s="1875" t="s">
        <v>221</v>
      </c>
      <c r="D50" s="1875" t="s">
        <v>222</v>
      </c>
      <c r="E50" s="2771"/>
      <c r="F50" s="2771"/>
      <c r="G50" s="2771"/>
      <c r="H50" s="2771"/>
      <c r="I50" s="2798"/>
      <c r="J50" s="2798"/>
      <c r="K50" s="2768"/>
      <c r="L50" s="1876"/>
      <c r="P50" s="2769"/>
      <c r="Q50" s="2769"/>
      <c r="R50" s="869"/>
      <c r="S50" s="1854"/>
      <c r="T50" s="812"/>
      <c r="U50" s="812"/>
      <c r="V50" s="837"/>
      <c r="W50" s="837"/>
      <c r="X50" s="837"/>
      <c r="Y50" s="840" t="str">
        <f>Z49&amp;"-"&amp;AB49</f>
        <v>-</v>
      </c>
      <c r="Z50" s="2778"/>
      <c r="AA50" s="2619"/>
      <c r="AB50" s="2778"/>
      <c r="AC50" s="2619"/>
      <c r="AD50" s="837"/>
      <c r="AE50" s="837"/>
      <c r="AF50" s="837"/>
      <c r="AG50" s="840" t="str">
        <f>AH49&amp;"-"&amp;AJ49</f>
        <v>-</v>
      </c>
      <c r="AH50" s="2778"/>
      <c r="AI50" s="2619"/>
      <c r="AJ50" s="2800"/>
      <c r="AK50" s="2619"/>
      <c r="AL50" s="1861"/>
      <c r="AM50" s="2766"/>
      <c r="AO50" s="1012"/>
      <c r="AP50" s="1012" t="str">
        <f>IF(T50="","",T50)</f>
        <v/>
      </c>
      <c r="AQ50" s="1012"/>
      <c r="AR50" s="1012"/>
      <c r="AS50" s="1667">
        <v>1</v>
      </c>
    </row>
    <row customHeight="1" ht="11.549999999999999">
      <c r="A51" s="1875" t="s">
        <v>219</v>
      </c>
      <c r="B51" s="1875" t="s">
        <v>220</v>
      </c>
      <c r="C51" s="1875" t="s">
        <v>221</v>
      </c>
      <c r="D51" s="1875" t="s">
        <v>222</v>
      </c>
      <c r="E51" s="2771"/>
      <c r="F51" s="2771"/>
      <c r="G51" s="2771"/>
      <c r="H51" s="2771"/>
      <c r="I51" s="2798"/>
      <c r="J51" s="2768"/>
      <c r="K51" s="1875"/>
      <c r="L51" s="1876"/>
      <c r="P51" s="2769"/>
      <c r="Q51" s="2769"/>
      <c r="R51" s="868"/>
      <c r="S51" s="1790"/>
      <c r="T51" s="799" t="s">
        <v>529</v>
      </c>
      <c r="U51" s="879"/>
      <c r="V51" s="879"/>
      <c r="W51" s="879"/>
      <c r="X51" s="879"/>
      <c r="Y51" s="879"/>
      <c r="Z51" s="879"/>
      <c r="AA51" s="879"/>
      <c r="AB51" s="879"/>
      <c r="AC51" s="879"/>
      <c r="AD51" s="879"/>
      <c r="AE51" s="879"/>
      <c r="AF51" s="879"/>
      <c r="AG51" s="879"/>
      <c r="AH51" s="879"/>
      <c r="AI51" s="879"/>
      <c r="AJ51" s="879"/>
      <c r="AK51" s="879"/>
      <c r="AL51" s="836"/>
      <c r="AM51" s="2767"/>
      <c r="AO51" s="1012"/>
      <c r="AP51" s="1012" t="str">
        <f>IF(T51="","",T51)</f>
        <v>Добавить вид теплоносителя (параметры теплоносителя)</v>
      </c>
      <c r="AQ51" s="1012"/>
      <c r="AR51" s="1012"/>
      <c r="AS51" s="1667">
        <v>11</v>
      </c>
    </row>
    <row customHeight="1" ht="11.549999999999999">
      <c r="A52" s="1875" t="s">
        <v>219</v>
      </c>
      <c r="B52" s="1875" t="s">
        <v>220</v>
      </c>
      <c r="C52" s="1875" t="s">
        <v>221</v>
      </c>
      <c r="D52" s="1875" t="s">
        <v>222</v>
      </c>
      <c r="E52" s="2771"/>
      <c r="F52" s="2771"/>
      <c r="G52" s="2771"/>
      <c r="H52" s="2771"/>
      <c r="I52" s="2768"/>
      <c r="J52" s="1875"/>
      <c r="K52" s="1875"/>
      <c r="L52" s="1876"/>
      <c r="P52" s="2769"/>
      <c r="Q52" s="1843"/>
      <c r="R52" s="868"/>
      <c r="S52" s="1790"/>
      <c r="T52" s="877" t="s">
        <v>530</v>
      </c>
      <c r="U52" s="879"/>
      <c r="V52" s="879"/>
      <c r="W52" s="879"/>
      <c r="X52" s="879"/>
      <c r="Y52" s="879"/>
      <c r="Z52" s="879"/>
      <c r="AA52" s="879"/>
      <c r="AB52" s="879"/>
      <c r="AC52" s="878"/>
      <c r="AD52" s="879"/>
      <c r="AE52" s="879"/>
      <c r="AF52" s="879"/>
      <c r="AG52" s="879"/>
      <c r="AH52" s="879"/>
      <c r="AI52" s="879"/>
      <c r="AJ52" s="879"/>
      <c r="AK52" s="878"/>
      <c r="AL52" s="879"/>
      <c r="AM52" s="815"/>
      <c r="AO52" s="1012"/>
      <c r="AP52" s="1012" t="str">
        <f>IF(T52="","",T52)</f>
        <v>Добавить группу потребителей</v>
      </c>
      <c r="AQ52" s="1012"/>
      <c r="AR52" s="1012"/>
      <c r="AS52" s="1667">
        <v>11</v>
      </c>
    </row>
    <row customHeight="1" ht="0">
      <c r="A53" s="1875" t="s">
        <v>219</v>
      </c>
      <c r="B53" s="1875" t="s">
        <v>220</v>
      </c>
      <c r="C53" s="1875" t="s">
        <v>221</v>
      </c>
      <c r="D53" s="1875" t="s">
        <v>222</v>
      </c>
      <c r="E53" s="2771"/>
      <c r="F53" s="2771"/>
      <c r="G53" s="2771"/>
      <c r="H53" s="2770"/>
      <c r="I53" s="1875"/>
      <c r="J53" s="1875"/>
      <c r="K53" s="1875"/>
      <c r="L53" s="1876"/>
      <c r="M53" s="1877"/>
      <c r="N53" s="1877"/>
      <c r="O53" s="1049"/>
      <c r="P53" s="872"/>
      <c r="Q53" s="887"/>
      <c r="R53" s="867"/>
      <c r="S53" s="1898"/>
      <c r="T53" s="1899"/>
      <c r="U53" s="1900"/>
      <c r="V53" s="1900"/>
      <c r="W53" s="1900"/>
      <c r="X53" s="1900"/>
      <c r="Y53" s="1900"/>
      <c r="Z53" s="1900"/>
      <c r="AA53" s="1900"/>
      <c r="AB53" s="1900"/>
      <c r="AC53" s="1900"/>
      <c r="AD53" s="1900"/>
      <c r="AE53" s="1900"/>
      <c r="AF53" s="1900"/>
      <c r="AG53" s="1900"/>
      <c r="AH53" s="1900"/>
      <c r="AI53" s="1900"/>
      <c r="AJ53" s="1900"/>
      <c r="AK53" s="1900"/>
      <c r="AL53" s="1900"/>
      <c r="AM53" s="1901"/>
      <c r="AO53" s="1012"/>
      <c r="AP53" s="1012" t="str">
        <f>IF(T53="","",T53)</f>
        <v/>
      </c>
      <c r="AQ53" s="1012"/>
      <c r="AR53" s="1012"/>
      <c r="AS53" s="1667">
        <v>0</v>
      </c>
    </row>
    <row s="46890" customFormat="1" customHeight="1" ht="1.05">
      <c r="A54" s="1855" t="s">
        <v>219</v>
      </c>
      <c r="B54" s="1855" t="s">
        <v>220</v>
      </c>
      <c r="C54" s="1855" t="s">
        <v>221</v>
      </c>
      <c r="D54" s="1826"/>
      <c r="E54" s="2771"/>
      <c r="F54" s="2771"/>
      <c r="G54" s="2770"/>
      <c r="H54" s="1826"/>
      <c r="I54" s="1826"/>
      <c r="J54" s="1826"/>
      <c r="K54" s="1826"/>
      <c r="L54" s="1851"/>
      <c r="M54" s="1827"/>
      <c r="N54" s="1827"/>
      <c r="P54" s="1828"/>
      <c r="Q54" s="1829"/>
      <c r="R54" s="1828"/>
      <c r="S54" s="1834"/>
      <c r="T54" s="1837" t="s">
        <v>532</v>
      </c>
      <c r="U54" s="1836"/>
      <c r="V54" s="1836"/>
      <c r="W54" s="1836"/>
      <c r="X54" s="1836"/>
      <c r="Y54" s="1836"/>
      <c r="Z54" s="1836"/>
      <c r="AA54" s="1836"/>
      <c r="AB54" s="1836"/>
      <c r="AC54" s="1836"/>
      <c r="AD54" s="1836"/>
      <c r="AE54" s="1836"/>
      <c r="AF54" s="1836"/>
      <c r="AG54" s="1836"/>
      <c r="AH54" s="1836"/>
      <c r="AI54" s="1836"/>
      <c r="AJ54" s="1836"/>
      <c r="AK54" s="1836"/>
      <c r="AL54" s="1836"/>
      <c r="AM54" s="1836"/>
      <c r="AO54" s="1301"/>
      <c r="AP54" s="1301" t="str">
        <f>IF(T54="","",T54)</f>
        <v>Добавить источник для дифференциации</v>
      </c>
      <c r="AQ54" s="1301"/>
      <c r="AR54" s="1301"/>
      <c r="AS54" s="1030">
        <v>1</v>
      </c>
    </row>
    <row s="46890" customFormat="1" customHeight="1" ht="1.05">
      <c r="A55" s="1855" t="s">
        <v>219</v>
      </c>
      <c r="B55" s="1855" t="s">
        <v>220</v>
      </c>
      <c r="C55" s="1826"/>
      <c r="D55" s="1826"/>
      <c r="E55" s="2771"/>
      <c r="F55" s="2770"/>
      <c r="G55" s="1826"/>
      <c r="H55" s="1826"/>
      <c r="I55" s="1826"/>
      <c r="J55" s="1826"/>
      <c r="K55" s="1826"/>
      <c r="L55" s="1851"/>
      <c r="M55" s="1833"/>
      <c r="N55" s="1833"/>
      <c r="P55" s="1828"/>
      <c r="Q55" s="1829"/>
      <c r="R55" s="1828"/>
      <c r="S55" s="1834"/>
      <c r="T55" s="1837" t="s">
        <v>321</v>
      </c>
      <c r="U55" s="1836"/>
      <c r="V55" s="1836"/>
      <c r="W55" s="1836"/>
      <c r="X55" s="1836"/>
      <c r="Y55" s="1836"/>
      <c r="Z55" s="1836"/>
      <c r="AA55" s="1836"/>
      <c r="AB55" s="1836"/>
      <c r="AC55" s="1836"/>
      <c r="AD55" s="1836"/>
      <c r="AE55" s="1836"/>
      <c r="AF55" s="1836"/>
      <c r="AG55" s="1836"/>
      <c r="AH55" s="1836"/>
      <c r="AI55" s="1836"/>
      <c r="AJ55" s="1836"/>
      <c r="AK55" s="1836"/>
      <c r="AL55" s="1836"/>
      <c r="AM55" s="1836"/>
      <c r="AO55" s="1301"/>
      <c r="AP55" s="1301" t="str">
        <f>IF(T55="","",T55)</f>
        <v>Добавить централизованную систему для дифференциации</v>
      </c>
      <c r="AQ55" s="1301"/>
      <c r="AR55" s="1301"/>
      <c r="AS55" s="1030">
        <v>1</v>
      </c>
    </row>
    <row s="46890" customFormat="1" customHeight="1" ht="1.05">
      <c r="A56" s="1855" t="s">
        <v>219</v>
      </c>
      <c r="B56" s="1855"/>
      <c r="C56" s="1855"/>
      <c r="D56" s="1855"/>
      <c r="E56" s="2770"/>
      <c r="F56" s="1855"/>
      <c r="G56" s="1855"/>
      <c r="H56" s="1855"/>
      <c r="I56" s="1855"/>
      <c r="J56" s="1855"/>
      <c r="K56" s="1855"/>
      <c r="L56" s="1858"/>
      <c r="M56" s="1833"/>
      <c r="N56" s="1833"/>
      <c r="O56" s="1030"/>
      <c r="P56" s="892"/>
      <c r="Q56" s="1856"/>
      <c r="R56" s="892"/>
      <c r="S56" s="1834"/>
      <c r="T56" s="1837" t="s">
        <v>385</v>
      </c>
      <c r="U56" s="1836"/>
      <c r="V56" s="1836"/>
      <c r="W56" s="1836"/>
      <c r="X56" s="1836"/>
      <c r="Y56" s="1836"/>
      <c r="Z56" s="1836"/>
      <c r="AA56" s="1836"/>
      <c r="AB56" s="1836"/>
      <c r="AC56" s="1836"/>
      <c r="AD56" s="1836"/>
      <c r="AE56" s="1836"/>
      <c r="AF56" s="1836"/>
      <c r="AG56" s="1836"/>
      <c r="AH56" s="1836"/>
      <c r="AI56" s="1836"/>
      <c r="AJ56" s="1836"/>
      <c r="AK56" s="1836"/>
      <c r="AL56" s="1836"/>
      <c r="AM56" s="1836"/>
      <c r="AO56" s="1012"/>
      <c r="AP56" s="1012" t="str">
        <f>IF(T56="","",T56)</f>
        <v>Добавить территорию для дифференциации</v>
      </c>
      <c r="AQ56" s="1012"/>
      <c r="AR56" s="1012"/>
      <c r="AS56" s="1023">
        <v>1</v>
      </c>
    </row>
    <row s="46890" customFormat="1" customHeight="1" ht="1.05">
      <c r="A57" s="1826"/>
      <c r="B57" s="1826"/>
      <c r="C57" s="1826"/>
      <c r="D57" s="1826"/>
      <c r="E57" s="1855"/>
      <c r="F57" s="1826"/>
      <c r="G57" s="1826"/>
      <c r="H57" s="1826"/>
      <c r="I57" s="1826"/>
      <c r="J57" s="1826"/>
      <c r="K57" s="1826"/>
      <c r="L57" s="1851"/>
      <c r="M57" s="1833"/>
      <c r="N57" s="1833"/>
      <c r="P57" s="1828"/>
      <c r="Q57" s="1829"/>
      <c r="R57" s="1828"/>
      <c r="S57" s="1834"/>
      <c r="T57" s="1837" t="s">
        <v>386</v>
      </c>
      <c r="U57" s="1836"/>
      <c r="V57" s="1836"/>
      <c r="W57" s="1836"/>
      <c r="X57" s="1836"/>
      <c r="Y57" s="1836"/>
      <c r="Z57" s="1836"/>
      <c r="AA57" s="1836"/>
      <c r="AB57" s="1836"/>
      <c r="AC57" s="1836"/>
      <c r="AD57" s="1836"/>
      <c r="AE57" s="1836"/>
      <c r="AF57" s="1836"/>
      <c r="AG57" s="1836"/>
      <c r="AH57" s="1836"/>
      <c r="AI57" s="1836"/>
      <c r="AJ57" s="1836"/>
      <c r="AK57" s="1836"/>
      <c r="AL57" s="1836"/>
      <c r="AM57" s="1836"/>
      <c r="AO57" s="1301"/>
      <c r="AP57" s="1301" t="str">
        <f>IF(T57="","",T57)</f>
        <v>Добавить наименование тарифа</v>
      </c>
      <c r="AQ57" s="1301"/>
      <c r="AR57" s="1301"/>
      <c r="AS57" s="1030">
        <v>1</v>
      </c>
    </row>
    <row customHeight="1" ht="11.549999999999999">
      <c r="M58" s="1672"/>
      <c r="N58" s="1672"/>
      <c r="O58" s="1049"/>
      <c r="P58" s="1667"/>
      <c r="Q58" s="1667"/>
      <c r="R58" s="1667"/>
      <c r="S58" s="1667"/>
      <c r="AN58" s="1667"/>
      <c r="AO58" s="1667"/>
      <c r="AP58" s="1667"/>
      <c r="AQ58" s="1667"/>
      <c r="AR58" s="1667"/>
      <c r="AS58" s="1667">
        <v>11</v>
      </c>
    </row>
    <row customHeight="1" ht="19.95">
      <c r="O59" s="1049"/>
      <c r="S59" s="1765"/>
      <c r="T59" s="2797"/>
      <c r="U59" s="2797"/>
      <c r="V59" s="2797"/>
      <c r="W59" s="2797"/>
      <c r="X59" s="2797"/>
      <c r="Y59" s="2797"/>
      <c r="Z59" s="2797"/>
      <c r="AA59" s="2797"/>
      <c r="AB59" s="2797"/>
      <c r="AC59" s="2797"/>
      <c r="AD59" s="2797"/>
      <c r="AE59" s="2797"/>
      <c r="AF59" s="2797"/>
      <c r="AG59" s="2797"/>
      <c r="AH59" s="2797"/>
      <c r="AI59" s="2797"/>
      <c r="AJ59" s="2797"/>
      <c r="AK59" s="2797"/>
      <c r="AL59" s="2797"/>
      <c r="AM59" s="2797"/>
      <c r="AS59" s="1667">
        <v>19</v>
      </c>
    </row>
    <row customHeight="1" ht="29.25">
      <c r="O60" s="1049"/>
      <c r="T60" s="2797"/>
      <c r="U60" s="2797"/>
      <c r="V60" s="2797"/>
      <c r="W60" s="2797"/>
      <c r="X60" s="2797"/>
      <c r="Y60" s="2797"/>
      <c r="Z60" s="2797"/>
      <c r="AA60" s="2797"/>
      <c r="AB60" s="2797"/>
      <c r="AC60" s="2797"/>
      <c r="AD60" s="2797"/>
      <c r="AE60" s="2797"/>
      <c r="AF60" s="2797"/>
      <c r="AG60" s="2797"/>
      <c r="AH60" s="2797"/>
      <c r="AI60" s="2797"/>
      <c r="AJ60" s="2797"/>
      <c r="AK60" s="2797"/>
      <c r="AL60" s="2797"/>
      <c r="AM60" s="2797"/>
      <c r="AS60" s="1667">
        <v>28</v>
      </c>
    </row>
    <row customHeight="1" ht="42">
      <c r="O61" s="1049"/>
      <c r="T61" s="2797"/>
      <c r="U61" s="2797"/>
      <c r="V61" s="2797"/>
      <c r="W61" s="2797"/>
      <c r="X61" s="2797"/>
      <c r="Y61" s="2797"/>
      <c r="Z61" s="2797"/>
      <c r="AA61" s="2797"/>
      <c r="AB61" s="2797"/>
      <c r="AC61" s="2797"/>
      <c r="AD61" s="2797"/>
      <c r="AE61" s="2797"/>
      <c r="AF61" s="2797"/>
      <c r="AG61" s="2797"/>
      <c r="AH61" s="2797"/>
      <c r="AI61" s="2797"/>
      <c r="AJ61" s="2797"/>
      <c r="AK61" s="2797"/>
      <c r="AL61" s="2797"/>
      <c r="AM61" s="2797"/>
      <c r="AS61" s="1667">
        <v>40</v>
      </c>
    </row>
    <row customHeight="1" ht="14.699999999999998">
      <c r="O62" s="1049"/>
      <c r="AS62" s="1667">
        <v>14</v>
      </c>
    </row>
    <row customHeight="1" ht="21">
      <c r="O63" s="1049"/>
      <c r="S63" s="1765"/>
      <c r="T63" s="2811"/>
      <c r="U63" s="2797"/>
      <c r="V63" s="2797"/>
      <c r="W63" s="2797"/>
      <c r="X63" s="2797"/>
      <c r="Y63" s="2797"/>
      <c r="Z63" s="2797"/>
      <c r="AA63" s="2797"/>
      <c r="AB63" s="2797"/>
      <c r="AC63" s="2797"/>
      <c r="AD63" s="2797"/>
      <c r="AE63" s="2797"/>
      <c r="AF63" s="2797"/>
      <c r="AG63" s="2797"/>
      <c r="AH63" s="2797"/>
      <c r="AI63" s="2797"/>
      <c r="AJ63" s="2797"/>
      <c r="AK63" s="2797"/>
      <c r="AL63" s="2797"/>
      <c r="AM63" s="2797"/>
      <c r="AS63" s="1667">
        <v>20</v>
      </c>
    </row>
    <row customHeight="1" ht="29.25">
      <c r="O64" s="1049"/>
      <c r="T64" s="2797"/>
      <c r="U64" s="2797"/>
      <c r="V64" s="2797"/>
      <c r="W64" s="2797"/>
      <c r="X64" s="2797"/>
      <c r="Y64" s="2797"/>
      <c r="Z64" s="2797"/>
      <c r="AA64" s="2797"/>
      <c r="AB64" s="2797"/>
      <c r="AC64" s="2797"/>
      <c r="AD64" s="2797"/>
      <c r="AE64" s="2797"/>
      <c r="AF64" s="2797"/>
      <c r="AG64" s="2797"/>
      <c r="AH64" s="2797"/>
      <c r="AI64" s="2797"/>
      <c r="AJ64" s="2797"/>
      <c r="AK64" s="2797"/>
      <c r="AL64" s="2797"/>
      <c r="AM64" s="2797"/>
      <c r="AS64" s="1667">
        <v>28</v>
      </c>
    </row>
    <row customHeight="1" ht="35.699999999999996">
      <c r="T65" s="2797"/>
      <c r="U65" s="2797"/>
      <c r="V65" s="2797"/>
      <c r="W65" s="2797"/>
      <c r="X65" s="2797"/>
      <c r="Y65" s="2797"/>
      <c r="Z65" s="2797"/>
      <c r="AA65" s="2797"/>
      <c r="AB65" s="2797"/>
      <c r="AC65" s="2797"/>
      <c r="AD65" s="2797"/>
      <c r="AE65" s="2797"/>
      <c r="AF65" s="2797"/>
      <c r="AG65" s="2797"/>
      <c r="AH65" s="2797"/>
      <c r="AI65" s="2797"/>
      <c r="AJ65" s="2797"/>
      <c r="AK65" s="2797"/>
      <c r="AL65" s="2797"/>
      <c r="AM65" s="2797"/>
      <c r="AS65" s="1667">
        <v>34</v>
      </c>
    </row>
    <row customHeight="1" ht="22.5" hidden="1">
      <c r="A66" s="1672" t="s">
        <v>84</v>
      </c>
      <c r="B66" s="1672">
        <v>0</v>
      </c>
      <c r="C66" s="1672">
        <v>0</v>
      </c>
      <c r="D66" s="1672">
        <v>0</v>
      </c>
      <c r="E66" s="1672">
        <v>0</v>
      </c>
      <c r="F66" s="1672">
        <v>0</v>
      </c>
      <c r="G66" s="1672">
        <v>0</v>
      </c>
      <c r="H66" s="1672">
        <v>0</v>
      </c>
      <c r="I66" s="1672">
        <v>0</v>
      </c>
      <c r="J66" s="1672">
        <v>0</v>
      </c>
      <c r="K66" s="1672">
        <v>0</v>
      </c>
      <c r="L66" s="1841">
        <v>0</v>
      </c>
      <c r="M66" s="1874">
        <v>0</v>
      </c>
      <c r="N66" s="1874">
        <v>0</v>
      </c>
      <c r="O66" s="1874">
        <v>0</v>
      </c>
      <c r="P66" s="1840">
        <v>0</v>
      </c>
      <c r="Q66" s="856">
        <v>3</v>
      </c>
      <c r="R66" s="856">
        <v>3</v>
      </c>
      <c r="S66" s="1093">
        <v>12</v>
      </c>
      <c r="T66" s="1667">
        <v>31</v>
      </c>
      <c r="U66" s="1667">
        <v>0</v>
      </c>
      <c r="V66" s="1667">
        <v>0</v>
      </c>
      <c r="W66" s="1667">
        <v>0</v>
      </c>
      <c r="X66" s="1667">
        <v>0</v>
      </c>
      <c r="Y66" s="1667">
        <v>0</v>
      </c>
      <c r="Z66" s="1667">
        <v>0</v>
      </c>
      <c r="AA66" s="1667">
        <v>0</v>
      </c>
      <c r="AB66" s="1667">
        <v>0</v>
      </c>
      <c r="AC66" s="1667">
        <v>0</v>
      </c>
      <c r="AD66" s="1667">
        <v>24</v>
      </c>
      <c r="AE66" s="1667">
        <v>0</v>
      </c>
      <c r="AF66" s="1667">
        <v>24</v>
      </c>
      <c r="AG66" s="1667">
        <v>24</v>
      </c>
      <c r="AH66" s="1667">
        <v>11</v>
      </c>
      <c r="AI66" s="1667">
        <v>3</v>
      </c>
      <c r="AJ66" s="1667">
        <v>11</v>
      </c>
      <c r="AK66" s="1667">
        <v>0</v>
      </c>
      <c r="AL66" s="1667">
        <v>4</v>
      </c>
      <c r="AM66" s="1667">
        <v>115</v>
      </c>
      <c r="AN66" s="1023">
        <v>10</v>
      </c>
      <c r="AO66" s="1023">
        <v>10</v>
      </c>
      <c r="AP66" s="1023">
        <v>10</v>
      </c>
      <c r="AQ66" s="1023">
        <v>10</v>
      </c>
      <c r="AR66" s="1023">
        <v>10</v>
      </c>
      <c r="AS66" s="1667">
        <v>23</v>
      </c>
    </row>
  </sheetData>
  <sheetProtection formatColumns="0" formatRows="0" autoFilter="0" sort="0" insertRows="0" insertColumns="1" deleteRows="0" deleteColumns="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604E991-F55C-F176-CD96-630E1766B719}"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46889" width="10.57421875" hidden="1"/>
    <col min="2" max="2" style="46889" width="11.00390625" hidden="1" customWidth="1"/>
    <col min="3" max="3" style="46889" width="10.57421875" hidden="1"/>
    <col min="4" max="4" style="46889" width="11.8515625" hidden="1" customWidth="1"/>
    <col min="5" max="5" style="46889" width="10.00390625" hidden="1" customWidth="1"/>
    <col min="6" max="6" style="46889" width="8.7109375" hidden="1" customWidth="1"/>
    <col min="7" max="7" style="46889" width="7.57421875" hidden="1" customWidth="1"/>
    <col min="8" max="8" style="46889" width="11.421875" hidden="1" customWidth="1"/>
    <col min="9" max="9" style="46889" width="12.00390625" hidden="1" customWidth="1"/>
    <col min="10" max="10" style="46889" width="9.8515625" hidden="1" customWidth="1"/>
    <col min="11" max="11" style="46889" width="11.421875" hidden="1" customWidth="1"/>
    <col min="12" max="12" style="47738" width="19.140625" hidden="1" customWidth="1"/>
    <col min="13" max="14" style="47739" width="12.28125" hidden="1" customWidth="1"/>
    <col min="15" max="15" style="47739" width="23.421875" hidden="1" customWidth="1"/>
    <col min="16" max="16" style="47740" width="3.7109375" hidden="1" customWidth="1"/>
    <col min="17" max="18" style="47741" width="3.00390625" customWidth="1"/>
    <col min="19" max="19" style="47742" width="12.00390625" customWidth="1"/>
    <col min="20" max="20" style="46808" width="31.00390625" customWidth="1"/>
    <col min="21" max="21" style="46808" width="0.140625" customWidth="1"/>
    <col min="22" max="22" style="46808" width="24.7109375" hidden="1" customWidth="1"/>
    <col min="23" max="23" style="46808" width="0.140625" hidden="1" customWidth="1"/>
    <col min="24" max="25" style="46808" width="24.7109375" hidden="1" customWidth="1"/>
    <col min="26" max="26" style="46808" width="11.7109375" hidden="1" customWidth="1"/>
    <col min="27" max="27" style="46808" width="3.7109375" hidden="1" customWidth="1"/>
    <col min="28" max="28" style="46808" width="11.7109375" hidden="1" customWidth="1"/>
    <col min="29" max="29" style="46808" width="8.57421875" hidden="1" customWidth="1"/>
    <col min="30" max="30" style="46808" width="24.7109375" customWidth="1"/>
    <col min="31" max="31" style="46808" width="0.140625" customWidth="1"/>
    <col min="32" max="33" style="46808" width="24.00390625" customWidth="1"/>
    <col min="34" max="34" style="46808" width="11.00390625" customWidth="1"/>
    <col min="35" max="35" style="46808" width="3.7109375" customWidth="1"/>
    <col min="36" max="36" style="46808" width="11.00390625" customWidth="1"/>
    <col min="37" max="37" style="46808" width="8.57421875" hidden="1" customWidth="1"/>
    <col min="38" max="38" style="46808" width="4.00390625" customWidth="1"/>
    <col min="39" max="39" style="46808" width="115.00390625" customWidth="1"/>
    <col min="40" max="44" style="46890" width="10.00390625" customWidth="1"/>
    <col min="45" max="45" style="46808" width="10.57421875" hidden="1"/>
  </cols>
  <sheetData>
    <row customHeight="1" ht="22.5" hidden="1">
      <c r="A1" s="2383"/>
      <c r="Y1" s="839"/>
      <c r="Z1" s="839"/>
      <c r="AG1" s="839"/>
      <c r="AH1" s="839"/>
      <c r="AS1" s="1667" t="s">
        <v>14</v>
      </c>
    </row>
    <row customHeight="1" ht="21" hidden="1">
      <c r="A2" s="1875"/>
      <c r="B2" s="1875"/>
      <c r="C2" s="1875"/>
      <c r="D2" s="1875"/>
      <c r="E2" s="2770">
        <v>1</v>
      </c>
      <c r="F2" s="1875"/>
      <c r="G2" s="1875"/>
      <c r="H2" s="1875"/>
      <c r="I2" s="1875"/>
      <c r="J2" s="1875"/>
      <c r="K2" s="1875"/>
      <c r="L2" s="1876"/>
      <c r="M2" s="1877"/>
      <c r="N2" s="1877"/>
      <c r="O2" s="1877"/>
      <c r="P2" s="873"/>
      <c r="Q2" s="872"/>
      <c r="R2" s="867"/>
      <c r="S2" s="1848">
        <f>INDEX(PT_DIFFERENTIATION_NUM_NTAR,MATCH(A2,PT_DIFFERENTIATION_NTAR_ID,0))</f>
      </c>
      <c r="T2" s="810" t="s">
        <v>179</v>
      </c>
      <c r="U2" s="812"/>
      <c r="V2" s="2754"/>
      <c r="W2" s="2755"/>
      <c r="X2" s="2755"/>
      <c r="Y2" s="2755"/>
      <c r="Z2" s="2755"/>
      <c r="AA2" s="2755"/>
      <c r="AB2" s="2755"/>
      <c r="AC2" s="2756"/>
      <c r="AD2" s="2754">
        <f>INDEX(PT_DIFFERENTIATION_NTAR,MATCH(A2,PT_DIFFERENTIATION_NTAR_ID,0))</f>
      </c>
      <c r="AE2" s="2755"/>
      <c r="AF2" s="2755"/>
      <c r="AG2" s="2755"/>
      <c r="AH2" s="2755"/>
      <c r="AI2" s="2755"/>
      <c r="AJ2" s="2755"/>
      <c r="AK2" s="2755"/>
      <c r="AL2" s="2756"/>
      <c r="AM2" s="1770" t="s">
        <v>514</v>
      </c>
      <c r="AO2" s="1012"/>
      <c r="AP2" s="1012" t="str">
        <f>IF(T2="","",T2)</f>
        <v>Наименование тарифа</v>
      </c>
      <c r="AQ2" s="1012"/>
      <c r="AR2" s="1012"/>
      <c r="AS2" s="1667">
        <v>0</v>
      </c>
    </row>
    <row customHeight="1" ht="21" hidden="1">
      <c r="A3" s="1875"/>
      <c r="B3" s="1875"/>
      <c r="C3" s="1875"/>
      <c r="D3" s="1875"/>
      <c r="E3" s="2771"/>
      <c r="F3" s="2770">
        <v>1</v>
      </c>
      <c r="G3" s="1875"/>
      <c r="H3" s="1875"/>
      <c r="I3" s="1875"/>
      <c r="J3" s="1875"/>
      <c r="K3" s="1875"/>
      <c r="L3" s="1876"/>
      <c r="M3" s="1877"/>
      <c r="N3" s="1877"/>
      <c r="O3" s="1877"/>
      <c r="P3" s="1844"/>
      <c r="Q3" s="864"/>
      <c r="R3" s="865"/>
      <c r="S3" s="1848">
        <f>INDEX(PT_DIFFERENTIATION_NUM_TER,MATCH(B3,PT_DIFFERENTIATION_TER_ID,0))</f>
      </c>
      <c r="T3" s="820" t="s">
        <v>515</v>
      </c>
      <c r="U3" s="812"/>
      <c r="V3" s="2754"/>
      <c r="W3" s="2755"/>
      <c r="X3" s="2755"/>
      <c r="Y3" s="2755"/>
      <c r="Z3" s="2755"/>
      <c r="AA3" s="2755"/>
      <c r="AB3" s="2755"/>
      <c r="AC3" s="2756"/>
      <c r="AD3" s="2754">
        <f>INDEX(PT_DIFFERENTIATION_TER,MATCH(B3,PT_DIFFERENTIATION_TER_ID,0))</f>
      </c>
      <c r="AE3" s="2755"/>
      <c r="AF3" s="2755"/>
      <c r="AG3" s="2755"/>
      <c r="AH3" s="2755"/>
      <c r="AI3" s="2755"/>
      <c r="AJ3" s="2755"/>
      <c r="AK3" s="2755"/>
      <c r="AL3" s="2756"/>
      <c r="AM3" s="1770" t="s">
        <v>516</v>
      </c>
      <c r="AO3" s="1012"/>
      <c r="AP3" s="1012" t="str">
        <f>IF(T3="","",T3)</f>
        <v>Территория действия тарифа</v>
      </c>
      <c r="AQ3" s="1012"/>
      <c r="AR3" s="1012"/>
      <c r="AS3" s="1667">
        <v>0</v>
      </c>
    </row>
    <row customHeight="1" ht="23.25" hidden="1">
      <c r="A4" s="1875"/>
      <c r="B4" s="1875"/>
      <c r="C4" s="1875"/>
      <c r="D4" s="1875"/>
      <c r="E4" s="2771"/>
      <c r="F4" s="2771"/>
      <c r="G4" s="2770">
        <v>1</v>
      </c>
      <c r="H4" s="1875"/>
      <c r="I4" s="1875"/>
      <c r="J4" s="1875"/>
      <c r="K4" s="1875"/>
      <c r="L4" s="1876"/>
      <c r="M4" s="1877"/>
      <c r="N4" s="1877"/>
      <c r="O4" s="1877"/>
      <c r="P4" s="866"/>
      <c r="Q4" s="864"/>
      <c r="R4" s="865"/>
      <c r="S4" s="2520">
        <f>INDEX(PT_DIFFERENTIATION_NUM_CS,MATCH(C4,PT_DIFFERENTIATION_CS_ID,0))</f>
      </c>
      <c r="T4" s="2524" t="s">
        <v>517</v>
      </c>
      <c r="U4" s="2525"/>
      <c r="V4" s="2812"/>
      <c r="W4" s="2813"/>
      <c r="X4" s="2813"/>
      <c r="Y4" s="2813"/>
      <c r="Z4" s="2813"/>
      <c r="AA4" s="2813"/>
      <c r="AB4" s="2813"/>
      <c r="AC4" s="2814"/>
      <c r="AD4" s="2812">
        <f>INDEX(PT_DIFFERENTIATION_CS,MATCH(C4,PT_DIFFERENTIATION_CS_ID,0))</f>
      </c>
      <c r="AE4" s="2813"/>
      <c r="AF4" s="2813"/>
      <c r="AG4" s="2813"/>
      <c r="AH4" s="2813"/>
      <c r="AI4" s="2813"/>
      <c r="AJ4" s="2813"/>
      <c r="AK4" s="2813"/>
      <c r="AL4" s="2814"/>
      <c r="AM4" s="1770" t="s">
        <v>518</v>
      </c>
      <c r="AO4" s="1012"/>
      <c r="AP4" s="1012" t="str">
        <f>IF(T4="","",T4)</f>
        <v>Наименование системы теплоснабжения </v>
      </c>
      <c r="AQ4" s="1012"/>
      <c r="AR4" s="1012"/>
      <c r="AS4" s="1667">
        <v>0</v>
      </c>
    </row>
    <row customHeight="1" ht="21" hidden="1">
      <c r="A5" s="1875"/>
      <c r="B5" s="1875"/>
      <c r="C5" s="1875"/>
      <c r="D5" s="1875"/>
      <c r="E5" s="2771"/>
      <c r="F5" s="2771"/>
      <c r="G5" s="2771"/>
      <c r="H5" s="2770">
        <v>1</v>
      </c>
      <c r="I5" s="1875"/>
      <c r="J5" s="1875"/>
      <c r="K5" s="1875"/>
      <c r="L5" s="1876"/>
      <c r="M5" s="1877"/>
      <c r="N5" s="1877"/>
      <c r="O5" s="1877"/>
      <c r="P5" s="866"/>
      <c r="Q5" s="864"/>
      <c r="R5" s="2147"/>
      <c r="S5" s="2519">
        <f>INDEX(PT_DIFFERENTIATION_NUM_IST_TE,MATCH(D5,PT_DIFFERENTIATION_IST_TE_ID,0))</f>
      </c>
      <c r="T5" s="822" t="s">
        <v>519</v>
      </c>
      <c r="U5" s="812"/>
      <c r="V5" s="2815"/>
      <c r="W5" s="2815"/>
      <c r="X5" s="2815"/>
      <c r="Y5" s="2815"/>
      <c r="Z5" s="2815"/>
      <c r="AA5" s="2815"/>
      <c r="AB5" s="2815"/>
      <c r="AC5" s="2815"/>
      <c r="AD5" s="2815">
        <f>INDEX(PT_DIFFERENTIATION_IST_TE,MATCH(D5,PT_DIFFERENTIATION_IST_TE_ID,0))</f>
      </c>
      <c r="AE5" s="2815"/>
      <c r="AF5" s="2815"/>
      <c r="AG5" s="2815"/>
      <c r="AH5" s="2815"/>
      <c r="AI5" s="2815"/>
      <c r="AJ5" s="2815"/>
      <c r="AK5" s="2815"/>
      <c r="AL5" s="2815"/>
      <c r="AM5" s="2522" t="s">
        <v>520</v>
      </c>
      <c r="AO5" s="1012"/>
      <c r="AP5" s="1012" t="str">
        <f>IF(T5="","",T5)</f>
        <v>Источник тепловой энергии  </v>
      </c>
      <c r="AQ5" s="1012"/>
      <c r="AR5" s="1012"/>
      <c r="AS5" s="1667">
        <v>0</v>
      </c>
    </row>
    <row customHeight="1" ht="0.75" hidden="1">
      <c r="A6" s="1875"/>
      <c r="B6" s="1875"/>
      <c r="C6" s="1875"/>
      <c r="D6" s="1875"/>
      <c r="E6" s="2771"/>
      <c r="F6" s="2771"/>
      <c r="G6" s="2771"/>
      <c r="H6" s="2771"/>
      <c r="I6" s="2768">
        <f>S5&amp;".1"</f>
      </c>
      <c r="J6" s="1875"/>
      <c r="K6" s="1875"/>
      <c r="L6" s="1876" t="s">
        <v>521</v>
      </c>
      <c r="M6" s="1049"/>
      <c r="P6" s="2769">
        <v>1</v>
      </c>
      <c r="Q6" s="1843"/>
      <c r="R6" s="2518"/>
      <c r="S6" s="1554"/>
      <c r="T6" s="1895"/>
      <c r="U6" s="1896"/>
      <c r="V6" s="2816"/>
      <c r="W6" s="2816"/>
      <c r="X6" s="2816"/>
      <c r="Y6" s="2816"/>
      <c r="Z6" s="2816"/>
      <c r="AA6" s="2816"/>
      <c r="AB6" s="2816"/>
      <c r="AC6" s="2816"/>
      <c r="AD6" s="2816"/>
      <c r="AE6" s="2816"/>
      <c r="AF6" s="2816"/>
      <c r="AG6" s="2816"/>
      <c r="AH6" s="2816"/>
      <c r="AI6" s="2816"/>
      <c r="AJ6" s="2816"/>
      <c r="AK6" s="2816"/>
      <c r="AL6" s="2816"/>
      <c r="AM6" s="2523"/>
      <c r="AO6" s="1012"/>
      <c r="AP6" s="1012" t="str">
        <f>IF(T6="","",T6)</f>
        <v/>
      </c>
      <c r="AQ6" s="1012"/>
      <c r="AR6" s="1012"/>
      <c r="AS6" s="1667">
        <v>0</v>
      </c>
    </row>
    <row customHeight="1" ht="84" hidden="1">
      <c r="A7" s="1875"/>
      <c r="B7" s="1875"/>
      <c r="C7" s="1875"/>
      <c r="D7" s="1875"/>
      <c r="E7" s="2771"/>
      <c r="F7" s="2771"/>
      <c r="G7" s="2771"/>
      <c r="H7" s="2771"/>
      <c r="I7" s="2798"/>
      <c r="J7" s="2768">
        <f>I6&amp;".1"</f>
      </c>
      <c r="K7" s="1875"/>
      <c r="L7" s="1876" t="s">
        <v>524</v>
      </c>
      <c r="M7" s="1049"/>
      <c r="N7" s="1878"/>
      <c r="P7" s="2769"/>
      <c r="Q7" s="2769">
        <v>1</v>
      </c>
      <c r="R7" s="2154"/>
      <c r="S7" s="2519">
        <f>$J7</f>
      </c>
      <c r="T7" s="798" t="s">
        <v>525</v>
      </c>
      <c r="U7" s="812"/>
      <c r="V7" s="2817"/>
      <c r="W7" s="2817"/>
      <c r="X7" s="2817"/>
      <c r="Y7" s="2817"/>
      <c r="Z7" s="2817"/>
      <c r="AA7" s="2817"/>
      <c r="AB7" s="2817"/>
      <c r="AC7" s="2817"/>
      <c r="AD7" s="2817"/>
      <c r="AE7" s="2817"/>
      <c r="AF7" s="2817"/>
      <c r="AG7" s="2817"/>
      <c r="AH7" s="2817"/>
      <c r="AI7" s="2817"/>
      <c r="AJ7" s="2817"/>
      <c r="AK7" s="2817"/>
      <c r="AL7" s="2817"/>
      <c r="AM7" s="2522" t="s">
        <v>526</v>
      </c>
      <c r="AO7" s="1012"/>
      <c r="AP7" s="1012" t="str">
        <f>IF(T7="","",T7)</f>
        <v>Группа потребителей</v>
      </c>
      <c r="AQ7" s="1012"/>
      <c r="AR7" s="1012"/>
      <c r="AS7" s="1667">
        <v>0</v>
      </c>
    </row>
    <row customHeight="1" ht="11.25" hidden="1">
      <c r="A8" s="1875"/>
      <c r="B8" s="1875"/>
      <c r="C8" s="1875"/>
      <c r="D8" s="1875"/>
      <c r="E8" s="2771"/>
      <c r="F8" s="2771"/>
      <c r="G8" s="2771"/>
      <c r="H8" s="2771"/>
      <c r="I8" s="2798"/>
      <c r="J8" s="2798"/>
      <c r="K8" s="2768">
        <f>J7&amp;".1"</f>
      </c>
      <c r="L8" s="1876" t="s">
        <v>527</v>
      </c>
      <c r="M8" s="1049"/>
      <c r="N8" s="1878"/>
      <c r="O8" s="1878"/>
      <c r="P8" s="2769"/>
      <c r="Q8" s="2769"/>
      <c r="R8" s="869">
        <v>1</v>
      </c>
      <c r="S8" s="2521">
        <f>$K8</f>
      </c>
      <c r="T8" s="2526"/>
      <c r="U8" s="2527"/>
      <c r="V8" s="2528"/>
      <c r="W8" s="1861"/>
      <c r="X8" s="2528"/>
      <c r="Y8" s="2529"/>
      <c r="Z8" s="2818"/>
      <c r="AA8" s="2624" t="s">
        <v>63</v>
      </c>
      <c r="AB8" s="2818"/>
      <c r="AC8" s="2624" t="s">
        <v>63</v>
      </c>
      <c r="AD8" s="2528"/>
      <c r="AE8" s="1861"/>
      <c r="AF8" s="2528"/>
      <c r="AG8" s="2529"/>
      <c r="AH8" s="2818"/>
      <c r="AI8" s="2624" t="s">
        <v>63</v>
      </c>
      <c r="AJ8" s="2818"/>
      <c r="AK8" s="2624" t="s">
        <v>63</v>
      </c>
      <c r="AL8" s="1861"/>
      <c r="AM8" s="2765" t="s">
        <v>528</v>
      </c>
      <c r="AN8" s="1023">
        <f>STRCHECKDATE(V9:AL9)</f>
      </c>
      <c r="AO8" s="1012"/>
      <c r="AP8" s="1012" t="str">
        <f>IF(T8="","",T8)</f>
        <v/>
      </c>
      <c r="AQ8" s="1012"/>
      <c r="AR8" s="1012"/>
      <c r="AS8" s="1667">
        <v>0</v>
      </c>
    </row>
    <row customHeight="1" ht="0.75" hidden="1">
      <c r="A9" s="1875"/>
      <c r="B9" s="1875"/>
      <c r="C9" s="1875"/>
      <c r="D9" s="1875"/>
      <c r="E9" s="2771"/>
      <c r="F9" s="2771"/>
      <c r="G9" s="2771"/>
      <c r="H9" s="2771"/>
      <c r="I9" s="2798"/>
      <c r="J9" s="2798"/>
      <c r="K9" s="2768"/>
      <c r="L9" s="1876"/>
      <c r="M9" s="1049"/>
      <c r="N9" s="1878"/>
      <c r="O9" s="1878"/>
      <c r="P9" s="2769"/>
      <c r="Q9" s="2769"/>
      <c r="R9" s="869"/>
      <c r="S9" s="1854"/>
      <c r="T9" s="812"/>
      <c r="U9" s="812"/>
      <c r="V9" s="837"/>
      <c r="W9" s="837"/>
      <c r="X9" s="837"/>
      <c r="Y9" s="840" t="str">
        <f>Z8&amp;"-"&amp;AB8</f>
        <v>-</v>
      </c>
      <c r="Z9" s="2778"/>
      <c r="AA9" s="2619"/>
      <c r="AB9" s="2778"/>
      <c r="AC9" s="2619"/>
      <c r="AD9" s="837"/>
      <c r="AE9" s="837"/>
      <c r="AF9" s="837"/>
      <c r="AG9" s="840" t="str">
        <f>AH8&amp;"-"&amp;AJ8</f>
        <v>-</v>
      </c>
      <c r="AH9" s="2778"/>
      <c r="AI9" s="2619"/>
      <c r="AJ9" s="2778"/>
      <c r="AK9" s="2619"/>
      <c r="AL9" s="837"/>
      <c r="AM9" s="2766"/>
      <c r="AO9" s="1012"/>
      <c r="AP9" s="1012" t="str">
        <f>IF(T9="","",T9)</f>
        <v/>
      </c>
      <c r="AQ9" s="1012"/>
      <c r="AR9" s="1012"/>
      <c r="AS9" s="1667">
        <v>0</v>
      </c>
    </row>
    <row customHeight="1" ht="11.25" hidden="1">
      <c r="A10" s="1875"/>
      <c r="B10" s="1875"/>
      <c r="C10" s="1875"/>
      <c r="D10" s="1875"/>
      <c r="E10" s="2771"/>
      <c r="F10" s="2771"/>
      <c r="G10" s="2771"/>
      <c r="H10" s="2771"/>
      <c r="I10" s="2798"/>
      <c r="J10" s="2768"/>
      <c r="K10" s="1875"/>
      <c r="L10" s="1876"/>
      <c r="M10" s="1049"/>
      <c r="N10" s="1878"/>
      <c r="P10" s="2769"/>
      <c r="Q10" s="2769"/>
      <c r="R10" s="868"/>
      <c r="S10" s="1790"/>
      <c r="T10" s="799" t="s">
        <v>529</v>
      </c>
      <c r="U10" s="879"/>
      <c r="V10" s="879"/>
      <c r="W10" s="879"/>
      <c r="X10" s="879"/>
      <c r="Y10" s="879"/>
      <c r="Z10" s="879"/>
      <c r="AA10" s="879"/>
      <c r="AB10" s="879"/>
      <c r="AC10" s="879"/>
      <c r="AD10" s="879"/>
      <c r="AE10" s="879"/>
      <c r="AF10" s="879"/>
      <c r="AG10" s="879"/>
      <c r="AH10" s="879"/>
      <c r="AI10" s="879"/>
      <c r="AJ10" s="879"/>
      <c r="AK10" s="879"/>
      <c r="AL10" s="836"/>
      <c r="AM10" s="2767"/>
      <c r="AO10" s="1012"/>
      <c r="AP10" s="1012" t="str">
        <f>IF(T10="","",T10)</f>
        <v>Добавить вид теплоносителя (параметры теплоносителя)</v>
      </c>
      <c r="AQ10" s="1012"/>
      <c r="AR10" s="1012"/>
      <c r="AS10" s="1667">
        <v>0</v>
      </c>
    </row>
    <row customHeight="1" ht="11.25" hidden="1">
      <c r="A11" s="1875"/>
      <c r="B11" s="1875"/>
      <c r="C11" s="1875"/>
      <c r="D11" s="1875"/>
      <c r="E11" s="2771"/>
      <c r="F11" s="2771"/>
      <c r="G11" s="2771"/>
      <c r="H11" s="2771"/>
      <c r="I11" s="2768"/>
      <c r="J11" s="1875"/>
      <c r="K11" s="1875"/>
      <c r="L11" s="1876"/>
      <c r="M11" s="1049"/>
      <c r="P11" s="2769"/>
      <c r="Q11" s="1843"/>
      <c r="R11" s="868"/>
      <c r="S11" s="1790"/>
      <c r="T11" s="877" t="s">
        <v>530</v>
      </c>
      <c r="U11" s="879"/>
      <c r="V11" s="879"/>
      <c r="W11" s="879"/>
      <c r="X11" s="879"/>
      <c r="Y11" s="879"/>
      <c r="Z11" s="879"/>
      <c r="AA11" s="879"/>
      <c r="AB11" s="879"/>
      <c r="AC11" s="878"/>
      <c r="AD11" s="879"/>
      <c r="AE11" s="879"/>
      <c r="AF11" s="879"/>
      <c r="AG11" s="879"/>
      <c r="AH11" s="879"/>
      <c r="AI11" s="879"/>
      <c r="AJ11" s="879"/>
      <c r="AK11" s="878"/>
      <c r="AL11" s="879"/>
      <c r="AM11" s="815"/>
      <c r="AO11" s="1012"/>
      <c r="AP11" s="1012" t="str">
        <f>IF(T11="","",T11)</f>
        <v>Добавить группу потребителей</v>
      </c>
      <c r="AQ11" s="1012"/>
      <c r="AR11" s="1012"/>
      <c r="AS11" s="1667">
        <v>0</v>
      </c>
    </row>
    <row customHeight="1" ht="0.75" hidden="1">
      <c r="A12" s="1875"/>
      <c r="B12" s="1875"/>
      <c r="C12" s="1875"/>
      <c r="D12" s="1875"/>
      <c r="E12" s="2771"/>
      <c r="F12" s="2771"/>
      <c r="G12" s="2771"/>
      <c r="H12" s="2770"/>
      <c r="I12" s="1875"/>
      <c r="J12" s="1875"/>
      <c r="K12" s="1875"/>
      <c r="L12" s="1876"/>
      <c r="M12" s="1877"/>
      <c r="N12" s="1877"/>
      <c r="O12" s="1049"/>
      <c r="P12" s="872"/>
      <c r="Q12" s="887"/>
      <c r="R12" s="867"/>
      <c r="S12" s="1898"/>
      <c r="T12" s="1899"/>
      <c r="U12" s="1900"/>
      <c r="V12" s="1900"/>
      <c r="W12" s="1900"/>
      <c r="X12" s="1900"/>
      <c r="Y12" s="1900"/>
      <c r="Z12" s="1900"/>
      <c r="AA12" s="1900"/>
      <c r="AB12" s="1900"/>
      <c r="AC12" s="1900"/>
      <c r="AD12" s="1900"/>
      <c r="AE12" s="1900"/>
      <c r="AF12" s="1900"/>
      <c r="AG12" s="1900"/>
      <c r="AH12" s="1900"/>
      <c r="AI12" s="1900"/>
      <c r="AJ12" s="1900"/>
      <c r="AK12" s="1900"/>
      <c r="AL12" s="1900"/>
      <c r="AM12" s="1901"/>
      <c r="AO12" s="1012"/>
      <c r="AP12" s="1012" t="str">
        <f>IF(T12="","",T12)</f>
        <v/>
      </c>
      <c r="AQ12" s="1012"/>
      <c r="AR12" s="1012"/>
      <c r="AS12" s="1667">
        <v>0</v>
      </c>
    </row>
    <row s="46890" customFormat="1" customHeight="1" ht="0.75" hidden="1">
      <c r="A13" s="1826"/>
      <c r="B13" s="1826"/>
      <c r="C13" s="1826"/>
      <c r="D13" s="1826"/>
      <c r="E13" s="2771"/>
      <c r="F13" s="2771"/>
      <c r="G13" s="2770"/>
      <c r="H13" s="1826"/>
      <c r="I13" s="1826"/>
      <c r="J13" s="1826"/>
      <c r="K13" s="1826"/>
      <c r="L13" s="1851"/>
      <c r="M13" s="1827"/>
      <c r="N13" s="1827"/>
      <c r="P13" s="1828"/>
      <c r="Q13" s="1829"/>
      <c r="R13" s="1828"/>
      <c r="S13" s="1830"/>
      <c r="T13" s="1831" t="s">
        <v>532</v>
      </c>
      <c r="U13" s="1832"/>
      <c r="V13" s="1832"/>
      <c r="W13" s="1832"/>
      <c r="X13" s="1832"/>
      <c r="Y13" s="1832"/>
      <c r="Z13" s="1832"/>
      <c r="AA13" s="1832"/>
      <c r="AB13" s="1832"/>
      <c r="AC13" s="1832"/>
      <c r="AD13" s="1832"/>
      <c r="AE13" s="1832"/>
      <c r="AF13" s="1832"/>
      <c r="AG13" s="1832"/>
      <c r="AH13" s="1832"/>
      <c r="AI13" s="1832"/>
      <c r="AJ13" s="1832"/>
      <c r="AK13" s="1832"/>
      <c r="AL13" s="1832"/>
      <c r="AM13" s="1832"/>
      <c r="AO13" s="1301"/>
      <c r="AP13" s="1301" t="str">
        <f>IF(T13="","",T13)</f>
        <v>Добавить источник для дифференциации</v>
      </c>
      <c r="AQ13" s="1301"/>
      <c r="AR13" s="1301"/>
      <c r="AS13" s="1030">
        <v>0</v>
      </c>
    </row>
    <row s="46890" customFormat="1" customHeight="1" ht="0.75" hidden="1">
      <c r="A14" s="1826"/>
      <c r="B14" s="1826"/>
      <c r="C14" s="1826"/>
      <c r="D14" s="1826"/>
      <c r="E14" s="2771"/>
      <c r="F14" s="2770"/>
      <c r="G14" s="1826"/>
      <c r="H14" s="1826"/>
      <c r="I14" s="1826"/>
      <c r="J14" s="1826"/>
      <c r="K14" s="1826"/>
      <c r="L14" s="1851"/>
      <c r="M14" s="1833"/>
      <c r="N14" s="1833"/>
      <c r="P14" s="1828"/>
      <c r="Q14" s="1829"/>
      <c r="R14" s="1828"/>
      <c r="S14" s="1834"/>
      <c r="T14" s="1835" t="s">
        <v>321</v>
      </c>
      <c r="U14" s="1836"/>
      <c r="V14" s="1836"/>
      <c r="W14" s="1836"/>
      <c r="X14" s="1836"/>
      <c r="Y14" s="1836"/>
      <c r="Z14" s="1836"/>
      <c r="AA14" s="1836"/>
      <c r="AB14" s="1836"/>
      <c r="AC14" s="1836"/>
      <c r="AD14" s="1836"/>
      <c r="AE14" s="1836"/>
      <c r="AF14" s="1836"/>
      <c r="AG14" s="1836"/>
      <c r="AH14" s="1836"/>
      <c r="AI14" s="1836"/>
      <c r="AJ14" s="1836"/>
      <c r="AK14" s="1836"/>
      <c r="AL14" s="1836"/>
      <c r="AM14" s="1836"/>
      <c r="AO14" s="1301"/>
      <c r="AP14" s="1301" t="str">
        <f>IF(T14="","",T14)</f>
        <v>Добавить централизованную систему для дифференциации</v>
      </c>
      <c r="AQ14" s="1301"/>
      <c r="AR14" s="1301"/>
      <c r="AS14" s="1030">
        <v>0</v>
      </c>
    </row>
    <row s="46890" customFormat="1" customHeight="1" ht="0.75" hidden="1">
      <c r="A15" s="1826"/>
      <c r="B15" s="1826"/>
      <c r="C15" s="1826"/>
      <c r="D15" s="1826"/>
      <c r="E15" s="2770"/>
      <c r="F15" s="1826"/>
      <c r="G15" s="1826"/>
      <c r="H15" s="1826"/>
      <c r="I15" s="1826"/>
      <c r="J15" s="1826"/>
      <c r="K15" s="1826"/>
      <c r="L15" s="1851"/>
      <c r="M15" s="1833"/>
      <c r="N15" s="1833"/>
      <c r="P15" s="1828"/>
      <c r="Q15" s="1829"/>
      <c r="R15" s="1828"/>
      <c r="S15" s="1834"/>
      <c r="T15" s="1837" t="s">
        <v>385</v>
      </c>
      <c r="U15" s="1836"/>
      <c r="V15" s="1836"/>
      <c r="W15" s="1836"/>
      <c r="X15" s="1836"/>
      <c r="Y15" s="1836"/>
      <c r="Z15" s="1836"/>
      <c r="AA15" s="1836"/>
      <c r="AB15" s="1836"/>
      <c r="AC15" s="1836"/>
      <c r="AD15" s="1836"/>
      <c r="AE15" s="1836"/>
      <c r="AF15" s="1836"/>
      <c r="AG15" s="1836"/>
      <c r="AH15" s="1836"/>
      <c r="AI15" s="1836"/>
      <c r="AJ15" s="1836"/>
      <c r="AK15" s="1836"/>
      <c r="AL15" s="1836"/>
      <c r="AM15" s="1836"/>
      <c r="AO15" s="1301"/>
      <c r="AP15" s="1301" t="str">
        <f>IF(T15="","",T15)</f>
        <v>Добавить территорию для дифференциации</v>
      </c>
      <c r="AQ15" s="1301"/>
      <c r="AR15" s="1301"/>
      <c r="AS15" s="1030">
        <v>0</v>
      </c>
    </row>
    <row customHeight="1" ht="14.25" hidden="1">
      <c r="AC16" s="839"/>
      <c r="AK16" s="839"/>
      <c r="AS16" s="1667">
        <v>0</v>
      </c>
    </row>
    <row customHeight="1" ht="14.25" hidden="1">
      <c r="AD17" s="1872"/>
      <c r="AE17" s="1872"/>
      <c r="AF17" s="1872"/>
      <c r="AG17" s="1873"/>
      <c r="AH17" s="2779"/>
      <c r="AI17" s="2780" t="s">
        <v>63</v>
      </c>
      <c r="AJ17" s="2779"/>
      <c r="AK17" s="2780" t="s">
        <v>63</v>
      </c>
      <c r="AS17" s="1667">
        <v>0</v>
      </c>
    </row>
    <row customHeight="1" ht="14.25" hidden="1">
      <c r="AD18" s="1872"/>
      <c r="AE18" s="1872"/>
      <c r="AF18" s="1872"/>
      <c r="AG18" s="840" t="str">
        <f>AH17&amp;"-"&amp;AJ17</f>
        <v>-</v>
      </c>
      <c r="AH18" s="2780"/>
      <c r="AI18" s="2780"/>
      <c r="AJ18" s="2780"/>
      <c r="AK18" s="2780"/>
      <c r="AS18" s="1667">
        <v>0</v>
      </c>
    </row>
    <row customHeight="1" ht="14.25" hidden="1">
      <c r="AK19" s="839"/>
      <c r="AS19" s="1667">
        <v>0</v>
      </c>
    </row>
    <row s="46889" customFormat="1" customHeight="1" ht="22.5" hidden="1">
      <c r="L20" s="1841"/>
      <c r="M20" s="1874"/>
      <c r="N20" s="1874"/>
      <c r="O20" s="1879" t="s">
        <v>533</v>
      </c>
      <c r="P20" s="1874"/>
      <c r="Q20" s="1883"/>
      <c r="R20" s="1883"/>
      <c r="S20" s="1241"/>
      <c r="Z20" s="1879"/>
      <c r="AB20" s="1879"/>
      <c r="AC20" s="1878"/>
      <c r="AH20" s="1879"/>
      <c r="AJ20" s="1879"/>
      <c r="AK20" s="1878"/>
      <c r="AN20" s="1023"/>
      <c r="AO20" s="1023"/>
      <c r="AP20" s="1023"/>
      <c r="AQ20" s="1023"/>
      <c r="AR20" s="1023"/>
      <c r="AS20" s="1672">
        <v>0</v>
      </c>
    </row>
    <row s="46889" customFormat="1" customHeight="1" ht="14.25" hidden="1">
      <c r="L21" s="1841"/>
      <c r="M21" s="1874"/>
      <c r="N21" s="1874"/>
      <c r="O21" s="1874"/>
      <c r="P21" s="1874"/>
      <c r="Q21" s="1883"/>
      <c r="R21" s="1883"/>
      <c r="S21" s="1241"/>
      <c r="AC21" s="1878"/>
      <c r="AK21" s="1878"/>
      <c r="AN21" s="1023"/>
      <c r="AO21" s="1023"/>
      <c r="AP21" s="1023"/>
      <c r="AQ21" s="1023"/>
      <c r="AR21" s="1023"/>
      <c r="AS21" s="1672">
        <v>0</v>
      </c>
    </row>
    <row s="46889" customFormat="1" customHeight="1" ht="14.25" hidden="1">
      <c r="L22" s="1841"/>
      <c r="M22" s="1874"/>
      <c r="N22" s="1874"/>
      <c r="O22" s="1876" t="s">
        <v>534</v>
      </c>
      <c r="P22" s="1874"/>
      <c r="Q22" s="1883"/>
      <c r="R22" s="1883"/>
      <c r="S22" s="1241"/>
      <c r="T22" s="1672" t="s">
        <v>535</v>
      </c>
      <c r="AA22" s="698" t="s">
        <v>536</v>
      </c>
      <c r="AC22" s="698" t="s">
        <v>537</v>
      </c>
      <c r="AD22" s="1672" t="s">
        <v>535</v>
      </c>
      <c r="AI22" s="698" t="s">
        <v>538</v>
      </c>
      <c r="AK22" s="698" t="s">
        <v>537</v>
      </c>
      <c r="AN22" s="1023"/>
      <c r="AO22" s="1023"/>
      <c r="AP22" s="1023"/>
      <c r="AQ22" s="1023"/>
      <c r="AR22" s="1023"/>
      <c r="AS22" s="1672">
        <v>0</v>
      </c>
    </row>
    <row customHeight="1" ht="14.25" hidden="1">
      <c r="O23" s="1876"/>
      <c r="AS23" s="1667">
        <v>0</v>
      </c>
    </row>
    <row customHeight="1" ht="14.25" hidden="1">
      <c r="O24" s="1876"/>
      <c r="AS24" s="1667">
        <v>0</v>
      </c>
    </row>
    <row customHeight="1" ht="14.699999999999998">
      <c r="Q25" s="888"/>
      <c r="R25" s="888"/>
      <c r="S25" s="1787"/>
      <c r="T25" s="875"/>
      <c r="U25" s="875"/>
      <c r="V25" s="1021"/>
      <c r="W25" s="1021"/>
      <c r="X25" s="1021"/>
      <c r="Y25" s="1021"/>
      <c r="Z25" s="1021"/>
      <c r="AA25" s="1021"/>
      <c r="AB25" s="1021"/>
      <c r="AC25" s="1021"/>
      <c r="AD25" s="1021"/>
      <c r="AE25" s="1021"/>
      <c r="AF25" s="1021"/>
      <c r="AG25" s="1021"/>
      <c r="AH25" s="1021"/>
      <c r="AI25" s="1021"/>
      <c r="AJ25" s="1021"/>
      <c r="AK25" s="1021"/>
      <c r="AS25" s="1667">
        <v>14</v>
      </c>
    </row>
    <row customHeight="1" ht="54.75">
      <c r="Q26" s="888"/>
      <c r="R26" s="888"/>
      <c r="S26" s="2819"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819"/>
      <c r="U26" s="2819"/>
      <c r="V26" s="2819"/>
      <c r="W26" s="2819"/>
      <c r="X26" s="2819"/>
      <c r="Y26" s="2819"/>
      <c r="Z26" s="2819"/>
      <c r="AA26" s="2819"/>
      <c r="AB26" s="2819"/>
      <c r="AC26" s="2819"/>
      <c r="AD26" s="2819"/>
      <c r="AE26" s="2819"/>
      <c r="AF26" s="2819"/>
      <c r="AG26" s="2819"/>
      <c r="AH26" s="2819"/>
      <c r="AI26" s="2819"/>
      <c r="AJ26" s="2819"/>
      <c r="AK26" s="1755"/>
      <c r="AS26" s="1667">
        <v>52</v>
      </c>
    </row>
    <row customHeight="1" ht="14.699999999999998">
      <c r="Q27" s="888"/>
      <c r="R27" s="888"/>
      <c r="S27" s="2761" t="str">
        <f>IF(org=0,"Не определено",org)</f>
        <v>КГУП "Примтеплоэнерго"</v>
      </c>
      <c r="T27" s="2761"/>
      <c r="U27" s="2761"/>
      <c r="V27" s="2761"/>
      <c r="W27" s="2761"/>
      <c r="X27" s="2761"/>
      <c r="Y27" s="2761"/>
      <c r="Z27" s="2761"/>
      <c r="AA27" s="2761"/>
      <c r="AB27" s="2761"/>
      <c r="AC27" s="2761"/>
      <c r="AD27" s="2761"/>
      <c r="AE27" s="2761"/>
      <c r="AF27" s="2761"/>
      <c r="AG27" s="2761"/>
      <c r="AH27" s="2761"/>
      <c r="AI27" s="2761"/>
      <c r="AJ27" s="2761"/>
      <c r="AK27" s="1755"/>
      <c r="AS27" s="1667">
        <v>14</v>
      </c>
    </row>
    <row customHeight="1" ht="14.25">
      <c r="Q28" s="888"/>
      <c r="R28" s="888"/>
      <c r="S28" s="1787"/>
      <c r="T28" s="875"/>
      <c r="U28" s="875"/>
      <c r="V28" s="834"/>
      <c r="W28" s="834"/>
      <c r="X28" s="834"/>
      <c r="Y28" s="834"/>
      <c r="Z28" s="834"/>
      <c r="AA28" s="834"/>
      <c r="AB28" s="834"/>
      <c r="AC28" s="834"/>
      <c r="AD28" s="834"/>
      <c r="AE28" s="834"/>
      <c r="AF28" s="834"/>
      <c r="AG28" s="834"/>
      <c r="AH28" s="834"/>
      <c r="AI28" s="834"/>
      <c r="AJ28" s="834"/>
      <c r="AK28" s="834"/>
      <c r="AL28" s="1021"/>
      <c r="AS28" s="1667">
        <v>0</v>
      </c>
    </row>
    <row s="47026" customFormat="1" customHeight="1" ht="25.5">
      <c r="A29" s="1880"/>
      <c r="B29" s="1880"/>
      <c r="C29" s="1880"/>
      <c r="D29" s="1880"/>
      <c r="E29" s="1880"/>
      <c r="F29" s="1880"/>
      <c r="G29" s="1880"/>
      <c r="H29" s="1880"/>
      <c r="I29" s="1880"/>
      <c r="J29" s="1880"/>
      <c r="K29" s="1880"/>
      <c r="L29" s="1881"/>
      <c r="M29" s="1880"/>
      <c r="N29" s="1880"/>
      <c r="O29" s="1880"/>
      <c r="S29" s="2762" t="s">
        <v>42</v>
      </c>
      <c r="T29" s="2762"/>
      <c r="U29" s="1884"/>
      <c r="V29" s="2763" t="str">
        <f>IF(TITLE_NAME_OR_PR_CHANGE="",IF(TITLE_NAME_OR_PR="","",TITLE_NAME_OR_PR),TITLE_NAME_OR_PR_CHANGE)</f>
        <v>Агентство по тарифам Приморского края</v>
      </c>
      <c r="W29" s="2763"/>
      <c r="X29" s="2763"/>
      <c r="Y29" s="2763"/>
      <c r="Z29" s="2763"/>
      <c r="AA29" s="2763"/>
      <c r="AB29" s="2763"/>
      <c r="AC29" s="838"/>
      <c r="AD29" s="2763" t="str">
        <f>IF(TITLE_NAME_OR_PR_CHANGE="",IF(TITLE_NAME_OR_PR="","",TITLE_NAME_OR_PR),TITLE_NAME_OR_PR_CHANGE)</f>
        <v>Агентство по тарифам Приморского края</v>
      </c>
      <c r="AE29" s="2763"/>
      <c r="AF29" s="2763"/>
      <c r="AG29" s="2763"/>
      <c r="AH29" s="2763"/>
      <c r="AI29" s="2763"/>
      <c r="AJ29" s="2763"/>
      <c r="AK29" s="838"/>
      <c r="AL29" s="838"/>
      <c r="AM29" s="792"/>
      <c r="AN29" s="880"/>
      <c r="AO29" s="880"/>
      <c r="AP29" s="880"/>
      <c r="AQ29" s="880"/>
      <c r="AR29" s="880"/>
      <c r="AS29" s="930">
        <v>0</v>
      </c>
    </row>
    <row s="47026" customFormat="1" customHeight="1" ht="18.75">
      <c r="A30" s="1880"/>
      <c r="B30" s="1880"/>
      <c r="C30" s="1880"/>
      <c r="D30" s="1880"/>
      <c r="E30" s="1880"/>
      <c r="F30" s="1880"/>
      <c r="G30" s="1880"/>
      <c r="H30" s="1880"/>
      <c r="I30" s="1880"/>
      <c r="J30" s="1880"/>
      <c r="K30" s="1880"/>
      <c r="L30" s="1881"/>
      <c r="M30" s="1880"/>
      <c r="N30" s="1880"/>
      <c r="O30" s="1880"/>
      <c r="S30" s="2762" t="s">
        <v>539</v>
      </c>
      <c r="T30" s="2762"/>
      <c r="U30" s="1884"/>
      <c r="V30" s="2776" t="str">
        <f>IF(TITLE_DATE_PR_CHANGE="",IF(TITLE_DATE_PR="","",TITLE_DATE_PR),TITLE_DATE_PR_CHANGE)</f>
        <v>45631.495844907404</v>
      </c>
      <c r="W30" s="2776"/>
      <c r="X30" s="2776"/>
      <c r="Y30" s="2776"/>
      <c r="Z30" s="2776"/>
      <c r="AA30" s="2776"/>
      <c r="AB30" s="2776"/>
      <c r="AC30" s="838"/>
      <c r="AD30" s="2776" t="str">
        <f>IF(TITLE_DATE_PR_CHANGE="",IF(TITLE_DATE_PR="","",TITLE_DATE_PR),TITLE_DATE_PR_CHANGE)</f>
        <v>45631.495844907404</v>
      </c>
      <c r="AE30" s="2776"/>
      <c r="AF30" s="2776"/>
      <c r="AG30" s="2776"/>
      <c r="AH30" s="2776"/>
      <c r="AI30" s="2776"/>
      <c r="AJ30" s="2776"/>
      <c r="AK30" s="838"/>
      <c r="AL30" s="838"/>
      <c r="AM30" s="792"/>
      <c r="AN30" s="880"/>
      <c r="AO30" s="880"/>
      <c r="AP30" s="880"/>
      <c r="AQ30" s="880"/>
      <c r="AR30" s="880"/>
      <c r="AS30" s="930">
        <v>0</v>
      </c>
    </row>
    <row s="47026" customFormat="1" customHeight="1" ht="18.75">
      <c r="A31" s="1880"/>
      <c r="B31" s="1880"/>
      <c r="C31" s="1880"/>
      <c r="D31" s="1880"/>
      <c r="E31" s="1880"/>
      <c r="F31" s="1880"/>
      <c r="G31" s="1880"/>
      <c r="H31" s="1880"/>
      <c r="I31" s="1880"/>
      <c r="J31" s="1880"/>
      <c r="K31" s="1880"/>
      <c r="L31" s="1881"/>
      <c r="M31" s="1880"/>
      <c r="N31" s="1880"/>
      <c r="O31" s="1880"/>
      <c r="S31" s="2762" t="s">
        <v>540</v>
      </c>
      <c r="T31" s="2762"/>
      <c r="U31" s="1884"/>
      <c r="V31" s="2763" t="str">
        <f>IF(TITLE_NUMBER_PR_CHANGE="",IF(TITLE_NUMBER_PR="","",TITLE_NUMBER_PR),TITLE_NUMBER_PR_CHANGE)</f>
        <v>53/9</v>
      </c>
      <c r="W31" s="2763"/>
      <c r="X31" s="2763"/>
      <c r="Y31" s="2763"/>
      <c r="Z31" s="2763"/>
      <c r="AA31" s="2763"/>
      <c r="AB31" s="2763"/>
      <c r="AC31" s="838"/>
      <c r="AD31" s="2763" t="str">
        <f>IF(TITLE_NUMBER_PR_CHANGE="",IF(TITLE_NUMBER_PR="","",TITLE_NUMBER_PR),TITLE_NUMBER_PR_CHANGE)</f>
        <v>53/9</v>
      </c>
      <c r="AE31" s="2763"/>
      <c r="AF31" s="2763"/>
      <c r="AG31" s="2763"/>
      <c r="AH31" s="2763"/>
      <c r="AI31" s="2763"/>
      <c r="AJ31" s="2763"/>
      <c r="AK31" s="838"/>
      <c r="AL31" s="838"/>
      <c r="AM31" s="792"/>
      <c r="AN31" s="880"/>
      <c r="AO31" s="880"/>
      <c r="AP31" s="880"/>
      <c r="AQ31" s="880"/>
      <c r="AR31" s="880"/>
      <c r="AS31" s="930">
        <v>0</v>
      </c>
    </row>
    <row s="47026" customFormat="1" customHeight="1" ht="18.75">
      <c r="A32" s="1880"/>
      <c r="B32" s="1880"/>
      <c r="C32" s="1880"/>
      <c r="D32" s="1880"/>
      <c r="E32" s="1880"/>
      <c r="F32" s="1880"/>
      <c r="G32" s="1880"/>
      <c r="H32" s="1880"/>
      <c r="I32" s="1880"/>
      <c r="J32" s="1880"/>
      <c r="K32" s="1880"/>
      <c r="L32" s="1881"/>
      <c r="M32" s="1880"/>
      <c r="N32" s="1880"/>
      <c r="O32" s="1880"/>
      <c r="S32" s="2762" t="s">
        <v>44</v>
      </c>
      <c r="T32" s="2762"/>
      <c r="U32" s="1884"/>
      <c r="V32" s="2763" t="str">
        <f>IF(TITLE_IST_PUB_CHANGE="",IF(TITLE_IST_PUB="","",TITLE_IST_PUB),TITLE_IST_PUB_CHANGE)</f>
        <v>http://pravo.gov.ru</v>
      </c>
      <c r="W32" s="2763"/>
      <c r="X32" s="2763"/>
      <c r="Y32" s="2763"/>
      <c r="Z32" s="2763"/>
      <c r="AA32" s="2763"/>
      <c r="AB32" s="2763"/>
      <c r="AC32" s="838"/>
      <c r="AD32" s="2763" t="str">
        <f>IF(TITLE_IST_PUB_CHANGE="",IF(TITLE_IST_PUB="","",TITLE_IST_PUB),TITLE_IST_PUB_CHANGE)</f>
        <v>http://pravo.gov.ru</v>
      </c>
      <c r="AE32" s="2763"/>
      <c r="AF32" s="2763"/>
      <c r="AG32" s="2763"/>
      <c r="AH32" s="2763"/>
      <c r="AI32" s="2763"/>
      <c r="AJ32" s="2763"/>
      <c r="AK32" s="838"/>
      <c r="AL32" s="838"/>
      <c r="AM32" s="792"/>
      <c r="AN32" s="880"/>
      <c r="AO32" s="880"/>
      <c r="AP32" s="880"/>
      <c r="AQ32" s="880"/>
      <c r="AR32" s="880"/>
      <c r="AS32" s="930">
        <v>0</v>
      </c>
    </row>
    <row customHeight="1" ht="14.25" hidden="1">
      <c r="Q33" s="888"/>
      <c r="R33" s="888"/>
      <c r="S33" s="1787"/>
      <c r="T33" s="875"/>
      <c r="U33" s="875"/>
      <c r="V33" s="834"/>
      <c r="W33" s="834"/>
      <c r="X33" s="834"/>
      <c r="Y33" s="834"/>
      <c r="Z33" s="834"/>
      <c r="AA33" s="834"/>
      <c r="AB33" s="834"/>
      <c r="AC33" s="834"/>
      <c r="AD33" s="834"/>
      <c r="AE33" s="834"/>
      <c r="AF33" s="834"/>
      <c r="AG33" s="834"/>
      <c r="AH33" s="834"/>
      <c r="AI33" s="834"/>
      <c r="AJ33" s="834"/>
      <c r="AK33" s="834"/>
      <c r="AL33" s="1021"/>
      <c r="AS33" s="1667">
        <v>0</v>
      </c>
    </row>
    <row s="47026" customFormat="1" customHeight="1" ht="18.75" hidden="1">
      <c r="A34" s="1880"/>
      <c r="B34" s="1880"/>
      <c r="C34" s="1880"/>
      <c r="D34" s="1880"/>
      <c r="E34" s="1880"/>
      <c r="F34" s="1880"/>
      <c r="G34" s="1880"/>
      <c r="H34" s="1880"/>
      <c r="I34" s="1880"/>
      <c r="J34" s="1880"/>
      <c r="K34" s="1880"/>
      <c r="L34" s="1881"/>
      <c r="M34" s="1880"/>
      <c r="N34" s="1880"/>
      <c r="O34" s="1880"/>
      <c r="S34" s="2762" t="s">
        <v>541</v>
      </c>
      <c r="T34" s="2762"/>
      <c r="U34" s="1884"/>
      <c r="V34" s="2776" t="str">
        <f>IF(TITLE_DATE_PR_CHANGE="",IF(TITLE_DATE_PR="","",TITLE_DATE_PR),TITLE_DATE_PR_CHANGE)</f>
        <v>45631.495844907404</v>
      </c>
      <c r="W34" s="2776"/>
      <c r="X34" s="2776"/>
      <c r="Y34" s="2776"/>
      <c r="Z34" s="2776"/>
      <c r="AA34" s="2776"/>
      <c r="AB34" s="2776"/>
      <c r="AC34" s="838"/>
      <c r="AD34" s="2776" t="str">
        <f>IF(TITLE_DATE_PR_CHANGE="",IF(TITLE_DATE_PR="","",TITLE_DATE_PR),TITLE_DATE_PR_CHANGE)</f>
        <v>45631.495844907404</v>
      </c>
      <c r="AE34" s="2776"/>
      <c r="AF34" s="2776"/>
      <c r="AG34" s="2776"/>
      <c r="AH34" s="2776"/>
      <c r="AI34" s="2776"/>
      <c r="AJ34" s="2776"/>
      <c r="AK34" s="838"/>
      <c r="AL34" s="838"/>
      <c r="AM34" s="792"/>
      <c r="AN34" s="880"/>
      <c r="AO34" s="880"/>
      <c r="AP34" s="880"/>
      <c r="AQ34" s="880"/>
      <c r="AR34" s="880"/>
      <c r="AS34" s="930">
        <v>0</v>
      </c>
    </row>
    <row s="47026" customFormat="1" customHeight="1" ht="18.75" hidden="1">
      <c r="A35" s="1880"/>
      <c r="B35" s="1880"/>
      <c r="C35" s="1880"/>
      <c r="D35" s="1880"/>
      <c r="E35" s="1880"/>
      <c r="F35" s="1880"/>
      <c r="G35" s="1880"/>
      <c r="H35" s="1880"/>
      <c r="I35" s="1880"/>
      <c r="J35" s="1880"/>
      <c r="K35" s="1880"/>
      <c r="L35" s="1881"/>
      <c r="M35" s="1880"/>
      <c r="N35" s="1880"/>
      <c r="O35" s="1880"/>
      <c r="S35" s="2762" t="s">
        <v>542</v>
      </c>
      <c r="T35" s="2762"/>
      <c r="U35" s="1884"/>
      <c r="V35" s="2763" t="str">
        <f>IF(TITLE_NUMBER_PR_CHANGE="",IF(TITLE_NUMBER_PR="","",TITLE_NUMBER_PR),TITLE_NUMBER_PR_CHANGE)</f>
        <v>53/9</v>
      </c>
      <c r="W35" s="2763"/>
      <c r="X35" s="2763"/>
      <c r="Y35" s="2763"/>
      <c r="Z35" s="2763"/>
      <c r="AA35" s="2763"/>
      <c r="AB35" s="2763"/>
      <c r="AC35" s="838"/>
      <c r="AD35" s="2763" t="str">
        <f>IF(TITLE_NUMBER_PR_CHANGE="",IF(TITLE_NUMBER_PR="","",TITLE_NUMBER_PR),TITLE_NUMBER_PR_CHANGE)</f>
        <v>53/9</v>
      </c>
      <c r="AE35" s="2763"/>
      <c r="AF35" s="2763"/>
      <c r="AG35" s="2763"/>
      <c r="AH35" s="2763"/>
      <c r="AI35" s="2763"/>
      <c r="AJ35" s="2763"/>
      <c r="AK35" s="838"/>
      <c r="AL35" s="838"/>
      <c r="AM35" s="792"/>
      <c r="AN35" s="880"/>
      <c r="AO35" s="880"/>
      <c r="AP35" s="880"/>
      <c r="AQ35" s="880"/>
      <c r="AR35" s="880"/>
      <c r="AS35" s="930">
        <v>0</v>
      </c>
    </row>
    <row s="47026" customFormat="1" customHeight="1" ht="0">
      <c r="A36" s="1880"/>
      <c r="B36" s="1880"/>
      <c r="C36" s="1880"/>
      <c r="D36" s="1880"/>
      <c r="E36" s="1880"/>
      <c r="F36" s="1880"/>
      <c r="G36" s="1880"/>
      <c r="H36" s="1880"/>
      <c r="I36" s="1880"/>
      <c r="J36" s="1880"/>
      <c r="K36" s="1880"/>
      <c r="L36" s="1881"/>
      <c r="M36" s="1880"/>
      <c r="N36" s="1880"/>
      <c r="O36" s="1880"/>
      <c r="S36" s="835"/>
      <c r="T36" s="835"/>
      <c r="U36" s="1852"/>
      <c r="V36" s="838"/>
      <c r="W36" s="838"/>
      <c r="X36" s="838"/>
      <c r="Y36" s="838"/>
      <c r="Z36" s="838"/>
      <c r="AA36" s="838"/>
      <c r="AB36" s="838"/>
      <c r="AC36" s="790" t="s">
        <v>543</v>
      </c>
      <c r="AD36" s="838"/>
      <c r="AE36" s="838"/>
      <c r="AF36" s="838"/>
      <c r="AG36" s="838"/>
      <c r="AH36" s="838"/>
      <c r="AI36" s="838"/>
      <c r="AJ36" s="838"/>
      <c r="AK36" s="790" t="s">
        <v>543</v>
      </c>
      <c r="AN36" s="880"/>
      <c r="AO36" s="880"/>
      <c r="AP36" s="880"/>
      <c r="AQ36" s="880"/>
      <c r="AR36" s="880"/>
      <c r="AS36" s="930">
        <v>0</v>
      </c>
    </row>
    <row customHeight="1" ht="14.699999999999998">
      <c r="Q37" s="888"/>
      <c r="R37" s="888"/>
      <c r="S37" s="1787"/>
      <c r="T37" s="875"/>
      <c r="U37" s="1756"/>
      <c r="V37" s="2764"/>
      <c r="W37" s="2764"/>
      <c r="X37" s="2764"/>
      <c r="Y37" s="2764"/>
      <c r="Z37" s="2764"/>
      <c r="AA37" s="2764"/>
      <c r="AB37" s="2764"/>
      <c r="AC37" s="2764"/>
      <c r="AD37" s="2764"/>
      <c r="AE37" s="2764"/>
      <c r="AF37" s="2764"/>
      <c r="AG37" s="2764"/>
      <c r="AH37" s="2764"/>
      <c r="AI37" s="2764"/>
      <c r="AJ37" s="2764"/>
      <c r="AK37" s="2764"/>
      <c r="AS37" s="1667">
        <v>14</v>
      </c>
    </row>
    <row customHeight="1" ht="14.699999999999998">
      <c r="Q38" s="888"/>
      <c r="R38" s="888"/>
      <c r="S38" s="2639" t="s">
        <v>418</v>
      </c>
      <c r="T38" s="2639"/>
      <c r="U38" s="2639"/>
      <c r="V38" s="2639"/>
      <c r="W38" s="2639"/>
      <c r="X38" s="2639"/>
      <c r="Y38" s="2639"/>
      <c r="Z38" s="2639"/>
      <c r="AA38" s="2639"/>
      <c r="AB38" s="2639"/>
      <c r="AC38" s="2639"/>
      <c r="AD38" s="2639"/>
      <c r="AE38" s="2639"/>
      <c r="AF38" s="2639"/>
      <c r="AG38" s="2639"/>
      <c r="AH38" s="2639"/>
      <c r="AI38" s="2639"/>
      <c r="AJ38" s="2639"/>
      <c r="AK38" s="2639"/>
      <c r="AL38" s="2639"/>
      <c r="AM38" s="2639" t="s">
        <v>419</v>
      </c>
      <c r="AS38" s="1667">
        <v>14</v>
      </c>
    </row>
    <row customHeight="1" ht="14.699999999999998">
      <c r="Q39" s="888"/>
      <c r="R39" s="888"/>
      <c r="S39" s="2785" t="s">
        <v>90</v>
      </c>
      <c r="T39" s="2721" t="s">
        <v>544</v>
      </c>
      <c r="U39" s="813"/>
      <c r="V39" s="2786" t="s">
        <v>545</v>
      </c>
      <c r="W39" s="2787"/>
      <c r="X39" s="2787"/>
      <c r="Y39" s="2787"/>
      <c r="Z39" s="2787"/>
      <c r="AA39" s="2787"/>
      <c r="AB39" s="2788"/>
      <c r="AC39" s="2789" t="s">
        <v>546</v>
      </c>
      <c r="AD39" s="2786" t="s">
        <v>545</v>
      </c>
      <c r="AE39" s="2787"/>
      <c r="AF39" s="2787"/>
      <c r="AG39" s="2787"/>
      <c r="AH39" s="2787"/>
      <c r="AI39" s="2787"/>
      <c r="AJ39" s="2788"/>
      <c r="AK39" s="2789" t="s">
        <v>547</v>
      </c>
      <c r="AL39" s="2792" t="s">
        <v>548</v>
      </c>
      <c r="AM39" s="2639"/>
      <c r="AS39" s="1667">
        <v>14</v>
      </c>
    </row>
    <row customHeight="1" ht="35.699999999999996">
      <c r="Q40" s="888"/>
      <c r="R40" s="888"/>
      <c r="S40" s="2785"/>
      <c r="T40" s="2721"/>
      <c r="U40" s="1543"/>
      <c r="V40" s="2772" t="s">
        <v>549</v>
      </c>
      <c r="W40" s="2795"/>
      <c r="X40" s="2774" t="s">
        <v>551</v>
      </c>
      <c r="Y40" s="2775"/>
      <c r="Z40" s="2774" t="s">
        <v>552</v>
      </c>
      <c r="AA40" s="2781"/>
      <c r="AB40" s="2775"/>
      <c r="AC40" s="2790"/>
      <c r="AD40" s="2772" t="s">
        <v>565</v>
      </c>
      <c r="AE40" s="2795"/>
      <c r="AF40" s="2774" t="s">
        <v>551</v>
      </c>
      <c r="AG40" s="2775"/>
      <c r="AH40" s="2774" t="s">
        <v>552</v>
      </c>
      <c r="AI40" s="2781"/>
      <c r="AJ40" s="2775"/>
      <c r="AK40" s="2790"/>
      <c r="AL40" s="2793"/>
      <c r="AM40" s="2639"/>
      <c r="AS40" s="1667">
        <v>34</v>
      </c>
    </row>
    <row customHeight="1" ht="35.699999999999996">
      <c r="A41" s="1882"/>
      <c r="B41" s="1882" t="s">
        <v>191</v>
      </c>
      <c r="C41" s="1882" t="s">
        <v>192</v>
      </c>
      <c r="D41" s="1882" t="s">
        <v>193</v>
      </c>
      <c r="E41" s="1876" t="s">
        <v>553</v>
      </c>
      <c r="F41" s="1876" t="s">
        <v>554</v>
      </c>
      <c r="G41" s="1876" t="s">
        <v>555</v>
      </c>
      <c r="H41" s="1876" t="s">
        <v>556</v>
      </c>
      <c r="I41" s="1876" t="s">
        <v>557</v>
      </c>
      <c r="J41" s="1876" t="s">
        <v>558</v>
      </c>
      <c r="K41" s="1876" t="s">
        <v>559</v>
      </c>
      <c r="L41" s="1876" t="s">
        <v>534</v>
      </c>
      <c r="Q41" s="888"/>
      <c r="R41" s="888"/>
      <c r="S41" s="2785"/>
      <c r="T41" s="2721"/>
      <c r="U41" s="814"/>
      <c r="V41" s="2773"/>
      <c r="W41" s="2796"/>
      <c r="X41" s="1734" t="s">
        <v>560</v>
      </c>
      <c r="Y41" s="1734" t="s">
        <v>561</v>
      </c>
      <c r="Z41" s="1850" t="s">
        <v>562</v>
      </c>
      <c r="AA41" s="2782" t="s">
        <v>563</v>
      </c>
      <c r="AB41" s="2783"/>
      <c r="AC41" s="2791"/>
      <c r="AD41" s="2773"/>
      <c r="AE41" s="2796"/>
      <c r="AF41" s="1734" t="s">
        <v>560</v>
      </c>
      <c r="AG41" s="1734" t="s">
        <v>561</v>
      </c>
      <c r="AH41" s="1850" t="s">
        <v>562</v>
      </c>
      <c r="AI41" s="2782" t="s">
        <v>563</v>
      </c>
      <c r="AJ41" s="2783"/>
      <c r="AK41" s="2791"/>
      <c r="AL41" s="2794"/>
      <c r="AM41" s="2639"/>
      <c r="AS41" s="1667">
        <v>34</v>
      </c>
    </row>
    <row s="47496" customFormat="1" customHeight="1" ht="11.25" hidden="1">
      <c r="A42" s="1882"/>
      <c r="B42" s="1882"/>
      <c r="C42" s="1882"/>
      <c r="D42" s="1882"/>
      <c r="E42" s="1882"/>
      <c r="F42" s="1882"/>
      <c r="G42" s="1882"/>
      <c r="H42" s="1882"/>
      <c r="I42" s="1882"/>
      <c r="J42" s="1882"/>
      <c r="K42" s="1882"/>
      <c r="L42" s="1876"/>
      <c r="M42" s="1874"/>
      <c r="N42" s="1874"/>
      <c r="O42" s="1874"/>
      <c r="P42" s="1758"/>
      <c r="Q42" s="1759"/>
      <c r="R42" s="1766">
        <v>1</v>
      </c>
      <c r="S42" s="1789" t="s">
        <v>101</v>
      </c>
      <c r="T42" s="1767" t="s">
        <v>105</v>
      </c>
      <c r="U42" s="1757" t="str">
        <f>OFFSET(U42,0,-1)</f>
        <v>2</v>
      </c>
      <c r="V42" s="1847">
        <f>OFFSET(V42,0,-1)+1</f>
        <v>3</v>
      </c>
      <c r="W42" s="1847"/>
      <c r="X42" s="1847">
        <f>OFFSET(X42,0,-1)+1</f>
        <v>1</v>
      </c>
      <c r="Y42" s="1847">
        <f>OFFSET(Y42,0,-1)+1</f>
        <v>2</v>
      </c>
      <c r="Z42" s="1847">
        <f>OFFSET(Z42,0,-1)+1</f>
        <v>3</v>
      </c>
      <c r="AA42" s="2784">
        <f>OFFSET(AA42,0,-1)+1</f>
        <v>4</v>
      </c>
      <c r="AB42" s="2784"/>
      <c r="AC42" s="1847">
        <f>OFFSET(AC42,0,-2)+1</f>
        <v>5</v>
      </c>
      <c r="AD42" s="1847">
        <f>OFFSET(AD42,0,-1)+1</f>
        <v>6</v>
      </c>
      <c r="AE42" s="1847"/>
      <c r="AF42" s="1847">
        <f>OFFSET(AF42,0,-1)+1</f>
        <v>1</v>
      </c>
      <c r="AG42" s="1847">
        <f>OFFSET(AG42,0,-1)+1</f>
        <v>2</v>
      </c>
      <c r="AH42" s="1847">
        <f>OFFSET(AH42,0,-1)+1</f>
        <v>3</v>
      </c>
      <c r="AI42" s="2784">
        <f>OFFSET(AI42,0,-1)+1</f>
        <v>4</v>
      </c>
      <c r="AJ42" s="2784"/>
      <c r="AK42" s="1847">
        <f>OFFSET(AK42,0,-2)+1</f>
        <v>5</v>
      </c>
      <c r="AL42" s="1757">
        <f>OFFSET(AL42,0,-1)</f>
        <v>5</v>
      </c>
      <c r="AM42" s="1847">
        <f>OFFSET(AM42,0,-1)+1</f>
        <v>6</v>
      </c>
      <c r="AN42" s="1023"/>
      <c r="AO42" s="1023"/>
      <c r="AP42" s="1023"/>
      <c r="AQ42" s="1023"/>
      <c r="AR42" s="1023"/>
      <c r="AS42" s="1008">
        <v>0</v>
      </c>
    </row>
    <row customHeight="1" ht="22.049999999999997">
      <c r="A43" s="1875" t="s">
        <v>231</v>
      </c>
      <c r="B43" s="1875"/>
      <c r="C43" s="1875"/>
      <c r="D43" s="1875"/>
      <c r="E43" s="2770">
        <v>1</v>
      </c>
      <c r="F43" s="1875"/>
      <c r="G43" s="1875"/>
      <c r="H43" s="1875"/>
      <c r="I43" s="1875"/>
      <c r="J43" s="1875"/>
      <c r="K43" s="1875"/>
      <c r="L43" s="1876"/>
      <c r="M43" s="1877"/>
      <c r="N43" s="1877"/>
      <c r="O43" s="1877"/>
      <c r="P43" s="873"/>
      <c r="Q43" s="872"/>
      <c r="R43" s="867"/>
      <c r="S43" s="1848">
        <f>INDEX(PT_DIFFERENTIATION_NUM_NTAR,MATCH(A43,PT_DIFFERENTIATION_NTAR_ID,0))</f>
        <v>0</v>
      </c>
      <c r="T43" s="810" t="s">
        <v>179</v>
      </c>
      <c r="U43" s="812"/>
      <c r="V43" s="2754"/>
      <c r="W43" s="2755"/>
      <c r="X43" s="2755"/>
      <c r="Y43" s="2755"/>
      <c r="Z43" s="2755"/>
      <c r="AA43" s="2755"/>
      <c r="AB43" s="2755"/>
      <c r="AC43" s="2756"/>
      <c r="AD43" s="2754" t="str">
        <f>INDEX(PT_DIFFERENTIATION_NTAR,MATCH(A43,PT_DIFFERENTIATION_NTAR_ID,0))</f>
        <v/>
      </c>
      <c r="AE43" s="2755"/>
      <c r="AF43" s="2755"/>
      <c r="AG43" s="2755"/>
      <c r="AH43" s="2755"/>
      <c r="AI43" s="2755"/>
      <c r="AJ43" s="2755"/>
      <c r="AK43" s="2755"/>
      <c r="AL43" s="2756"/>
      <c r="AM43" s="1770"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012"/>
      <c r="AP43" s="1012" t="str">
        <f>IF(T43="","",T43)</f>
        <v>Наименование тарифа</v>
      </c>
      <c r="AQ43" s="1012"/>
      <c r="AR43" s="1012"/>
      <c r="AS43" s="1667">
        <v>21</v>
      </c>
    </row>
    <row customHeight="1" ht="22.049999999999997">
      <c r="A44" s="1875" t="s">
        <v>231</v>
      </c>
      <c r="B44" s="1875" t="s">
        <v>232</v>
      </c>
      <c r="C44" s="1875"/>
      <c r="D44" s="1875"/>
      <c r="E44" s="2771"/>
      <c r="F44" s="2770">
        <v>1</v>
      </c>
      <c r="G44" s="1875"/>
      <c r="H44" s="1875"/>
      <c r="I44" s="1875"/>
      <c r="J44" s="1875"/>
      <c r="K44" s="1875"/>
      <c r="L44" s="1876"/>
      <c r="M44" s="1877"/>
      <c r="N44" s="1877"/>
      <c r="O44" s="1877"/>
      <c r="P44" s="1844"/>
      <c r="Q44" s="864"/>
      <c r="R44" s="865"/>
      <c r="S44" s="1848" t="str">
        <f>INDEX(PT_DIFFERENTIATION_NUM_TER,MATCH(B44,PT_DIFFERENTIATION_TER_ID,0))</f>
        <v>.</v>
      </c>
      <c r="T44" s="820" t="s">
        <v>515</v>
      </c>
      <c r="U44" s="812"/>
      <c r="V44" s="2754"/>
      <c r="W44" s="2755"/>
      <c r="X44" s="2755"/>
      <c r="Y44" s="2755"/>
      <c r="Z44" s="2755"/>
      <c r="AA44" s="2755"/>
      <c r="AB44" s="2755"/>
      <c r="AC44" s="2756"/>
      <c r="AD44" s="2754" t="str">
        <f>INDEX(PT_DIFFERENTIATION_TER,MATCH(B44,PT_DIFFERENTIATION_TER_ID,0))</f>
        <v/>
      </c>
      <c r="AE44" s="2755"/>
      <c r="AF44" s="2755"/>
      <c r="AG44" s="2755"/>
      <c r="AH44" s="2755"/>
      <c r="AI44" s="2755"/>
      <c r="AJ44" s="2755"/>
      <c r="AK44" s="2755"/>
      <c r="AL44" s="2756"/>
      <c r="AM44" s="1770" t="s">
        <v>516</v>
      </c>
      <c r="AO44" s="1012"/>
      <c r="AP44" s="1012" t="str">
        <f>IF(T44="","",T44)</f>
        <v>Территория действия тарифа</v>
      </c>
      <c r="AQ44" s="1012"/>
      <c r="AR44" s="1012"/>
      <c r="AS44" s="1667">
        <v>21</v>
      </c>
    </row>
    <row customHeight="1" ht="24">
      <c r="A45" s="1875" t="s">
        <v>231</v>
      </c>
      <c r="B45" s="1875" t="s">
        <v>232</v>
      </c>
      <c r="C45" s="1875" t="s">
        <v>233</v>
      </c>
      <c r="D45" s="1875"/>
      <c r="E45" s="2771"/>
      <c r="F45" s="2771"/>
      <c r="G45" s="2770">
        <v>1</v>
      </c>
      <c r="H45" s="1875"/>
      <c r="I45" s="1875"/>
      <c r="J45" s="1875"/>
      <c r="K45" s="1875"/>
      <c r="L45" s="1876"/>
      <c r="M45" s="1877"/>
      <c r="N45" s="1877"/>
      <c r="O45" s="1877"/>
      <c r="P45" s="866"/>
      <c r="Q45" s="864"/>
      <c r="R45" s="865"/>
      <c r="S45" s="1848" t="str">
        <f>INDEX(PT_DIFFERENTIATION_NUM_CS,MATCH(C45,PT_DIFFERENTIATION_CS_ID,0))</f>
        <v>..</v>
      </c>
      <c r="T45" s="821" t="s">
        <v>517</v>
      </c>
      <c r="U45" s="812"/>
      <c r="V45" s="2754"/>
      <c r="W45" s="2755"/>
      <c r="X45" s="2755"/>
      <c r="Y45" s="2755"/>
      <c r="Z45" s="2755"/>
      <c r="AA45" s="2755"/>
      <c r="AB45" s="2755"/>
      <c r="AC45" s="2756"/>
      <c r="AD45" s="2754" t="str">
        <f>INDEX(PT_DIFFERENTIATION_CS,MATCH(C45,PT_DIFFERENTIATION_CS_ID,0))</f>
        <v/>
      </c>
      <c r="AE45" s="2755"/>
      <c r="AF45" s="2755"/>
      <c r="AG45" s="2755"/>
      <c r="AH45" s="2755"/>
      <c r="AI45" s="2755"/>
      <c r="AJ45" s="2755"/>
      <c r="AK45" s="2755"/>
      <c r="AL45" s="2756"/>
      <c r="AM45" s="1770" t="s">
        <v>518</v>
      </c>
      <c r="AO45" s="1012"/>
      <c r="AP45" s="1012" t="str">
        <f>IF(T45="","",T45)</f>
        <v>Наименование системы теплоснабжения </v>
      </c>
      <c r="AQ45" s="1012"/>
      <c r="AR45" s="1012"/>
      <c r="AS45" s="1667">
        <v>23</v>
      </c>
    </row>
    <row customHeight="1" ht="22.049999999999997">
      <c r="A46" s="1875" t="s">
        <v>231</v>
      </c>
      <c r="B46" s="1875" t="s">
        <v>232</v>
      </c>
      <c r="C46" s="1875" t="s">
        <v>233</v>
      </c>
      <c r="D46" s="1875" t="s">
        <v>234</v>
      </c>
      <c r="E46" s="2771"/>
      <c r="F46" s="2771"/>
      <c r="G46" s="2771"/>
      <c r="H46" s="2770">
        <v>1</v>
      </c>
      <c r="I46" s="1875"/>
      <c r="J46" s="1875"/>
      <c r="K46" s="1875"/>
      <c r="L46" s="1876"/>
      <c r="M46" s="1877"/>
      <c r="N46" s="1877"/>
      <c r="O46" s="1877"/>
      <c r="P46" s="866"/>
      <c r="Q46" s="864"/>
      <c r="R46" s="865"/>
      <c r="S46" s="1848" t="str">
        <f>INDEX(PT_DIFFERENTIATION_NUM_IST_TE,MATCH(D46,PT_DIFFERENTIATION_IST_TE_ID,0))</f>
        <v>...</v>
      </c>
      <c r="T46" s="822" t="s">
        <v>519</v>
      </c>
      <c r="U46" s="812"/>
      <c r="V46" s="2754"/>
      <c r="W46" s="2755"/>
      <c r="X46" s="2755"/>
      <c r="Y46" s="2755"/>
      <c r="Z46" s="2755"/>
      <c r="AA46" s="2755"/>
      <c r="AB46" s="2755"/>
      <c r="AC46" s="2756"/>
      <c r="AD46" s="2754" t="str">
        <f>INDEX(PT_DIFFERENTIATION_IST_TE,MATCH(D46,PT_DIFFERENTIATION_IST_TE_ID,0))</f>
        <v/>
      </c>
      <c r="AE46" s="2755"/>
      <c r="AF46" s="2755"/>
      <c r="AG46" s="2755"/>
      <c r="AH46" s="2755"/>
      <c r="AI46" s="2755"/>
      <c r="AJ46" s="2755"/>
      <c r="AK46" s="2755"/>
      <c r="AL46" s="2756"/>
      <c r="AM46" s="1770" t="s">
        <v>520</v>
      </c>
      <c r="AO46" s="1012"/>
      <c r="AP46" s="1012" t="str">
        <f>IF(T46="","",T46)</f>
        <v>Источник тепловой энергии  </v>
      </c>
      <c r="AQ46" s="1012"/>
      <c r="AR46" s="1012"/>
      <c r="AS46" s="1667">
        <v>21</v>
      </c>
    </row>
    <row s="46890" customFormat="1" customHeight="1" ht="0">
      <c r="A47" s="1855" t="s">
        <v>231</v>
      </c>
      <c r="B47" s="1855" t="s">
        <v>232</v>
      </c>
      <c r="C47" s="1855" t="s">
        <v>233</v>
      </c>
      <c r="D47" s="1855" t="s">
        <v>234</v>
      </c>
      <c r="E47" s="2771"/>
      <c r="F47" s="2771"/>
      <c r="G47" s="2771"/>
      <c r="H47" s="2771"/>
      <c r="I47" s="2768" t="str">
        <f>S46&amp;".1"</f>
        <v>....1</v>
      </c>
      <c r="J47" s="1855"/>
      <c r="K47" s="1855"/>
      <c r="L47" s="1858" t="s">
        <v>521</v>
      </c>
      <c r="M47" s="1022"/>
      <c r="N47" s="1022"/>
      <c r="O47" s="1022"/>
      <c r="P47" s="2769">
        <v>1</v>
      </c>
      <c r="Q47" s="1843"/>
      <c r="R47" s="868"/>
      <c r="S47" s="1554"/>
      <c r="T47" s="1895"/>
      <c r="U47" s="1896"/>
      <c r="V47" s="2808"/>
      <c r="W47" s="2809"/>
      <c r="X47" s="2809"/>
      <c r="Y47" s="2809"/>
      <c r="Z47" s="2809"/>
      <c r="AA47" s="2809"/>
      <c r="AB47" s="2809"/>
      <c r="AC47" s="2810"/>
      <c r="AD47" s="2808"/>
      <c r="AE47" s="2809"/>
      <c r="AF47" s="2809"/>
      <c r="AG47" s="2809"/>
      <c r="AH47" s="2809"/>
      <c r="AI47" s="2809"/>
      <c r="AJ47" s="2809"/>
      <c r="AK47" s="2809"/>
      <c r="AL47" s="2810"/>
      <c r="AM47" s="1897"/>
      <c r="AO47" s="1012"/>
      <c r="AP47" s="1012" t="str">
        <f>IF(T47="","",T47)</f>
        <v/>
      </c>
      <c r="AQ47" s="1012"/>
      <c r="AR47" s="1012"/>
      <c r="AS47" s="1023">
        <v>0</v>
      </c>
    </row>
    <row customHeight="1" ht="22.049999999999997">
      <c r="A48" s="1875" t="s">
        <v>231</v>
      </c>
      <c r="B48" s="1875" t="s">
        <v>232</v>
      </c>
      <c r="C48" s="1875" t="s">
        <v>233</v>
      </c>
      <c r="D48" s="1875" t="s">
        <v>234</v>
      </c>
      <c r="E48" s="2771"/>
      <c r="F48" s="2771"/>
      <c r="G48" s="2771"/>
      <c r="H48" s="2771"/>
      <c r="I48" s="2798"/>
      <c r="J48" s="2768" t="str">
        <f>S46&amp;".1"</f>
        <v>....1</v>
      </c>
      <c r="K48" s="1875"/>
      <c r="L48" s="1876" t="s">
        <v>524</v>
      </c>
      <c r="P48" s="2769"/>
      <c r="Q48" s="2769">
        <v>1</v>
      </c>
      <c r="R48" s="869"/>
      <c r="S48" s="1848" t="str">
        <f>$J48</f>
        <v>....1</v>
      </c>
      <c r="T48" s="798" t="s">
        <v>525</v>
      </c>
      <c r="U48" s="812"/>
      <c r="V48" s="2757"/>
      <c r="W48" s="2758"/>
      <c r="X48" s="2758"/>
      <c r="Y48" s="2758"/>
      <c r="Z48" s="2758"/>
      <c r="AA48" s="2758"/>
      <c r="AB48" s="2758"/>
      <c r="AC48" s="2759"/>
      <c r="AD48" s="2757"/>
      <c r="AE48" s="2758"/>
      <c r="AF48" s="2758"/>
      <c r="AG48" s="2758"/>
      <c r="AH48" s="2758"/>
      <c r="AI48" s="2758"/>
      <c r="AJ48" s="2758"/>
      <c r="AK48" s="2758"/>
      <c r="AL48" s="2759"/>
      <c r="AM48" s="1770" t="s">
        <v>526</v>
      </c>
      <c r="AO48" s="1012"/>
      <c r="AP48" s="1012" t="str">
        <f>IF(T48="","",T48)</f>
        <v>Группа потребителей</v>
      </c>
      <c r="AQ48" s="1012"/>
      <c r="AR48" s="1012"/>
      <c r="AS48" s="1667">
        <v>21</v>
      </c>
    </row>
    <row customHeight="1" ht="22.049999999999997">
      <c r="A49" s="1875" t="s">
        <v>231</v>
      </c>
      <c r="B49" s="1875" t="s">
        <v>232</v>
      </c>
      <c r="C49" s="1875" t="s">
        <v>233</v>
      </c>
      <c r="D49" s="1875" t="s">
        <v>234</v>
      </c>
      <c r="E49" s="2771"/>
      <c r="F49" s="2771"/>
      <c r="G49" s="2771"/>
      <c r="H49" s="2771"/>
      <c r="I49" s="2798"/>
      <c r="J49" s="2798"/>
      <c r="K49" s="2768" t="str">
        <f>J48&amp;".1"</f>
        <v>....1.1</v>
      </c>
      <c r="L49" s="1876" t="s">
        <v>527</v>
      </c>
      <c r="P49" s="2769"/>
      <c r="Q49" s="2769"/>
      <c r="R49" s="869">
        <v>1</v>
      </c>
      <c r="S49" s="1848" t="str">
        <f>$K49</f>
        <v>....1.1</v>
      </c>
      <c r="T49" s="1859"/>
      <c r="U49" s="812"/>
      <c r="V49" s="1263"/>
      <c r="W49" s="837"/>
      <c r="X49" s="1263"/>
      <c r="Y49" s="1769"/>
      <c r="Z49" s="2777"/>
      <c r="AA49" s="2619" t="s">
        <v>63</v>
      </c>
      <c r="AB49" s="2777"/>
      <c r="AC49" s="2619" t="s">
        <v>63</v>
      </c>
      <c r="AD49" s="1263"/>
      <c r="AE49" s="837"/>
      <c r="AF49" s="1263"/>
      <c r="AG49" s="1769"/>
      <c r="AH49" s="2777"/>
      <c r="AI49" s="2619" t="s">
        <v>63</v>
      </c>
      <c r="AJ49" s="2799"/>
      <c r="AK49" s="2619" t="s">
        <v>63</v>
      </c>
      <c r="AL49" s="1860"/>
      <c r="AM49" s="2765" t="s">
        <v>566</v>
      </c>
      <c r="AN49" s="1023">
        <f>STRCHECKDATE(V50:AL50)</f>
      </c>
      <c r="AO49" s="1012"/>
      <c r="AP49" s="1012" t="str">
        <f>IF(T49="","",T49)</f>
        <v/>
      </c>
      <c r="AQ49" s="1012"/>
      <c r="AR49" s="1012"/>
      <c r="AS49" s="1667">
        <v>21</v>
      </c>
    </row>
    <row customHeight="1" ht="1.05">
      <c r="A50" s="1875" t="s">
        <v>231</v>
      </c>
      <c r="B50" s="1875" t="s">
        <v>232</v>
      </c>
      <c r="C50" s="1875" t="s">
        <v>233</v>
      </c>
      <c r="D50" s="1875" t="s">
        <v>234</v>
      </c>
      <c r="E50" s="2771"/>
      <c r="F50" s="2771"/>
      <c r="G50" s="2771"/>
      <c r="H50" s="2771"/>
      <c r="I50" s="2798"/>
      <c r="J50" s="2798"/>
      <c r="K50" s="2768"/>
      <c r="L50" s="1876"/>
      <c r="P50" s="2769"/>
      <c r="Q50" s="2769"/>
      <c r="R50" s="869"/>
      <c r="S50" s="1854"/>
      <c r="T50" s="812"/>
      <c r="U50" s="812"/>
      <c r="V50" s="837"/>
      <c r="W50" s="837"/>
      <c r="X50" s="837"/>
      <c r="Y50" s="840" t="str">
        <f>Z49&amp;"-"&amp;AB49</f>
        <v>-</v>
      </c>
      <c r="Z50" s="2778"/>
      <c r="AA50" s="2619"/>
      <c r="AB50" s="2778"/>
      <c r="AC50" s="2619"/>
      <c r="AD50" s="837"/>
      <c r="AE50" s="837"/>
      <c r="AF50" s="837"/>
      <c r="AG50" s="840" t="str">
        <f>AH49&amp;"-"&amp;AJ49</f>
        <v>-</v>
      </c>
      <c r="AH50" s="2778"/>
      <c r="AI50" s="2619"/>
      <c r="AJ50" s="2800"/>
      <c r="AK50" s="2619"/>
      <c r="AL50" s="1861"/>
      <c r="AM50" s="2766"/>
      <c r="AO50" s="1012"/>
      <c r="AP50" s="1012" t="str">
        <f>IF(T50="","",T50)</f>
        <v/>
      </c>
      <c r="AQ50" s="1012"/>
      <c r="AR50" s="1012"/>
      <c r="AS50" s="1667">
        <v>1</v>
      </c>
    </row>
    <row customHeight="1" ht="11.549999999999999">
      <c r="A51" s="1875" t="s">
        <v>231</v>
      </c>
      <c r="B51" s="1875" t="s">
        <v>232</v>
      </c>
      <c r="C51" s="1875" t="s">
        <v>233</v>
      </c>
      <c r="D51" s="1875" t="s">
        <v>234</v>
      </c>
      <c r="E51" s="2771"/>
      <c r="F51" s="2771"/>
      <c r="G51" s="2771"/>
      <c r="H51" s="2771"/>
      <c r="I51" s="2798"/>
      <c r="J51" s="2768"/>
      <c r="K51" s="1875"/>
      <c r="L51" s="1876"/>
      <c r="P51" s="2769"/>
      <c r="Q51" s="2769"/>
      <c r="R51" s="868"/>
      <c r="S51" s="1790"/>
      <c r="T51" s="799" t="s">
        <v>529</v>
      </c>
      <c r="U51" s="879"/>
      <c r="V51" s="879"/>
      <c r="W51" s="879"/>
      <c r="X51" s="879"/>
      <c r="Y51" s="879"/>
      <c r="Z51" s="879"/>
      <c r="AA51" s="879"/>
      <c r="AB51" s="879"/>
      <c r="AC51" s="879"/>
      <c r="AD51" s="879"/>
      <c r="AE51" s="879"/>
      <c r="AF51" s="879"/>
      <c r="AG51" s="879"/>
      <c r="AH51" s="879"/>
      <c r="AI51" s="879"/>
      <c r="AJ51" s="879"/>
      <c r="AK51" s="879"/>
      <c r="AL51" s="836"/>
      <c r="AM51" s="2767"/>
      <c r="AO51" s="1012"/>
      <c r="AP51" s="1012" t="str">
        <f>IF(T51="","",T51)</f>
        <v>Добавить вид теплоносителя (параметры теплоносителя)</v>
      </c>
      <c r="AQ51" s="1012"/>
      <c r="AR51" s="1012"/>
      <c r="AS51" s="1667">
        <v>11</v>
      </c>
    </row>
    <row customHeight="1" ht="11.549999999999999">
      <c r="A52" s="1875" t="s">
        <v>231</v>
      </c>
      <c r="B52" s="1875" t="s">
        <v>232</v>
      </c>
      <c r="C52" s="1875" t="s">
        <v>233</v>
      </c>
      <c r="D52" s="1875" t="s">
        <v>234</v>
      </c>
      <c r="E52" s="2771"/>
      <c r="F52" s="2771"/>
      <c r="G52" s="2771"/>
      <c r="H52" s="2771"/>
      <c r="I52" s="2768"/>
      <c r="J52" s="1875"/>
      <c r="K52" s="1875"/>
      <c r="L52" s="1876"/>
      <c r="P52" s="2769"/>
      <c r="Q52" s="1843"/>
      <c r="R52" s="868"/>
      <c r="S52" s="1790"/>
      <c r="T52" s="877" t="s">
        <v>530</v>
      </c>
      <c r="U52" s="879"/>
      <c r="V52" s="879"/>
      <c r="W52" s="879"/>
      <c r="X52" s="879"/>
      <c r="Y52" s="879"/>
      <c r="Z52" s="879"/>
      <c r="AA52" s="879"/>
      <c r="AB52" s="879"/>
      <c r="AC52" s="878"/>
      <c r="AD52" s="879"/>
      <c r="AE52" s="879"/>
      <c r="AF52" s="879"/>
      <c r="AG52" s="879"/>
      <c r="AH52" s="879"/>
      <c r="AI52" s="879"/>
      <c r="AJ52" s="879"/>
      <c r="AK52" s="878"/>
      <c r="AL52" s="879"/>
      <c r="AM52" s="815"/>
      <c r="AO52" s="1012"/>
      <c r="AP52" s="1012" t="str">
        <f>IF(T52="","",T52)</f>
        <v>Добавить группу потребителей</v>
      </c>
      <c r="AQ52" s="1012"/>
      <c r="AR52" s="1012"/>
      <c r="AS52" s="1667">
        <v>11</v>
      </c>
    </row>
    <row customHeight="1" ht="0">
      <c r="A53" s="1875" t="s">
        <v>231</v>
      </c>
      <c r="B53" s="1875" t="s">
        <v>232</v>
      </c>
      <c r="C53" s="1875" t="s">
        <v>233</v>
      </c>
      <c r="D53" s="1875" t="s">
        <v>234</v>
      </c>
      <c r="E53" s="2771"/>
      <c r="F53" s="2771"/>
      <c r="G53" s="2771"/>
      <c r="H53" s="2770"/>
      <c r="I53" s="1875"/>
      <c r="J53" s="1875"/>
      <c r="K53" s="1875"/>
      <c r="L53" s="1876"/>
      <c r="M53" s="1877"/>
      <c r="N53" s="1877"/>
      <c r="O53" s="1049"/>
      <c r="P53" s="872"/>
      <c r="Q53" s="887"/>
      <c r="R53" s="867"/>
      <c r="S53" s="1898"/>
      <c r="T53" s="1899"/>
      <c r="U53" s="1900"/>
      <c r="V53" s="1900"/>
      <c r="W53" s="1900"/>
      <c r="X53" s="1900"/>
      <c r="Y53" s="1900"/>
      <c r="Z53" s="1900"/>
      <c r="AA53" s="1900"/>
      <c r="AB53" s="1900"/>
      <c r="AC53" s="1900"/>
      <c r="AD53" s="1900"/>
      <c r="AE53" s="1900"/>
      <c r="AF53" s="1900"/>
      <c r="AG53" s="1900"/>
      <c r="AH53" s="1900"/>
      <c r="AI53" s="1900"/>
      <c r="AJ53" s="1900"/>
      <c r="AK53" s="1900"/>
      <c r="AL53" s="1900"/>
      <c r="AM53" s="1901"/>
      <c r="AO53" s="1012"/>
      <c r="AP53" s="1012" t="str">
        <f>IF(T53="","",T53)</f>
        <v/>
      </c>
      <c r="AQ53" s="1012"/>
      <c r="AR53" s="1012"/>
      <c r="AS53" s="1667">
        <v>0</v>
      </c>
    </row>
    <row s="46890" customFormat="1" customHeight="1" ht="1.05">
      <c r="A54" s="1855" t="s">
        <v>231</v>
      </c>
      <c r="B54" s="1855" t="s">
        <v>232</v>
      </c>
      <c r="C54" s="1855" t="s">
        <v>233</v>
      </c>
      <c r="D54" s="1826"/>
      <c r="E54" s="2771"/>
      <c r="F54" s="2771"/>
      <c r="G54" s="2770"/>
      <c r="H54" s="1826"/>
      <c r="I54" s="1826"/>
      <c r="J54" s="1826"/>
      <c r="K54" s="1826"/>
      <c r="L54" s="1851"/>
      <c r="M54" s="1827"/>
      <c r="N54" s="1827"/>
      <c r="P54" s="1828"/>
      <c r="Q54" s="1829"/>
      <c r="R54" s="1828"/>
      <c r="S54" s="1834"/>
      <c r="T54" s="1837" t="s">
        <v>532</v>
      </c>
      <c r="U54" s="1836"/>
      <c r="V54" s="1836"/>
      <c r="W54" s="1836"/>
      <c r="X54" s="1836"/>
      <c r="Y54" s="1836"/>
      <c r="Z54" s="1836"/>
      <c r="AA54" s="1836"/>
      <c r="AB54" s="1836"/>
      <c r="AC54" s="1836"/>
      <c r="AD54" s="1836"/>
      <c r="AE54" s="1836"/>
      <c r="AF54" s="1836"/>
      <c r="AG54" s="1836"/>
      <c r="AH54" s="1836"/>
      <c r="AI54" s="1836"/>
      <c r="AJ54" s="1836"/>
      <c r="AK54" s="1836"/>
      <c r="AL54" s="1836"/>
      <c r="AM54" s="1836"/>
      <c r="AO54" s="1301"/>
      <c r="AP54" s="1301" t="str">
        <f>IF(T54="","",T54)</f>
        <v>Добавить источник для дифференциации</v>
      </c>
      <c r="AQ54" s="1301"/>
      <c r="AR54" s="1301"/>
      <c r="AS54" s="1030">
        <v>1</v>
      </c>
    </row>
    <row s="46890" customFormat="1" customHeight="1" ht="1.05">
      <c r="A55" s="1855" t="s">
        <v>231</v>
      </c>
      <c r="B55" s="1855" t="s">
        <v>232</v>
      </c>
      <c r="C55" s="1826"/>
      <c r="D55" s="1826"/>
      <c r="E55" s="2771"/>
      <c r="F55" s="2770"/>
      <c r="G55" s="1826"/>
      <c r="H55" s="1826"/>
      <c r="I55" s="1826"/>
      <c r="J55" s="1826"/>
      <c r="K55" s="1826"/>
      <c r="L55" s="1851"/>
      <c r="M55" s="1833"/>
      <c r="N55" s="1833"/>
      <c r="P55" s="1828"/>
      <c r="Q55" s="1829"/>
      <c r="R55" s="1828"/>
      <c r="S55" s="1834"/>
      <c r="T55" s="1837" t="s">
        <v>321</v>
      </c>
      <c r="U55" s="1836"/>
      <c r="V55" s="1836"/>
      <c r="W55" s="1836"/>
      <c r="X55" s="1836"/>
      <c r="Y55" s="1836"/>
      <c r="Z55" s="1836"/>
      <c r="AA55" s="1836"/>
      <c r="AB55" s="1836"/>
      <c r="AC55" s="1836"/>
      <c r="AD55" s="1836"/>
      <c r="AE55" s="1836"/>
      <c r="AF55" s="1836"/>
      <c r="AG55" s="1836"/>
      <c r="AH55" s="1836"/>
      <c r="AI55" s="1836"/>
      <c r="AJ55" s="1836"/>
      <c r="AK55" s="1836"/>
      <c r="AL55" s="1836"/>
      <c r="AM55" s="1836"/>
      <c r="AO55" s="1301"/>
      <c r="AP55" s="1301" t="str">
        <f>IF(T55="","",T55)</f>
        <v>Добавить централизованную систему для дифференциации</v>
      </c>
      <c r="AQ55" s="1301"/>
      <c r="AR55" s="1301"/>
      <c r="AS55" s="1030">
        <v>1</v>
      </c>
    </row>
    <row s="46890" customFormat="1" customHeight="1" ht="1.05">
      <c r="A56" s="1855" t="s">
        <v>231</v>
      </c>
      <c r="B56" s="1855"/>
      <c r="C56" s="1855"/>
      <c r="D56" s="1855"/>
      <c r="E56" s="2770"/>
      <c r="F56" s="1855"/>
      <c r="G56" s="1855"/>
      <c r="H56" s="1855"/>
      <c r="I56" s="1855"/>
      <c r="J56" s="1855"/>
      <c r="K56" s="1855"/>
      <c r="L56" s="1858"/>
      <c r="M56" s="1833"/>
      <c r="N56" s="1833"/>
      <c r="O56" s="1030"/>
      <c r="P56" s="892"/>
      <c r="Q56" s="1856"/>
      <c r="R56" s="892"/>
      <c r="S56" s="1834"/>
      <c r="T56" s="1837" t="s">
        <v>385</v>
      </c>
      <c r="U56" s="1836"/>
      <c r="V56" s="1836"/>
      <c r="W56" s="1836"/>
      <c r="X56" s="1836"/>
      <c r="Y56" s="1836"/>
      <c r="Z56" s="1836"/>
      <c r="AA56" s="1836"/>
      <c r="AB56" s="1836"/>
      <c r="AC56" s="1836"/>
      <c r="AD56" s="1836"/>
      <c r="AE56" s="1836"/>
      <c r="AF56" s="1836"/>
      <c r="AG56" s="1836"/>
      <c r="AH56" s="1836"/>
      <c r="AI56" s="1836"/>
      <c r="AJ56" s="1836"/>
      <c r="AK56" s="1836"/>
      <c r="AL56" s="1836"/>
      <c r="AM56" s="1836"/>
      <c r="AO56" s="1012"/>
      <c r="AP56" s="1012" t="str">
        <f>IF(T56="","",T56)</f>
        <v>Добавить территорию для дифференциации</v>
      </c>
      <c r="AQ56" s="1012"/>
      <c r="AR56" s="1012"/>
      <c r="AS56" s="1023">
        <v>1</v>
      </c>
    </row>
    <row s="46890" customFormat="1" customHeight="1" ht="1.05">
      <c r="A57" s="1826"/>
      <c r="B57" s="1826"/>
      <c r="C57" s="1826"/>
      <c r="D57" s="1826"/>
      <c r="E57" s="1855"/>
      <c r="F57" s="1826"/>
      <c r="G57" s="1826"/>
      <c r="H57" s="1826"/>
      <c r="I57" s="1826"/>
      <c r="J57" s="1826"/>
      <c r="K57" s="1826"/>
      <c r="L57" s="1851"/>
      <c r="M57" s="1833"/>
      <c r="N57" s="1833"/>
      <c r="P57" s="1828"/>
      <c r="Q57" s="1829"/>
      <c r="R57" s="1828"/>
      <c r="S57" s="1834"/>
      <c r="T57" s="1837" t="s">
        <v>386</v>
      </c>
      <c r="U57" s="1836"/>
      <c r="V57" s="1836"/>
      <c r="W57" s="1836"/>
      <c r="X57" s="1836"/>
      <c r="Y57" s="1836"/>
      <c r="Z57" s="1836"/>
      <c r="AA57" s="1836"/>
      <c r="AB57" s="1836"/>
      <c r="AC57" s="1836"/>
      <c r="AD57" s="1836"/>
      <c r="AE57" s="1836"/>
      <c r="AF57" s="1836"/>
      <c r="AG57" s="1836"/>
      <c r="AH57" s="1836"/>
      <c r="AI57" s="1836"/>
      <c r="AJ57" s="1836"/>
      <c r="AK57" s="1836"/>
      <c r="AL57" s="1836"/>
      <c r="AM57" s="1836"/>
      <c r="AO57" s="1301"/>
      <c r="AP57" s="1301" t="str">
        <f>IF(T57="","",T57)</f>
        <v>Добавить наименование тарифа</v>
      </c>
      <c r="AQ57" s="1301"/>
      <c r="AR57" s="1301"/>
      <c r="AS57" s="1030">
        <v>1</v>
      </c>
    </row>
    <row customHeight="1" ht="11.549999999999999">
      <c r="M58" s="1672"/>
      <c r="N58" s="1672"/>
      <c r="O58" s="1049"/>
      <c r="P58" s="1667"/>
      <c r="Q58" s="1667"/>
      <c r="R58" s="1667"/>
      <c r="S58" s="1667"/>
      <c r="AN58" s="1667"/>
      <c r="AO58" s="1667"/>
      <c r="AP58" s="1667"/>
      <c r="AQ58" s="1667"/>
      <c r="AR58" s="1667"/>
      <c r="AS58" s="1667">
        <v>11</v>
      </c>
    </row>
    <row customHeight="1" ht="23.25">
      <c r="O59" s="1049"/>
      <c r="S59" s="1765"/>
      <c r="T59" s="2797"/>
      <c r="U59" s="2797"/>
      <c r="V59" s="2797"/>
      <c r="W59" s="2797"/>
      <c r="X59" s="2797"/>
      <c r="Y59" s="2797"/>
      <c r="Z59" s="2797"/>
      <c r="AA59" s="2797"/>
      <c r="AB59" s="2797"/>
      <c r="AC59" s="2797"/>
      <c r="AD59" s="2797"/>
      <c r="AE59" s="2797"/>
      <c r="AF59" s="2797"/>
      <c r="AG59" s="2797"/>
      <c r="AH59" s="2797"/>
      <c r="AI59" s="2797"/>
      <c r="AJ59" s="2797"/>
      <c r="AK59" s="2797"/>
      <c r="AL59" s="2797"/>
      <c r="AM59" s="2797"/>
      <c r="AS59" s="1667">
        <v>22</v>
      </c>
    </row>
    <row customHeight="1" ht="30.45">
      <c r="O60" s="1049"/>
      <c r="T60" s="2797"/>
      <c r="U60" s="2797"/>
      <c r="V60" s="2797"/>
      <c r="W60" s="2797"/>
      <c r="X60" s="2797"/>
      <c r="Y60" s="2797"/>
      <c r="Z60" s="2797"/>
      <c r="AA60" s="2797"/>
      <c r="AB60" s="2797"/>
      <c r="AC60" s="2797"/>
      <c r="AD60" s="2797"/>
      <c r="AE60" s="2797"/>
      <c r="AF60" s="2797"/>
      <c r="AG60" s="2797"/>
      <c r="AH60" s="2797"/>
      <c r="AI60" s="2797"/>
      <c r="AJ60" s="2797"/>
      <c r="AK60" s="2797"/>
      <c r="AL60" s="2797"/>
      <c r="AM60" s="2797"/>
      <c r="AS60" s="1667">
        <v>29</v>
      </c>
    </row>
    <row customHeight="1" ht="42">
      <c r="O61" s="1049"/>
      <c r="T61" s="2797"/>
      <c r="U61" s="2797"/>
      <c r="V61" s="2797"/>
      <c r="W61" s="2797"/>
      <c r="X61" s="2797"/>
      <c r="Y61" s="2797"/>
      <c r="Z61" s="2797"/>
      <c r="AA61" s="2797"/>
      <c r="AB61" s="2797"/>
      <c r="AC61" s="2797"/>
      <c r="AD61" s="2797"/>
      <c r="AE61" s="2797"/>
      <c r="AF61" s="2797"/>
      <c r="AG61" s="2797"/>
      <c r="AH61" s="2797"/>
      <c r="AI61" s="2797"/>
      <c r="AJ61" s="2797"/>
      <c r="AK61" s="2797"/>
      <c r="AL61" s="2797"/>
      <c r="AM61" s="2797"/>
      <c r="AS61" s="1667">
        <v>40</v>
      </c>
    </row>
    <row customHeight="1" ht="14.699999999999998">
      <c r="O62" s="1049"/>
      <c r="AS62" s="1667">
        <v>14</v>
      </c>
    </row>
    <row customHeight="1" ht="21">
      <c r="O63" s="1049"/>
      <c r="S63" s="1765"/>
      <c r="T63" s="2811"/>
      <c r="U63" s="2797"/>
      <c r="V63" s="2797"/>
      <c r="W63" s="2797"/>
      <c r="X63" s="2797"/>
      <c r="Y63" s="2797"/>
      <c r="Z63" s="2797"/>
      <c r="AA63" s="2797"/>
      <c r="AB63" s="2797"/>
      <c r="AC63" s="2797"/>
      <c r="AD63" s="2797"/>
      <c r="AE63" s="2797"/>
      <c r="AF63" s="2797"/>
      <c r="AG63" s="2797"/>
      <c r="AH63" s="2797"/>
      <c r="AI63" s="2797"/>
      <c r="AJ63" s="2797"/>
      <c r="AK63" s="2797"/>
      <c r="AL63" s="2797"/>
      <c r="AM63" s="2797"/>
      <c r="AS63" s="1667">
        <v>20</v>
      </c>
    </row>
    <row customHeight="1" ht="29.25">
      <c r="O64" s="1049"/>
      <c r="T64" s="2797"/>
      <c r="U64" s="2797"/>
      <c r="V64" s="2797"/>
      <c r="W64" s="2797"/>
      <c r="X64" s="2797"/>
      <c r="Y64" s="2797"/>
      <c r="Z64" s="2797"/>
      <c r="AA64" s="2797"/>
      <c r="AB64" s="2797"/>
      <c r="AC64" s="2797"/>
      <c r="AD64" s="2797"/>
      <c r="AE64" s="2797"/>
      <c r="AF64" s="2797"/>
      <c r="AG64" s="2797"/>
      <c r="AH64" s="2797"/>
      <c r="AI64" s="2797"/>
      <c r="AJ64" s="2797"/>
      <c r="AK64" s="2797"/>
      <c r="AL64" s="2797"/>
      <c r="AM64" s="2797"/>
      <c r="AS64" s="1667">
        <v>28</v>
      </c>
    </row>
    <row customHeight="1" ht="35.699999999999996">
      <c r="T65" s="2797"/>
      <c r="U65" s="2797"/>
      <c r="V65" s="2797"/>
      <c r="W65" s="2797"/>
      <c r="X65" s="2797"/>
      <c r="Y65" s="2797"/>
      <c r="Z65" s="2797"/>
      <c r="AA65" s="2797"/>
      <c r="AB65" s="2797"/>
      <c r="AC65" s="2797"/>
      <c r="AD65" s="2797"/>
      <c r="AE65" s="2797"/>
      <c r="AF65" s="2797"/>
      <c r="AG65" s="2797"/>
      <c r="AH65" s="2797"/>
      <c r="AI65" s="2797"/>
      <c r="AJ65" s="2797"/>
      <c r="AK65" s="2797"/>
      <c r="AL65" s="2797"/>
      <c r="AM65" s="2797"/>
      <c r="AS65" s="1667">
        <v>34</v>
      </c>
    </row>
    <row customHeight="1" ht="22.5" hidden="1">
      <c r="A66" s="1672" t="s">
        <v>84</v>
      </c>
      <c r="B66" s="1672">
        <v>0</v>
      </c>
      <c r="C66" s="1672">
        <v>0</v>
      </c>
      <c r="D66" s="1672">
        <v>0</v>
      </c>
      <c r="E66" s="1672">
        <v>0</v>
      </c>
      <c r="F66" s="1672">
        <v>0</v>
      </c>
      <c r="G66" s="1672">
        <v>0</v>
      </c>
      <c r="H66" s="1672">
        <v>0</v>
      </c>
      <c r="I66" s="1672">
        <v>0</v>
      </c>
      <c r="J66" s="1672">
        <v>0</v>
      </c>
      <c r="K66" s="1672">
        <v>0</v>
      </c>
      <c r="L66" s="1841">
        <v>0</v>
      </c>
      <c r="M66" s="1874">
        <v>0</v>
      </c>
      <c r="N66" s="1874">
        <v>0</v>
      </c>
      <c r="O66" s="1874">
        <v>0</v>
      </c>
      <c r="P66" s="1840">
        <v>0</v>
      </c>
      <c r="Q66" s="856">
        <v>3</v>
      </c>
      <c r="R66" s="856">
        <v>3</v>
      </c>
      <c r="S66" s="1093">
        <v>12</v>
      </c>
      <c r="T66" s="1667">
        <v>31</v>
      </c>
      <c r="U66" s="1667">
        <v>0</v>
      </c>
      <c r="V66" s="1667">
        <v>0</v>
      </c>
      <c r="W66" s="1667">
        <v>0</v>
      </c>
      <c r="X66" s="1667">
        <v>0</v>
      </c>
      <c r="Y66" s="1667">
        <v>0</v>
      </c>
      <c r="Z66" s="1667">
        <v>0</v>
      </c>
      <c r="AA66" s="1667">
        <v>0</v>
      </c>
      <c r="AB66" s="1667">
        <v>0</v>
      </c>
      <c r="AC66" s="1667">
        <v>0</v>
      </c>
      <c r="AD66" s="1667">
        <v>24</v>
      </c>
      <c r="AE66" s="1667">
        <v>0</v>
      </c>
      <c r="AF66" s="1667">
        <v>24</v>
      </c>
      <c r="AG66" s="1667">
        <v>24</v>
      </c>
      <c r="AH66" s="1667">
        <v>11</v>
      </c>
      <c r="AI66" s="1667">
        <v>3</v>
      </c>
      <c r="AJ66" s="1667">
        <v>11</v>
      </c>
      <c r="AK66" s="1667">
        <v>0</v>
      </c>
      <c r="AL66" s="1667">
        <v>4</v>
      </c>
      <c r="AM66" s="1667">
        <v>115</v>
      </c>
      <c r="AN66" s="1023">
        <v>10</v>
      </c>
      <c r="AO66" s="1023">
        <v>10</v>
      </c>
      <c r="AP66" s="1023">
        <v>10</v>
      </c>
      <c r="AQ66" s="1023">
        <v>10</v>
      </c>
      <c r="AR66" s="1023">
        <v>10</v>
      </c>
      <c r="AS66" s="1667">
        <v>23</v>
      </c>
    </row>
  </sheetData>
  <sheetProtection formatColumns="0" formatRows="0" autoFilter="0" sort="0" insertRows="0" insertColumns="1" deleteRows="0" deleteColumns="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4ECA287-71AA-5109-7D52-A5D8E6109074}"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46889" width="10.57421875" hidden="1"/>
    <col min="2" max="2" style="46889" width="11.00390625" hidden="1" customWidth="1"/>
    <col min="3" max="3" style="46889" width="10.57421875" hidden="1"/>
    <col min="4" max="4" style="46889" width="11.8515625" hidden="1" customWidth="1"/>
    <col min="5" max="5" style="46889" width="10.00390625" hidden="1" customWidth="1"/>
    <col min="6" max="6" style="46889" width="8.7109375" hidden="1" customWidth="1"/>
    <col min="7" max="7" style="46889" width="7.57421875" hidden="1" customWidth="1"/>
    <col min="8" max="8" style="46889" width="11.421875" hidden="1" customWidth="1"/>
    <col min="9" max="9" style="46889" width="12.00390625" hidden="1" customWidth="1"/>
    <col min="10" max="10" style="46889" width="9.8515625" hidden="1" customWidth="1"/>
    <col min="11" max="11" style="46889" width="11.421875" hidden="1" customWidth="1"/>
    <col min="12" max="12" style="47738" width="19.140625" hidden="1" customWidth="1"/>
    <col min="13" max="14" style="47739" width="12.28125" hidden="1" customWidth="1"/>
    <col min="15" max="15" style="47739" width="23.421875" hidden="1" customWidth="1"/>
    <col min="16" max="16" style="47740" width="3.7109375" hidden="1" customWidth="1"/>
    <col min="17" max="18" style="47741" width="3.00390625" customWidth="1"/>
    <col min="19" max="19" style="47742" width="12.00390625" customWidth="1"/>
    <col min="20" max="20" style="46808" width="31.00390625" customWidth="1"/>
    <col min="21" max="21" style="46808" width="0.140625" customWidth="1"/>
    <col min="22" max="22" style="46808" width="24.7109375" hidden="1" customWidth="1"/>
    <col min="23" max="23" style="46808" width="0.140625" hidden="1" customWidth="1"/>
    <col min="24" max="25" style="46808" width="24.7109375" hidden="1" customWidth="1"/>
    <col min="26" max="26" style="46808" width="11.7109375" hidden="1" customWidth="1"/>
    <col min="27" max="27" style="46808" width="3.7109375" hidden="1" customWidth="1"/>
    <col min="28" max="28" style="46808" width="11.7109375" hidden="1" customWidth="1"/>
    <col min="29" max="29" style="46808" width="8.57421875" hidden="1" customWidth="1"/>
    <col min="30" max="30" style="46808" width="24.7109375" customWidth="1"/>
    <col min="31" max="31" style="46808" width="0.140625" customWidth="1"/>
    <col min="32" max="33" style="46808" width="24.00390625" customWidth="1"/>
    <col min="34" max="34" style="46808" width="11.00390625" customWidth="1"/>
    <col min="35" max="35" style="46808" width="3.7109375" customWidth="1"/>
    <col min="36" max="36" style="46808" width="11.00390625" customWidth="1"/>
    <col min="37" max="37" style="46808" width="8.57421875" hidden="1" customWidth="1"/>
    <col min="38" max="38" style="46808" width="4.00390625" customWidth="1"/>
    <col min="39" max="39" style="46808" width="115.00390625" customWidth="1"/>
    <col min="40" max="44" style="46890" width="10.00390625" customWidth="1"/>
    <col min="45" max="45" style="46808" width="10.57421875" hidden="1"/>
  </cols>
  <sheetData>
    <row customHeight="1" ht="22.5" hidden="1">
      <c r="Y1" s="839"/>
      <c r="Z1" s="839"/>
      <c r="AG1" s="839"/>
      <c r="AH1" s="839"/>
      <c r="AS1" s="1667" t="s">
        <v>14</v>
      </c>
    </row>
    <row customHeight="1" ht="21" hidden="1">
      <c r="A2" s="1875"/>
      <c r="B2" s="1875"/>
      <c r="C2" s="1875"/>
      <c r="D2" s="1875"/>
      <c r="E2" s="2770">
        <v>1</v>
      </c>
      <c r="F2" s="1875"/>
      <c r="G2" s="1875"/>
      <c r="H2" s="1875"/>
      <c r="I2" s="1875"/>
      <c r="J2" s="1875"/>
      <c r="K2" s="1875"/>
      <c r="L2" s="1876"/>
      <c r="M2" s="1877"/>
      <c r="N2" s="1877"/>
      <c r="O2" s="1877"/>
      <c r="P2" s="873"/>
      <c r="Q2" s="872"/>
      <c r="R2" s="867"/>
      <c r="S2" s="1848">
        <f>INDEX(PT_DIFFERENTIATION_NUM_NTAR,MATCH(A2,PT_DIFFERENTIATION_NTAR_ID,0))</f>
      </c>
      <c r="T2" s="810" t="s">
        <v>179</v>
      </c>
      <c r="U2" s="812"/>
      <c r="V2" s="2754"/>
      <c r="W2" s="2755"/>
      <c r="X2" s="2755"/>
      <c r="Y2" s="2755"/>
      <c r="Z2" s="2755"/>
      <c r="AA2" s="2755"/>
      <c r="AB2" s="2755"/>
      <c r="AC2" s="2756"/>
      <c r="AD2" s="2754">
        <f>INDEX(PT_DIFFERENTIATION_NTAR,MATCH(A2,PT_DIFFERENTIATION_NTAR_ID,0))</f>
      </c>
      <c r="AE2" s="2755"/>
      <c r="AF2" s="2755"/>
      <c r="AG2" s="2755"/>
      <c r="AH2" s="2755"/>
      <c r="AI2" s="2755"/>
      <c r="AJ2" s="2755"/>
      <c r="AK2" s="2755"/>
      <c r="AL2" s="2756"/>
      <c r="AM2" s="1770" t="s">
        <v>514</v>
      </c>
      <c r="AO2" s="1012"/>
      <c r="AP2" s="1012" t="str">
        <f>IF(T2="","",T2)</f>
        <v>Наименование тарифа</v>
      </c>
      <c r="AQ2" s="1012"/>
      <c r="AR2" s="1012"/>
      <c r="AS2" s="1667">
        <v>0</v>
      </c>
    </row>
    <row customHeight="1" ht="21" hidden="1">
      <c r="A3" s="1875"/>
      <c r="B3" s="1875"/>
      <c r="C3" s="1875"/>
      <c r="D3" s="1875"/>
      <c r="E3" s="2771"/>
      <c r="F3" s="2770">
        <v>1</v>
      </c>
      <c r="G3" s="1875"/>
      <c r="H3" s="1875"/>
      <c r="I3" s="1875"/>
      <c r="J3" s="1875"/>
      <c r="K3" s="1875"/>
      <c r="L3" s="1876"/>
      <c r="M3" s="1877"/>
      <c r="N3" s="1877"/>
      <c r="O3" s="1877"/>
      <c r="P3" s="1844"/>
      <c r="Q3" s="864"/>
      <c r="R3" s="865"/>
      <c r="S3" s="1848">
        <f>INDEX(PT_DIFFERENTIATION_NUM_TER,MATCH(B3,PT_DIFFERENTIATION_TER_ID,0))</f>
      </c>
      <c r="T3" s="820" t="s">
        <v>515</v>
      </c>
      <c r="U3" s="812"/>
      <c r="V3" s="2754"/>
      <c r="W3" s="2755"/>
      <c r="X3" s="2755"/>
      <c r="Y3" s="2755"/>
      <c r="Z3" s="2755"/>
      <c r="AA3" s="2755"/>
      <c r="AB3" s="2755"/>
      <c r="AC3" s="2756"/>
      <c r="AD3" s="2754">
        <f>INDEX(PT_DIFFERENTIATION_TER,MATCH(B3,PT_DIFFERENTIATION_TER_ID,0))</f>
      </c>
      <c r="AE3" s="2755"/>
      <c r="AF3" s="2755"/>
      <c r="AG3" s="2755"/>
      <c r="AH3" s="2755"/>
      <c r="AI3" s="2755"/>
      <c r="AJ3" s="2755"/>
      <c r="AK3" s="2755"/>
      <c r="AL3" s="2756"/>
      <c r="AM3" s="1770" t="s">
        <v>516</v>
      </c>
      <c r="AO3" s="1012"/>
      <c r="AP3" s="1012" t="str">
        <f>IF(T3="","",T3)</f>
        <v>Территория действия тарифа</v>
      </c>
      <c r="AQ3" s="1012"/>
      <c r="AR3" s="1012"/>
      <c r="AS3" s="1667">
        <v>0</v>
      </c>
    </row>
    <row customHeight="1" ht="23.25" hidden="1">
      <c r="A4" s="1875"/>
      <c r="B4" s="1875"/>
      <c r="C4" s="1875"/>
      <c r="D4" s="1875"/>
      <c r="E4" s="2771"/>
      <c r="F4" s="2771"/>
      <c r="G4" s="2770">
        <v>1</v>
      </c>
      <c r="H4" s="1875"/>
      <c r="I4" s="1875"/>
      <c r="J4" s="1875"/>
      <c r="K4" s="1875"/>
      <c r="L4" s="1876"/>
      <c r="M4" s="1877"/>
      <c r="N4" s="1877"/>
      <c r="O4" s="1877"/>
      <c r="P4" s="866"/>
      <c r="Q4" s="864"/>
      <c r="R4" s="865"/>
      <c r="S4" s="1848">
        <f>INDEX(PT_DIFFERENTIATION_NUM_CS,MATCH(C4,PT_DIFFERENTIATION_CS_ID,0))</f>
      </c>
      <c r="T4" s="821" t="s">
        <v>517</v>
      </c>
      <c r="U4" s="812"/>
      <c r="V4" s="2754"/>
      <c r="W4" s="2755"/>
      <c r="X4" s="2755"/>
      <c r="Y4" s="2755"/>
      <c r="Z4" s="2755"/>
      <c r="AA4" s="2755"/>
      <c r="AB4" s="2755"/>
      <c r="AC4" s="2756"/>
      <c r="AD4" s="2754">
        <f>INDEX(PT_DIFFERENTIATION_CS,MATCH(C4,PT_DIFFERENTIATION_CS_ID,0))</f>
      </c>
      <c r="AE4" s="2755"/>
      <c r="AF4" s="2755"/>
      <c r="AG4" s="2755"/>
      <c r="AH4" s="2755"/>
      <c r="AI4" s="2755"/>
      <c r="AJ4" s="2755"/>
      <c r="AK4" s="2755"/>
      <c r="AL4" s="2756"/>
      <c r="AM4" s="1770" t="s">
        <v>518</v>
      </c>
      <c r="AO4" s="1012"/>
      <c r="AP4" s="1012" t="str">
        <f>IF(T4="","",T4)</f>
        <v>Наименование системы теплоснабжения </v>
      </c>
      <c r="AQ4" s="1012"/>
      <c r="AR4" s="1012"/>
      <c r="AS4" s="1667">
        <v>0</v>
      </c>
    </row>
    <row customHeight="1" ht="21" hidden="1">
      <c r="A5" s="1875"/>
      <c r="B5" s="1875"/>
      <c r="C5" s="1875"/>
      <c r="D5" s="1875"/>
      <c r="E5" s="2771"/>
      <c r="F5" s="2771"/>
      <c r="G5" s="2771"/>
      <c r="H5" s="2770">
        <v>1</v>
      </c>
      <c r="I5" s="1875"/>
      <c r="J5" s="1875"/>
      <c r="K5" s="1875"/>
      <c r="L5" s="1876"/>
      <c r="M5" s="1877"/>
      <c r="N5" s="1877"/>
      <c r="O5" s="1877"/>
      <c r="P5" s="866"/>
      <c r="Q5" s="864"/>
      <c r="R5" s="865"/>
      <c r="S5" s="1848">
        <f>INDEX(PT_DIFFERENTIATION_NUM_IST_TE,MATCH(D5,PT_DIFFERENTIATION_IST_TE_ID,0))</f>
      </c>
      <c r="T5" s="822" t="s">
        <v>519</v>
      </c>
      <c r="U5" s="812"/>
      <c r="V5" s="2754"/>
      <c r="W5" s="2755"/>
      <c r="X5" s="2755"/>
      <c r="Y5" s="2755"/>
      <c r="Z5" s="2755"/>
      <c r="AA5" s="2755"/>
      <c r="AB5" s="2755"/>
      <c r="AC5" s="2756"/>
      <c r="AD5" s="2754">
        <f>INDEX(PT_DIFFERENTIATION_IST_TE,MATCH(D5,PT_DIFFERENTIATION_IST_TE_ID,0))</f>
      </c>
      <c r="AE5" s="2755"/>
      <c r="AF5" s="2755"/>
      <c r="AG5" s="2755"/>
      <c r="AH5" s="2755"/>
      <c r="AI5" s="2755"/>
      <c r="AJ5" s="2755"/>
      <c r="AK5" s="2755"/>
      <c r="AL5" s="2756"/>
      <c r="AM5" s="1770" t="s">
        <v>520</v>
      </c>
      <c r="AO5" s="1012"/>
      <c r="AP5" s="1012" t="str">
        <f>IF(T5="","",T5)</f>
        <v>Источник тепловой энергии  </v>
      </c>
      <c r="AQ5" s="1012"/>
      <c r="AR5" s="1012"/>
      <c r="AS5" s="1667">
        <v>0</v>
      </c>
    </row>
    <row customHeight="1" ht="14.25" hidden="1">
      <c r="A6" s="1875"/>
      <c r="B6" s="1875"/>
      <c r="C6" s="1875"/>
      <c r="D6" s="1875"/>
      <c r="E6" s="2771"/>
      <c r="F6" s="2771"/>
      <c r="G6" s="2771"/>
      <c r="H6" s="2771"/>
      <c r="I6" s="2768">
        <f>S5&amp;".1"</f>
      </c>
      <c r="J6" s="1875"/>
      <c r="K6" s="1875"/>
      <c r="L6" s="1876" t="s">
        <v>521</v>
      </c>
      <c r="M6" s="1049"/>
      <c r="P6" s="2769">
        <v>1</v>
      </c>
      <c r="Q6" s="1843"/>
      <c r="R6" s="868"/>
      <c r="S6" s="1554"/>
      <c r="T6" s="1895"/>
      <c r="U6" s="1896"/>
      <c r="V6" s="2808"/>
      <c r="W6" s="2809"/>
      <c r="X6" s="2809"/>
      <c r="Y6" s="2809"/>
      <c r="Z6" s="2809"/>
      <c r="AA6" s="2809"/>
      <c r="AB6" s="2809"/>
      <c r="AC6" s="2810"/>
      <c r="AD6" s="2808"/>
      <c r="AE6" s="2809"/>
      <c r="AF6" s="2809"/>
      <c r="AG6" s="2809"/>
      <c r="AH6" s="2809"/>
      <c r="AI6" s="2809"/>
      <c r="AJ6" s="2809"/>
      <c r="AK6" s="2809"/>
      <c r="AL6" s="2810"/>
      <c r="AM6" s="1897"/>
      <c r="AO6" s="1012"/>
      <c r="AP6" s="1012" t="str">
        <f>IF(T6="","",T6)</f>
        <v/>
      </c>
      <c r="AQ6" s="1012"/>
      <c r="AR6" s="1012"/>
      <c r="AS6" s="1667">
        <v>0</v>
      </c>
    </row>
    <row customHeight="1" ht="21" hidden="1">
      <c r="A7" s="1875"/>
      <c r="B7" s="1875"/>
      <c r="C7" s="1875"/>
      <c r="D7" s="1875"/>
      <c r="E7" s="2771"/>
      <c r="F7" s="2771"/>
      <c r="G7" s="2771"/>
      <c r="H7" s="2771"/>
      <c r="I7" s="2798"/>
      <c r="J7" s="2768">
        <f>I6&amp;".1"</f>
      </c>
      <c r="K7" s="1875"/>
      <c r="L7" s="1876" t="s">
        <v>524</v>
      </c>
      <c r="M7" s="1049"/>
      <c r="N7" s="1878"/>
      <c r="P7" s="2769"/>
      <c r="Q7" s="2769">
        <v>1</v>
      </c>
      <c r="R7" s="869"/>
      <c r="S7" s="1848">
        <f>$J7</f>
      </c>
      <c r="T7" s="798" t="s">
        <v>525</v>
      </c>
      <c r="U7" s="812"/>
      <c r="V7" s="2757"/>
      <c r="W7" s="2758"/>
      <c r="X7" s="2758"/>
      <c r="Y7" s="2758"/>
      <c r="Z7" s="2758"/>
      <c r="AA7" s="2758"/>
      <c r="AB7" s="2758"/>
      <c r="AC7" s="2759"/>
      <c r="AD7" s="2757"/>
      <c r="AE7" s="2758"/>
      <c r="AF7" s="2758"/>
      <c r="AG7" s="2758"/>
      <c r="AH7" s="2758"/>
      <c r="AI7" s="2758"/>
      <c r="AJ7" s="2758"/>
      <c r="AK7" s="2758"/>
      <c r="AL7" s="2759"/>
      <c r="AM7" s="1770" t="s">
        <v>526</v>
      </c>
      <c r="AO7" s="1012"/>
      <c r="AP7" s="1012" t="str">
        <f>IF(T7="","",T7)</f>
        <v>Группа потребителей</v>
      </c>
      <c r="AQ7" s="1012"/>
      <c r="AR7" s="1012"/>
      <c r="AS7" s="1667">
        <v>0</v>
      </c>
    </row>
    <row customHeight="1" ht="21" hidden="1">
      <c r="A8" s="1875"/>
      <c r="B8" s="1875"/>
      <c r="C8" s="1875"/>
      <c r="D8" s="1875"/>
      <c r="E8" s="2771"/>
      <c r="F8" s="2771"/>
      <c r="G8" s="2771"/>
      <c r="H8" s="2771"/>
      <c r="I8" s="2798"/>
      <c r="J8" s="2798"/>
      <c r="K8" s="2768">
        <f>J7&amp;".1"</f>
      </c>
      <c r="L8" s="1876" t="s">
        <v>527</v>
      </c>
      <c r="M8" s="1049"/>
      <c r="N8" s="1878"/>
      <c r="O8" s="1878"/>
      <c r="P8" s="2769"/>
      <c r="Q8" s="2769"/>
      <c r="R8" s="869">
        <v>1</v>
      </c>
      <c r="S8" s="1848">
        <f>$K8</f>
      </c>
      <c r="T8" s="1859"/>
      <c r="U8" s="812"/>
      <c r="V8" s="1263"/>
      <c r="W8" s="837"/>
      <c r="X8" s="1263"/>
      <c r="Y8" s="1769"/>
      <c r="Z8" s="2777"/>
      <c r="AA8" s="2619" t="s">
        <v>63</v>
      </c>
      <c r="AB8" s="2777"/>
      <c r="AC8" s="2619" t="s">
        <v>63</v>
      </c>
      <c r="AD8" s="1263"/>
      <c r="AE8" s="837"/>
      <c r="AF8" s="1263"/>
      <c r="AG8" s="1769"/>
      <c r="AH8" s="2777"/>
      <c r="AI8" s="2619" t="s">
        <v>63</v>
      </c>
      <c r="AJ8" s="2777"/>
      <c r="AK8" s="2619" t="s">
        <v>63</v>
      </c>
      <c r="AL8" s="837"/>
      <c r="AM8" s="2765" t="s">
        <v>528</v>
      </c>
      <c r="AN8" s="1023">
        <f>STRCHECKDATE(V9:AL9)</f>
      </c>
      <c r="AO8" s="1012"/>
      <c r="AP8" s="1012" t="str">
        <f>IF(T8="","",T8)</f>
        <v/>
      </c>
      <c r="AQ8" s="1012"/>
      <c r="AR8" s="1012"/>
      <c r="AS8" s="1667">
        <v>0</v>
      </c>
    </row>
    <row customHeight="1" ht="14.25" hidden="1">
      <c r="A9" s="1875"/>
      <c r="B9" s="1875"/>
      <c r="C9" s="1875"/>
      <c r="D9" s="1875"/>
      <c r="E9" s="2771"/>
      <c r="F9" s="2771"/>
      <c r="G9" s="2771"/>
      <c r="H9" s="2771"/>
      <c r="I9" s="2798"/>
      <c r="J9" s="2798"/>
      <c r="K9" s="2768"/>
      <c r="L9" s="1876"/>
      <c r="M9" s="1049"/>
      <c r="N9" s="1878"/>
      <c r="O9" s="1878"/>
      <c r="P9" s="2769"/>
      <c r="Q9" s="2769"/>
      <c r="R9" s="869"/>
      <c r="S9" s="1854"/>
      <c r="T9" s="812"/>
      <c r="U9" s="812"/>
      <c r="V9" s="837"/>
      <c r="W9" s="837"/>
      <c r="X9" s="837"/>
      <c r="Y9" s="840" t="str">
        <f>Z8&amp;"-"&amp;AB8</f>
        <v>-</v>
      </c>
      <c r="Z9" s="2778"/>
      <c r="AA9" s="2619"/>
      <c r="AB9" s="2778"/>
      <c r="AC9" s="2619"/>
      <c r="AD9" s="837"/>
      <c r="AE9" s="837"/>
      <c r="AF9" s="837"/>
      <c r="AG9" s="840" t="str">
        <f>AH8&amp;"-"&amp;AJ8</f>
        <v>-</v>
      </c>
      <c r="AH9" s="2778"/>
      <c r="AI9" s="2619"/>
      <c r="AJ9" s="2778"/>
      <c r="AK9" s="2619"/>
      <c r="AL9" s="837"/>
      <c r="AM9" s="2766"/>
      <c r="AO9" s="1012"/>
      <c r="AP9" s="1012" t="str">
        <f>IF(T9="","",T9)</f>
        <v/>
      </c>
      <c r="AQ9" s="1012"/>
      <c r="AR9" s="1012"/>
      <c r="AS9" s="1667">
        <v>0</v>
      </c>
    </row>
    <row customHeight="1" ht="15" hidden="1">
      <c r="A10" s="1875"/>
      <c r="B10" s="1875"/>
      <c r="C10" s="1875"/>
      <c r="D10" s="1875"/>
      <c r="E10" s="2771"/>
      <c r="F10" s="2771"/>
      <c r="G10" s="2771"/>
      <c r="H10" s="2771"/>
      <c r="I10" s="2798"/>
      <c r="J10" s="2768"/>
      <c r="K10" s="1875"/>
      <c r="L10" s="1876"/>
      <c r="M10" s="1049"/>
      <c r="N10" s="1878"/>
      <c r="P10" s="2769"/>
      <c r="Q10" s="2769"/>
      <c r="R10" s="868"/>
      <c r="S10" s="1790"/>
      <c r="T10" s="799" t="s">
        <v>529</v>
      </c>
      <c r="U10" s="879"/>
      <c r="V10" s="879"/>
      <c r="W10" s="879"/>
      <c r="X10" s="879"/>
      <c r="Y10" s="879"/>
      <c r="Z10" s="879"/>
      <c r="AA10" s="879"/>
      <c r="AB10" s="879"/>
      <c r="AC10" s="879"/>
      <c r="AD10" s="879"/>
      <c r="AE10" s="879"/>
      <c r="AF10" s="879"/>
      <c r="AG10" s="879"/>
      <c r="AH10" s="879"/>
      <c r="AI10" s="879"/>
      <c r="AJ10" s="879"/>
      <c r="AK10" s="879"/>
      <c r="AL10" s="836"/>
      <c r="AM10" s="2767"/>
      <c r="AO10" s="1012"/>
      <c r="AP10" s="1012" t="str">
        <f>IF(T10="","",T10)</f>
        <v>Добавить вид теплоносителя (параметры теплоносителя)</v>
      </c>
      <c r="AQ10" s="1012"/>
      <c r="AR10" s="1012"/>
      <c r="AS10" s="1667">
        <v>0</v>
      </c>
    </row>
    <row customHeight="1" ht="11.25" hidden="1">
      <c r="A11" s="1875"/>
      <c r="B11" s="1875"/>
      <c r="C11" s="1875"/>
      <c r="D11" s="1875"/>
      <c r="E11" s="2771"/>
      <c r="F11" s="2771"/>
      <c r="G11" s="2771"/>
      <c r="H11" s="2771"/>
      <c r="I11" s="2768"/>
      <c r="J11" s="1875"/>
      <c r="K11" s="1875"/>
      <c r="L11" s="1876"/>
      <c r="M11" s="1049"/>
      <c r="P11" s="2769"/>
      <c r="Q11" s="1843"/>
      <c r="R11" s="868"/>
      <c r="S11" s="1790"/>
      <c r="T11" s="877" t="s">
        <v>530</v>
      </c>
      <c r="U11" s="879"/>
      <c r="V11" s="879"/>
      <c r="W11" s="879"/>
      <c r="X11" s="879"/>
      <c r="Y11" s="879"/>
      <c r="Z11" s="879"/>
      <c r="AA11" s="879"/>
      <c r="AB11" s="879"/>
      <c r="AC11" s="878"/>
      <c r="AD11" s="879"/>
      <c r="AE11" s="879"/>
      <c r="AF11" s="879"/>
      <c r="AG11" s="879"/>
      <c r="AH11" s="879"/>
      <c r="AI11" s="879"/>
      <c r="AJ11" s="879"/>
      <c r="AK11" s="878"/>
      <c r="AL11" s="879"/>
      <c r="AM11" s="815"/>
      <c r="AO11" s="1012"/>
      <c r="AP11" s="1012" t="str">
        <f>IF(T11="","",T11)</f>
        <v>Добавить группу потребителей</v>
      </c>
      <c r="AQ11" s="1012"/>
      <c r="AR11" s="1012"/>
      <c r="AS11" s="1667">
        <v>0</v>
      </c>
    </row>
    <row customHeight="1" ht="14.25" hidden="1">
      <c r="A12" s="1875"/>
      <c r="B12" s="1875"/>
      <c r="C12" s="1875"/>
      <c r="D12" s="1875"/>
      <c r="E12" s="2771"/>
      <c r="F12" s="2771"/>
      <c r="G12" s="2771"/>
      <c r="H12" s="2770"/>
      <c r="I12" s="1875"/>
      <c r="J12" s="1875"/>
      <c r="K12" s="1875"/>
      <c r="L12" s="1876"/>
      <c r="M12" s="1877"/>
      <c r="N12" s="1877"/>
      <c r="O12" s="1049"/>
      <c r="P12" s="872"/>
      <c r="Q12" s="887"/>
      <c r="R12" s="867"/>
      <c r="S12" s="1898"/>
      <c r="T12" s="1899"/>
      <c r="U12" s="1900"/>
      <c r="V12" s="1900"/>
      <c r="W12" s="1900"/>
      <c r="X12" s="1900"/>
      <c r="Y12" s="1900"/>
      <c r="Z12" s="1900"/>
      <c r="AA12" s="1900"/>
      <c r="AB12" s="1900"/>
      <c r="AC12" s="1900"/>
      <c r="AD12" s="1900"/>
      <c r="AE12" s="1900"/>
      <c r="AF12" s="1900"/>
      <c r="AG12" s="1900"/>
      <c r="AH12" s="1900"/>
      <c r="AI12" s="1900"/>
      <c r="AJ12" s="1900"/>
      <c r="AK12" s="1900"/>
      <c r="AL12" s="1900"/>
      <c r="AM12" s="1901"/>
      <c r="AO12" s="1012"/>
      <c r="AP12" s="1012" t="str">
        <f>IF(T12="","",T12)</f>
        <v/>
      </c>
      <c r="AQ12" s="1012"/>
      <c r="AR12" s="1012"/>
      <c r="AS12" s="1667">
        <v>0</v>
      </c>
    </row>
    <row s="46890" customFormat="1" customHeight="1" ht="14.25" hidden="1">
      <c r="A13" s="1826"/>
      <c r="B13" s="1826"/>
      <c r="C13" s="1826"/>
      <c r="D13" s="1826"/>
      <c r="E13" s="2771"/>
      <c r="F13" s="2771"/>
      <c r="G13" s="2770"/>
      <c r="H13" s="1826"/>
      <c r="I13" s="1826"/>
      <c r="J13" s="1826"/>
      <c r="K13" s="1826"/>
      <c r="L13" s="1851"/>
      <c r="M13" s="1827"/>
      <c r="N13" s="1827"/>
      <c r="P13" s="1828"/>
      <c r="Q13" s="1829"/>
      <c r="R13" s="1828"/>
      <c r="S13" s="1830"/>
      <c r="T13" s="1831" t="s">
        <v>532</v>
      </c>
      <c r="U13" s="1832"/>
      <c r="V13" s="1832"/>
      <c r="W13" s="1832"/>
      <c r="X13" s="1832"/>
      <c r="Y13" s="1832"/>
      <c r="Z13" s="1832"/>
      <c r="AA13" s="1832"/>
      <c r="AB13" s="1832"/>
      <c r="AC13" s="1832"/>
      <c r="AD13" s="1832"/>
      <c r="AE13" s="1832"/>
      <c r="AF13" s="1832"/>
      <c r="AG13" s="1832"/>
      <c r="AH13" s="1832"/>
      <c r="AI13" s="1832"/>
      <c r="AJ13" s="1832"/>
      <c r="AK13" s="1832"/>
      <c r="AL13" s="1832"/>
      <c r="AM13" s="1832"/>
      <c r="AO13" s="1301"/>
      <c r="AP13" s="1301" t="str">
        <f>IF(T13="","",T13)</f>
        <v>Добавить источник для дифференциации</v>
      </c>
      <c r="AQ13" s="1301"/>
      <c r="AR13" s="1301"/>
      <c r="AS13" s="1030">
        <v>0</v>
      </c>
    </row>
    <row s="46890" customFormat="1" customHeight="1" ht="14.25" hidden="1">
      <c r="A14" s="1826"/>
      <c r="B14" s="1826"/>
      <c r="C14" s="1826"/>
      <c r="D14" s="1826"/>
      <c r="E14" s="2771"/>
      <c r="F14" s="2770"/>
      <c r="G14" s="1826"/>
      <c r="H14" s="1826"/>
      <c r="I14" s="1826"/>
      <c r="J14" s="1826"/>
      <c r="K14" s="1826"/>
      <c r="L14" s="1851"/>
      <c r="M14" s="1833"/>
      <c r="N14" s="1833"/>
      <c r="P14" s="1828"/>
      <c r="Q14" s="1829"/>
      <c r="R14" s="1828"/>
      <c r="S14" s="1834"/>
      <c r="T14" s="1835" t="s">
        <v>321</v>
      </c>
      <c r="U14" s="1836"/>
      <c r="V14" s="1836"/>
      <c r="W14" s="1836"/>
      <c r="X14" s="1836"/>
      <c r="Y14" s="1836"/>
      <c r="Z14" s="1836"/>
      <c r="AA14" s="1836"/>
      <c r="AB14" s="1836"/>
      <c r="AC14" s="1836"/>
      <c r="AD14" s="1836"/>
      <c r="AE14" s="1836"/>
      <c r="AF14" s="1836"/>
      <c r="AG14" s="1836"/>
      <c r="AH14" s="1836"/>
      <c r="AI14" s="1836"/>
      <c r="AJ14" s="1836"/>
      <c r="AK14" s="1836"/>
      <c r="AL14" s="1836"/>
      <c r="AM14" s="1836"/>
      <c r="AO14" s="1301"/>
      <c r="AP14" s="1301" t="str">
        <f>IF(T14="","",T14)</f>
        <v>Добавить централизованную систему для дифференциации</v>
      </c>
      <c r="AQ14" s="1301"/>
      <c r="AR14" s="1301"/>
      <c r="AS14" s="1030">
        <v>0</v>
      </c>
    </row>
    <row s="46890" customFormat="1" customHeight="1" ht="14.25" hidden="1">
      <c r="A15" s="1826"/>
      <c r="B15" s="1826"/>
      <c r="C15" s="1826"/>
      <c r="D15" s="1826"/>
      <c r="E15" s="2770"/>
      <c r="F15" s="1826"/>
      <c r="G15" s="1826"/>
      <c r="H15" s="1826"/>
      <c r="I15" s="1826"/>
      <c r="J15" s="1826"/>
      <c r="K15" s="1826"/>
      <c r="L15" s="1851"/>
      <c r="M15" s="1833"/>
      <c r="N15" s="1833"/>
      <c r="P15" s="1828"/>
      <c r="Q15" s="1829"/>
      <c r="R15" s="1828"/>
      <c r="S15" s="1834"/>
      <c r="T15" s="1837" t="s">
        <v>385</v>
      </c>
      <c r="U15" s="1836"/>
      <c r="V15" s="1836"/>
      <c r="W15" s="1836"/>
      <c r="X15" s="1836"/>
      <c r="Y15" s="1836"/>
      <c r="Z15" s="1836"/>
      <c r="AA15" s="1836"/>
      <c r="AB15" s="1836"/>
      <c r="AC15" s="1836"/>
      <c r="AD15" s="1836"/>
      <c r="AE15" s="1836"/>
      <c r="AF15" s="1836"/>
      <c r="AG15" s="1836"/>
      <c r="AH15" s="1836"/>
      <c r="AI15" s="1836"/>
      <c r="AJ15" s="1836"/>
      <c r="AK15" s="1836"/>
      <c r="AL15" s="1836"/>
      <c r="AM15" s="1836"/>
      <c r="AO15" s="1301"/>
      <c r="AP15" s="1301" t="str">
        <f>IF(T15="","",T15)</f>
        <v>Добавить территорию для дифференциации</v>
      </c>
      <c r="AQ15" s="1301"/>
      <c r="AR15" s="1301"/>
      <c r="AS15" s="1030">
        <v>0</v>
      </c>
    </row>
    <row customHeight="1" ht="14.25" hidden="1">
      <c r="AC16" s="839"/>
      <c r="AK16" s="839"/>
      <c r="AS16" s="1667">
        <v>0</v>
      </c>
    </row>
    <row customHeight="1" ht="14.25" hidden="1">
      <c r="AD17" s="1872"/>
      <c r="AE17" s="1872"/>
      <c r="AF17" s="1872"/>
      <c r="AG17" s="1873"/>
      <c r="AH17" s="2779"/>
      <c r="AI17" s="2780" t="s">
        <v>63</v>
      </c>
      <c r="AJ17" s="2779"/>
      <c r="AK17" s="2780" t="s">
        <v>63</v>
      </c>
      <c r="AS17" s="1667">
        <v>0</v>
      </c>
    </row>
    <row customHeight="1" ht="14.25" hidden="1">
      <c r="AD18" s="1872"/>
      <c r="AE18" s="1872"/>
      <c r="AF18" s="1872"/>
      <c r="AG18" s="840" t="str">
        <f>AH17&amp;"-"&amp;AJ17</f>
        <v>-</v>
      </c>
      <c r="AH18" s="2780"/>
      <c r="AI18" s="2780"/>
      <c r="AJ18" s="2780"/>
      <c r="AK18" s="2780"/>
      <c r="AS18" s="1667">
        <v>0</v>
      </c>
    </row>
    <row customHeight="1" ht="14.25" hidden="1">
      <c r="AK19" s="839"/>
      <c r="AS19" s="1667">
        <v>0</v>
      </c>
    </row>
    <row s="46889" customFormat="1" customHeight="1" ht="22.5" hidden="1">
      <c r="L20" s="1841"/>
      <c r="M20" s="1874"/>
      <c r="N20" s="1874"/>
      <c r="O20" s="1879" t="s">
        <v>533</v>
      </c>
      <c r="P20" s="1874"/>
      <c r="Q20" s="1883"/>
      <c r="R20" s="1883"/>
      <c r="S20" s="1241"/>
      <c r="Z20" s="1879"/>
      <c r="AB20" s="1879"/>
      <c r="AC20" s="1878"/>
      <c r="AH20" s="1879"/>
      <c r="AJ20" s="1879"/>
      <c r="AK20" s="1878"/>
      <c r="AN20" s="1023"/>
      <c r="AO20" s="1023"/>
      <c r="AP20" s="1023"/>
      <c r="AQ20" s="1023"/>
      <c r="AR20" s="1023"/>
      <c r="AS20" s="1672">
        <v>0</v>
      </c>
    </row>
    <row s="46889" customFormat="1" customHeight="1" ht="14.25" hidden="1">
      <c r="L21" s="1841"/>
      <c r="M21" s="1874"/>
      <c r="N21" s="1874"/>
      <c r="O21" s="1874"/>
      <c r="P21" s="1874"/>
      <c r="Q21" s="1883"/>
      <c r="R21" s="1883"/>
      <c r="S21" s="1241"/>
      <c r="AC21" s="1878"/>
      <c r="AK21" s="1878"/>
      <c r="AN21" s="1023"/>
      <c r="AO21" s="1023"/>
      <c r="AP21" s="1023"/>
      <c r="AQ21" s="1023"/>
      <c r="AR21" s="1023"/>
      <c r="AS21" s="1672">
        <v>0</v>
      </c>
    </row>
    <row s="46889" customFormat="1" customHeight="1" ht="14.25" hidden="1">
      <c r="L22" s="1841"/>
      <c r="M22" s="1874"/>
      <c r="N22" s="1874"/>
      <c r="O22" s="1876" t="s">
        <v>534</v>
      </c>
      <c r="P22" s="1874"/>
      <c r="Q22" s="1883"/>
      <c r="R22" s="1883"/>
      <c r="S22" s="1241"/>
      <c r="T22" s="1672" t="s">
        <v>535</v>
      </c>
      <c r="AA22" s="698" t="s">
        <v>536</v>
      </c>
      <c r="AC22" s="698" t="s">
        <v>537</v>
      </c>
      <c r="AD22" s="1672" t="s">
        <v>535</v>
      </c>
      <c r="AI22" s="698" t="s">
        <v>538</v>
      </c>
      <c r="AK22" s="698" t="s">
        <v>537</v>
      </c>
      <c r="AN22" s="1023"/>
      <c r="AO22" s="1023"/>
      <c r="AP22" s="1023"/>
      <c r="AQ22" s="1023"/>
      <c r="AR22" s="1023"/>
      <c r="AS22" s="1672">
        <v>0</v>
      </c>
    </row>
    <row customHeight="1" ht="14.25" hidden="1">
      <c r="O23" s="1876"/>
      <c r="AS23" s="1667">
        <v>0</v>
      </c>
    </row>
    <row customHeight="1" ht="14.25" hidden="1">
      <c r="O24" s="1876"/>
      <c r="AS24" s="1667">
        <v>0</v>
      </c>
    </row>
    <row customHeight="1" ht="14.699999999999998">
      <c r="Q25" s="888"/>
      <c r="R25" s="888"/>
      <c r="S25" s="1787"/>
      <c r="T25" s="875"/>
      <c r="U25" s="875"/>
      <c r="V25" s="1021"/>
      <c r="W25" s="1021"/>
      <c r="X25" s="1021"/>
      <c r="Y25" s="1021"/>
      <c r="Z25" s="1021"/>
      <c r="AA25" s="1021"/>
      <c r="AB25" s="1021"/>
      <c r="AC25" s="1021"/>
      <c r="AD25" s="1021"/>
      <c r="AE25" s="1021"/>
      <c r="AF25" s="1021"/>
      <c r="AG25" s="1021"/>
      <c r="AH25" s="1021"/>
      <c r="AI25" s="1021"/>
      <c r="AJ25" s="1021"/>
      <c r="AK25" s="1021"/>
      <c r="AS25" s="1667">
        <v>14</v>
      </c>
    </row>
    <row customHeight="1" ht="53.54999999999999">
      <c r="Q26" s="888"/>
      <c r="R26" s="888"/>
      <c r="S26" s="2760"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760"/>
      <c r="U26" s="2760"/>
      <c r="V26" s="2760"/>
      <c r="W26" s="2760"/>
      <c r="X26" s="2760"/>
      <c r="Y26" s="2760"/>
      <c r="Z26" s="2760"/>
      <c r="AA26" s="2760"/>
      <c r="AB26" s="2760"/>
      <c r="AC26" s="2760"/>
      <c r="AD26" s="2760"/>
      <c r="AE26" s="2760"/>
      <c r="AF26" s="2760"/>
      <c r="AG26" s="2760"/>
      <c r="AH26" s="2760"/>
      <c r="AI26" s="2760"/>
      <c r="AJ26" s="2760"/>
      <c r="AK26" s="1755"/>
      <c r="AS26" s="1667">
        <v>51</v>
      </c>
    </row>
    <row customHeight="1" ht="14.699999999999998">
      <c r="Q27" s="888"/>
      <c r="R27" s="888"/>
      <c r="S27" s="2761" t="str">
        <f>IF(org=0,"Не определено",org)</f>
        <v>КГУП "Примтеплоэнерго"</v>
      </c>
      <c r="T27" s="2761"/>
      <c r="U27" s="2761"/>
      <c r="V27" s="2761"/>
      <c r="W27" s="2761"/>
      <c r="X27" s="2761"/>
      <c r="Y27" s="2761"/>
      <c r="Z27" s="2761"/>
      <c r="AA27" s="2761"/>
      <c r="AB27" s="2761"/>
      <c r="AC27" s="2761"/>
      <c r="AD27" s="2761"/>
      <c r="AE27" s="2761"/>
      <c r="AF27" s="2761"/>
      <c r="AG27" s="2761"/>
      <c r="AH27" s="2761"/>
      <c r="AI27" s="2761"/>
      <c r="AJ27" s="2761"/>
      <c r="AK27" s="1755"/>
      <c r="AS27" s="1667">
        <v>14</v>
      </c>
    </row>
    <row customHeight="1" ht="14.25">
      <c r="Q28" s="888"/>
      <c r="R28" s="888"/>
      <c r="S28" s="1787"/>
      <c r="T28" s="875"/>
      <c r="U28" s="875"/>
      <c r="V28" s="834"/>
      <c r="W28" s="834"/>
      <c r="X28" s="834"/>
      <c r="Y28" s="834"/>
      <c r="Z28" s="834"/>
      <c r="AA28" s="834"/>
      <c r="AB28" s="834"/>
      <c r="AC28" s="834"/>
      <c r="AD28" s="834"/>
      <c r="AE28" s="834"/>
      <c r="AF28" s="834"/>
      <c r="AG28" s="834"/>
      <c r="AH28" s="834"/>
      <c r="AI28" s="834"/>
      <c r="AJ28" s="834"/>
      <c r="AK28" s="834"/>
      <c r="AL28" s="1021"/>
      <c r="AS28" s="1667">
        <v>0</v>
      </c>
    </row>
    <row s="47026" customFormat="1" customHeight="1" ht="25.5">
      <c r="A29" s="1880"/>
      <c r="B29" s="1880"/>
      <c r="C29" s="1880"/>
      <c r="D29" s="1880"/>
      <c r="E29" s="1880"/>
      <c r="F29" s="1880"/>
      <c r="G29" s="1880"/>
      <c r="H29" s="1880"/>
      <c r="I29" s="1880"/>
      <c r="J29" s="1880"/>
      <c r="K29" s="1880"/>
      <c r="L29" s="1881"/>
      <c r="M29" s="1880"/>
      <c r="N29" s="1880"/>
      <c r="O29" s="1880"/>
      <c r="S29" s="2762" t="s">
        <v>42</v>
      </c>
      <c r="T29" s="2762"/>
      <c r="U29" s="1884"/>
      <c r="V29" s="2763" t="str">
        <f>IF(TITLE_NAME_OR_PR_CHANGE="",IF(TITLE_NAME_OR_PR="","",TITLE_NAME_OR_PR),TITLE_NAME_OR_PR_CHANGE)</f>
        <v>Агентство по тарифам Приморского края</v>
      </c>
      <c r="W29" s="2763"/>
      <c r="X29" s="2763"/>
      <c r="Y29" s="2763"/>
      <c r="Z29" s="2763"/>
      <c r="AA29" s="2763"/>
      <c r="AB29" s="2763"/>
      <c r="AC29" s="838"/>
      <c r="AD29" s="2763" t="str">
        <f>IF(TITLE_NAME_OR_PR_CHANGE="",IF(TITLE_NAME_OR_PR="","",TITLE_NAME_OR_PR),TITLE_NAME_OR_PR_CHANGE)</f>
        <v>Агентство по тарифам Приморского края</v>
      </c>
      <c r="AE29" s="2763"/>
      <c r="AF29" s="2763"/>
      <c r="AG29" s="2763"/>
      <c r="AH29" s="2763"/>
      <c r="AI29" s="2763"/>
      <c r="AJ29" s="2763"/>
      <c r="AK29" s="838"/>
      <c r="AL29" s="838"/>
      <c r="AM29" s="792"/>
      <c r="AN29" s="880"/>
      <c r="AO29" s="880"/>
      <c r="AP29" s="880"/>
      <c r="AQ29" s="880"/>
      <c r="AR29" s="880"/>
      <c r="AS29" s="930">
        <v>0</v>
      </c>
    </row>
    <row s="47026" customFormat="1" customHeight="1" ht="18.75">
      <c r="A30" s="1880"/>
      <c r="B30" s="1880"/>
      <c r="C30" s="1880"/>
      <c r="D30" s="1880"/>
      <c r="E30" s="1880"/>
      <c r="F30" s="1880"/>
      <c r="G30" s="1880"/>
      <c r="H30" s="1880"/>
      <c r="I30" s="1880"/>
      <c r="J30" s="1880"/>
      <c r="K30" s="1880"/>
      <c r="L30" s="1881"/>
      <c r="M30" s="1880"/>
      <c r="N30" s="1880"/>
      <c r="O30" s="1880"/>
      <c r="S30" s="2762" t="s">
        <v>539</v>
      </c>
      <c r="T30" s="2762"/>
      <c r="U30" s="1884"/>
      <c r="V30" s="2776" t="str">
        <f>IF(TITLE_DATE_PR_CHANGE="",IF(TITLE_DATE_PR="","",TITLE_DATE_PR),TITLE_DATE_PR_CHANGE)</f>
        <v>45631.495844907404</v>
      </c>
      <c r="W30" s="2776"/>
      <c r="X30" s="2776"/>
      <c r="Y30" s="2776"/>
      <c r="Z30" s="2776"/>
      <c r="AA30" s="2776"/>
      <c r="AB30" s="2776"/>
      <c r="AC30" s="838"/>
      <c r="AD30" s="2776" t="str">
        <f>IF(TITLE_DATE_PR_CHANGE="",IF(TITLE_DATE_PR="","",TITLE_DATE_PR),TITLE_DATE_PR_CHANGE)</f>
        <v>45631.495844907404</v>
      </c>
      <c r="AE30" s="2776"/>
      <c r="AF30" s="2776"/>
      <c r="AG30" s="2776"/>
      <c r="AH30" s="2776"/>
      <c r="AI30" s="2776"/>
      <c r="AJ30" s="2776"/>
      <c r="AK30" s="838"/>
      <c r="AL30" s="838"/>
      <c r="AM30" s="792"/>
      <c r="AN30" s="880"/>
      <c r="AO30" s="880"/>
      <c r="AP30" s="880"/>
      <c r="AQ30" s="880"/>
      <c r="AR30" s="880"/>
      <c r="AS30" s="930">
        <v>0</v>
      </c>
    </row>
    <row s="47026" customFormat="1" customHeight="1" ht="18.75">
      <c r="A31" s="1880"/>
      <c r="B31" s="1880"/>
      <c r="C31" s="1880"/>
      <c r="D31" s="1880"/>
      <c r="E31" s="1880"/>
      <c r="F31" s="1880"/>
      <c r="G31" s="1880"/>
      <c r="H31" s="1880"/>
      <c r="I31" s="1880"/>
      <c r="J31" s="1880"/>
      <c r="K31" s="1880"/>
      <c r="L31" s="1881"/>
      <c r="M31" s="1880"/>
      <c r="N31" s="1880"/>
      <c r="O31" s="1880"/>
      <c r="S31" s="2762" t="s">
        <v>540</v>
      </c>
      <c r="T31" s="2762"/>
      <c r="U31" s="1884"/>
      <c r="V31" s="2763" t="str">
        <f>IF(TITLE_NUMBER_PR_CHANGE="",IF(TITLE_NUMBER_PR="","",TITLE_NUMBER_PR),TITLE_NUMBER_PR_CHANGE)</f>
        <v>53/9</v>
      </c>
      <c r="W31" s="2763"/>
      <c r="X31" s="2763"/>
      <c r="Y31" s="2763"/>
      <c r="Z31" s="2763"/>
      <c r="AA31" s="2763"/>
      <c r="AB31" s="2763"/>
      <c r="AC31" s="838"/>
      <c r="AD31" s="2763" t="str">
        <f>IF(TITLE_NUMBER_PR_CHANGE="",IF(TITLE_NUMBER_PR="","",TITLE_NUMBER_PR),TITLE_NUMBER_PR_CHANGE)</f>
        <v>53/9</v>
      </c>
      <c r="AE31" s="2763"/>
      <c r="AF31" s="2763"/>
      <c r="AG31" s="2763"/>
      <c r="AH31" s="2763"/>
      <c r="AI31" s="2763"/>
      <c r="AJ31" s="2763"/>
      <c r="AK31" s="838"/>
      <c r="AL31" s="838"/>
      <c r="AM31" s="792"/>
      <c r="AN31" s="880"/>
      <c r="AO31" s="880"/>
      <c r="AP31" s="880"/>
      <c r="AQ31" s="880"/>
      <c r="AR31" s="880"/>
      <c r="AS31" s="930">
        <v>0</v>
      </c>
    </row>
    <row s="47026" customFormat="1" customHeight="1" ht="18.75">
      <c r="A32" s="1880"/>
      <c r="B32" s="1880"/>
      <c r="C32" s="1880"/>
      <c r="D32" s="1880"/>
      <c r="E32" s="1880"/>
      <c r="F32" s="1880"/>
      <c r="G32" s="1880"/>
      <c r="H32" s="1880"/>
      <c r="I32" s="1880"/>
      <c r="J32" s="1880"/>
      <c r="K32" s="1880"/>
      <c r="L32" s="1881"/>
      <c r="M32" s="1880"/>
      <c r="N32" s="1880"/>
      <c r="O32" s="1880"/>
      <c r="S32" s="2762" t="s">
        <v>44</v>
      </c>
      <c r="T32" s="2762"/>
      <c r="U32" s="1884"/>
      <c r="V32" s="2763" t="str">
        <f>IF(TITLE_IST_PUB_CHANGE="",IF(TITLE_IST_PUB="","",TITLE_IST_PUB),TITLE_IST_PUB_CHANGE)</f>
        <v>http://pravo.gov.ru</v>
      </c>
      <c r="W32" s="2763"/>
      <c r="X32" s="2763"/>
      <c r="Y32" s="2763"/>
      <c r="Z32" s="2763"/>
      <c r="AA32" s="2763"/>
      <c r="AB32" s="2763"/>
      <c r="AC32" s="838"/>
      <c r="AD32" s="2763" t="str">
        <f>IF(TITLE_IST_PUB_CHANGE="",IF(TITLE_IST_PUB="","",TITLE_IST_PUB),TITLE_IST_PUB_CHANGE)</f>
        <v>http://pravo.gov.ru</v>
      </c>
      <c r="AE32" s="2763"/>
      <c r="AF32" s="2763"/>
      <c r="AG32" s="2763"/>
      <c r="AH32" s="2763"/>
      <c r="AI32" s="2763"/>
      <c r="AJ32" s="2763"/>
      <c r="AK32" s="838"/>
      <c r="AL32" s="838"/>
      <c r="AM32" s="792"/>
      <c r="AN32" s="880"/>
      <c r="AO32" s="880"/>
      <c r="AP32" s="880"/>
      <c r="AQ32" s="880"/>
      <c r="AR32" s="880"/>
      <c r="AS32" s="930">
        <v>0</v>
      </c>
    </row>
    <row customHeight="1" ht="14.25" hidden="1">
      <c r="Q33" s="888"/>
      <c r="R33" s="888"/>
      <c r="S33" s="1787"/>
      <c r="T33" s="875"/>
      <c r="U33" s="875"/>
      <c r="V33" s="834"/>
      <c r="W33" s="834"/>
      <c r="X33" s="834"/>
      <c r="Y33" s="834"/>
      <c r="Z33" s="834"/>
      <c r="AA33" s="834"/>
      <c r="AB33" s="834"/>
      <c r="AC33" s="834"/>
      <c r="AD33" s="834"/>
      <c r="AE33" s="834"/>
      <c r="AF33" s="834"/>
      <c r="AG33" s="834"/>
      <c r="AH33" s="834"/>
      <c r="AI33" s="834"/>
      <c r="AJ33" s="834"/>
      <c r="AK33" s="834"/>
      <c r="AL33" s="1021"/>
      <c r="AS33" s="1667">
        <v>0</v>
      </c>
    </row>
    <row s="47026" customFormat="1" customHeight="1" ht="18.75" hidden="1">
      <c r="A34" s="1880"/>
      <c r="B34" s="1880"/>
      <c r="C34" s="1880"/>
      <c r="D34" s="1880"/>
      <c r="E34" s="1880"/>
      <c r="F34" s="1880"/>
      <c r="G34" s="1880"/>
      <c r="H34" s="1880"/>
      <c r="I34" s="1880"/>
      <c r="J34" s="1880"/>
      <c r="K34" s="1880"/>
      <c r="L34" s="1881"/>
      <c r="M34" s="1880"/>
      <c r="N34" s="1880"/>
      <c r="O34" s="1880"/>
      <c r="S34" s="2762" t="s">
        <v>541</v>
      </c>
      <c r="T34" s="2762"/>
      <c r="U34" s="1884"/>
      <c r="V34" s="2776" t="str">
        <f>IF(TITLE_DATE_PR_CHANGE="",IF(TITLE_DATE_PR="","",TITLE_DATE_PR),TITLE_DATE_PR_CHANGE)</f>
        <v>45631.495844907404</v>
      </c>
      <c r="W34" s="2776"/>
      <c r="X34" s="2776"/>
      <c r="Y34" s="2776"/>
      <c r="Z34" s="2776"/>
      <c r="AA34" s="2776"/>
      <c r="AB34" s="2776"/>
      <c r="AC34" s="838"/>
      <c r="AD34" s="2776" t="str">
        <f>IF(TITLE_DATE_PR_CHANGE="",IF(TITLE_DATE_PR="","",TITLE_DATE_PR),TITLE_DATE_PR_CHANGE)</f>
        <v>45631.495844907404</v>
      </c>
      <c r="AE34" s="2776"/>
      <c r="AF34" s="2776"/>
      <c r="AG34" s="2776"/>
      <c r="AH34" s="2776"/>
      <c r="AI34" s="2776"/>
      <c r="AJ34" s="2776"/>
      <c r="AK34" s="838"/>
      <c r="AL34" s="838"/>
      <c r="AM34" s="792"/>
      <c r="AN34" s="880"/>
      <c r="AO34" s="880"/>
      <c r="AP34" s="880"/>
      <c r="AQ34" s="880"/>
      <c r="AR34" s="880"/>
      <c r="AS34" s="930">
        <v>0</v>
      </c>
    </row>
    <row s="47026" customFormat="1" customHeight="1" ht="25.5" hidden="1">
      <c r="A35" s="1880"/>
      <c r="B35" s="1880"/>
      <c r="C35" s="1880"/>
      <c r="D35" s="1880"/>
      <c r="E35" s="1880"/>
      <c r="F35" s="1880"/>
      <c r="G35" s="1880"/>
      <c r="H35" s="1880"/>
      <c r="I35" s="1880"/>
      <c r="J35" s="1880"/>
      <c r="K35" s="1880"/>
      <c r="L35" s="1881"/>
      <c r="M35" s="1880"/>
      <c r="N35" s="1880"/>
      <c r="O35" s="1880"/>
      <c r="S35" s="2762" t="s">
        <v>542</v>
      </c>
      <c r="T35" s="2762"/>
      <c r="U35" s="1884"/>
      <c r="V35" s="2763" t="str">
        <f>IF(TITLE_NUMBER_PR_CHANGE="",IF(TITLE_NUMBER_PR="","",TITLE_NUMBER_PR),TITLE_NUMBER_PR_CHANGE)</f>
        <v>53/9</v>
      </c>
      <c r="W35" s="2763"/>
      <c r="X35" s="2763"/>
      <c r="Y35" s="2763"/>
      <c r="Z35" s="2763"/>
      <c r="AA35" s="2763"/>
      <c r="AB35" s="2763"/>
      <c r="AC35" s="838"/>
      <c r="AD35" s="2763" t="str">
        <f>IF(TITLE_NUMBER_PR_CHANGE="",IF(TITLE_NUMBER_PR="","",TITLE_NUMBER_PR),TITLE_NUMBER_PR_CHANGE)</f>
        <v>53/9</v>
      </c>
      <c r="AE35" s="2763"/>
      <c r="AF35" s="2763"/>
      <c r="AG35" s="2763"/>
      <c r="AH35" s="2763"/>
      <c r="AI35" s="2763"/>
      <c r="AJ35" s="2763"/>
      <c r="AK35" s="838"/>
      <c r="AL35" s="838"/>
      <c r="AM35" s="792"/>
      <c r="AN35" s="880"/>
      <c r="AO35" s="880"/>
      <c r="AP35" s="880"/>
      <c r="AQ35" s="880"/>
      <c r="AR35" s="880"/>
      <c r="AS35" s="930">
        <v>0</v>
      </c>
    </row>
    <row s="47026" customFormat="1" customHeight="1" ht="0">
      <c r="A36" s="1880"/>
      <c r="B36" s="1880"/>
      <c r="C36" s="1880"/>
      <c r="D36" s="1880"/>
      <c r="E36" s="1880"/>
      <c r="F36" s="1880"/>
      <c r="G36" s="1880"/>
      <c r="H36" s="1880"/>
      <c r="I36" s="1880"/>
      <c r="J36" s="1880"/>
      <c r="K36" s="1880"/>
      <c r="L36" s="1881"/>
      <c r="M36" s="1880"/>
      <c r="N36" s="1880"/>
      <c r="O36" s="1880"/>
      <c r="S36" s="835"/>
      <c r="T36" s="835"/>
      <c r="U36" s="1852"/>
      <c r="V36" s="838"/>
      <c r="W36" s="838"/>
      <c r="X36" s="838"/>
      <c r="Y36" s="838"/>
      <c r="Z36" s="838"/>
      <c r="AA36" s="838"/>
      <c r="AB36" s="838"/>
      <c r="AC36" s="790" t="s">
        <v>543</v>
      </c>
      <c r="AD36" s="838"/>
      <c r="AE36" s="838"/>
      <c r="AF36" s="838"/>
      <c r="AG36" s="838"/>
      <c r="AH36" s="838"/>
      <c r="AI36" s="838"/>
      <c r="AJ36" s="838"/>
      <c r="AK36" s="790" t="s">
        <v>543</v>
      </c>
      <c r="AN36" s="880"/>
      <c r="AO36" s="880"/>
      <c r="AP36" s="880"/>
      <c r="AQ36" s="880"/>
      <c r="AR36" s="880"/>
      <c r="AS36" s="930">
        <v>0</v>
      </c>
    </row>
    <row customHeight="1" ht="14.699999999999998">
      <c r="Q37" s="888"/>
      <c r="R37" s="888"/>
      <c r="S37" s="1787"/>
      <c r="T37" s="875"/>
      <c r="U37" s="1756"/>
      <c r="V37" s="2764"/>
      <c r="W37" s="2764"/>
      <c r="X37" s="2764"/>
      <c r="Y37" s="2764"/>
      <c r="Z37" s="2764"/>
      <c r="AA37" s="2764"/>
      <c r="AB37" s="2764"/>
      <c r="AC37" s="2764"/>
      <c r="AD37" s="2764"/>
      <c r="AE37" s="2764"/>
      <c r="AF37" s="2764"/>
      <c r="AG37" s="2764"/>
      <c r="AH37" s="2764"/>
      <c r="AI37" s="2764"/>
      <c r="AJ37" s="2764"/>
      <c r="AK37" s="2764"/>
      <c r="AS37" s="1667">
        <v>14</v>
      </c>
    </row>
    <row customHeight="1" ht="14.699999999999998">
      <c r="Q38" s="888"/>
      <c r="R38" s="888"/>
      <c r="S38" s="2639" t="s">
        <v>418</v>
      </c>
      <c r="T38" s="2639"/>
      <c r="U38" s="2639"/>
      <c r="V38" s="2639"/>
      <c r="W38" s="2639"/>
      <c r="X38" s="2639"/>
      <c r="Y38" s="2639"/>
      <c r="Z38" s="2639"/>
      <c r="AA38" s="2639"/>
      <c r="AB38" s="2639"/>
      <c r="AC38" s="2639"/>
      <c r="AD38" s="2639"/>
      <c r="AE38" s="2639"/>
      <c r="AF38" s="2639"/>
      <c r="AG38" s="2639"/>
      <c r="AH38" s="2639"/>
      <c r="AI38" s="2639"/>
      <c r="AJ38" s="2639"/>
      <c r="AK38" s="2639"/>
      <c r="AL38" s="2639"/>
      <c r="AM38" s="2639" t="s">
        <v>419</v>
      </c>
      <c r="AS38" s="1667">
        <v>14</v>
      </c>
    </row>
    <row customHeight="1" ht="14.699999999999998">
      <c r="Q39" s="888"/>
      <c r="R39" s="888"/>
      <c r="S39" s="2785" t="s">
        <v>90</v>
      </c>
      <c r="T39" s="2721" t="s">
        <v>544</v>
      </c>
      <c r="U39" s="813"/>
      <c r="V39" s="2786" t="s">
        <v>545</v>
      </c>
      <c r="W39" s="2787"/>
      <c r="X39" s="2787"/>
      <c r="Y39" s="2787"/>
      <c r="Z39" s="2787"/>
      <c r="AA39" s="2787"/>
      <c r="AB39" s="2788"/>
      <c r="AC39" s="2789" t="s">
        <v>546</v>
      </c>
      <c r="AD39" s="2786" t="s">
        <v>545</v>
      </c>
      <c r="AE39" s="2787"/>
      <c r="AF39" s="2787"/>
      <c r="AG39" s="2787"/>
      <c r="AH39" s="2787"/>
      <c r="AI39" s="2787"/>
      <c r="AJ39" s="2788"/>
      <c r="AK39" s="2789" t="s">
        <v>547</v>
      </c>
      <c r="AL39" s="2792" t="s">
        <v>548</v>
      </c>
      <c r="AM39" s="2639"/>
      <c r="AS39" s="1667">
        <v>14</v>
      </c>
    </row>
    <row customHeight="1" ht="35.699999999999996">
      <c r="Q40" s="888"/>
      <c r="R40" s="888"/>
      <c r="S40" s="2785"/>
      <c r="T40" s="2721"/>
      <c r="U40" s="1543"/>
      <c r="V40" s="2772" t="s">
        <v>549</v>
      </c>
      <c r="W40" s="2795"/>
      <c r="X40" s="2774" t="s">
        <v>551</v>
      </c>
      <c r="Y40" s="2775"/>
      <c r="Z40" s="2774" t="s">
        <v>552</v>
      </c>
      <c r="AA40" s="2781"/>
      <c r="AB40" s="2775"/>
      <c r="AC40" s="2790"/>
      <c r="AD40" s="2772" t="s">
        <v>565</v>
      </c>
      <c r="AE40" s="2795"/>
      <c r="AF40" s="2774" t="s">
        <v>551</v>
      </c>
      <c r="AG40" s="2775"/>
      <c r="AH40" s="2774" t="s">
        <v>552</v>
      </c>
      <c r="AI40" s="2781"/>
      <c r="AJ40" s="2775"/>
      <c r="AK40" s="2790"/>
      <c r="AL40" s="2793"/>
      <c r="AM40" s="2639"/>
      <c r="AS40" s="1667">
        <v>34</v>
      </c>
    </row>
    <row customHeight="1" ht="35.699999999999996">
      <c r="A41" s="1882"/>
      <c r="B41" s="1882" t="s">
        <v>191</v>
      </c>
      <c r="C41" s="1882" t="s">
        <v>192</v>
      </c>
      <c r="D41" s="1882" t="s">
        <v>193</v>
      </c>
      <c r="E41" s="1876" t="s">
        <v>553</v>
      </c>
      <c r="F41" s="1876" t="s">
        <v>554</v>
      </c>
      <c r="G41" s="1876" t="s">
        <v>555</v>
      </c>
      <c r="H41" s="1876" t="s">
        <v>556</v>
      </c>
      <c r="I41" s="1876" t="s">
        <v>557</v>
      </c>
      <c r="J41" s="1876" t="s">
        <v>558</v>
      </c>
      <c r="K41" s="1876" t="s">
        <v>559</v>
      </c>
      <c r="L41" s="1876" t="s">
        <v>534</v>
      </c>
      <c r="Q41" s="888"/>
      <c r="R41" s="888"/>
      <c r="S41" s="2785"/>
      <c r="T41" s="2721"/>
      <c r="U41" s="814"/>
      <c r="V41" s="2773"/>
      <c r="W41" s="2796"/>
      <c r="X41" s="1734" t="s">
        <v>560</v>
      </c>
      <c r="Y41" s="1734" t="s">
        <v>561</v>
      </c>
      <c r="Z41" s="1850" t="s">
        <v>562</v>
      </c>
      <c r="AA41" s="2782" t="s">
        <v>563</v>
      </c>
      <c r="AB41" s="2783"/>
      <c r="AC41" s="2791"/>
      <c r="AD41" s="2773"/>
      <c r="AE41" s="2796"/>
      <c r="AF41" s="1734" t="s">
        <v>560</v>
      </c>
      <c r="AG41" s="1734" t="s">
        <v>561</v>
      </c>
      <c r="AH41" s="1850" t="s">
        <v>562</v>
      </c>
      <c r="AI41" s="2782" t="s">
        <v>563</v>
      </c>
      <c r="AJ41" s="2783"/>
      <c r="AK41" s="2791"/>
      <c r="AL41" s="2794"/>
      <c r="AM41" s="2639"/>
      <c r="AS41" s="1667">
        <v>34</v>
      </c>
    </row>
    <row s="47496" customFormat="1" customHeight="1" ht="11.25" hidden="1">
      <c r="A42" s="1882"/>
      <c r="B42" s="1882"/>
      <c r="C42" s="1882"/>
      <c r="D42" s="1882"/>
      <c r="E42" s="1882"/>
      <c r="F42" s="1882"/>
      <c r="G42" s="1882"/>
      <c r="H42" s="1882"/>
      <c r="I42" s="1882"/>
      <c r="J42" s="1882"/>
      <c r="K42" s="1882"/>
      <c r="L42" s="1876"/>
      <c r="M42" s="1874"/>
      <c r="N42" s="1874"/>
      <c r="O42" s="1874"/>
      <c r="P42" s="1758"/>
      <c r="Q42" s="1759"/>
      <c r="R42" s="1766">
        <v>1</v>
      </c>
      <c r="S42" s="1789" t="s">
        <v>101</v>
      </c>
      <c r="T42" s="1767" t="s">
        <v>105</v>
      </c>
      <c r="U42" s="1757" t="str">
        <f>OFFSET(U42,0,-1)</f>
        <v>2</v>
      </c>
      <c r="V42" s="1847">
        <f>OFFSET(V42,0,-1)+1</f>
        <v>3</v>
      </c>
      <c r="W42" s="1847"/>
      <c r="X42" s="1847">
        <f>OFFSET(X42,0,-1)+1</f>
        <v>1</v>
      </c>
      <c r="Y42" s="1847">
        <f>OFFSET(Y42,0,-1)+1</f>
        <v>2</v>
      </c>
      <c r="Z42" s="1847">
        <f>OFFSET(Z42,0,-1)+1</f>
        <v>3</v>
      </c>
      <c r="AA42" s="2784">
        <f>OFFSET(AA42,0,-1)+1</f>
        <v>4</v>
      </c>
      <c r="AB42" s="2784"/>
      <c r="AC42" s="1847">
        <f>OFFSET(AC42,0,-2)+1</f>
        <v>5</v>
      </c>
      <c r="AD42" s="1847">
        <f>OFFSET(AD42,0,-1)+1</f>
        <v>6</v>
      </c>
      <c r="AE42" s="1847"/>
      <c r="AF42" s="1847">
        <f>OFFSET(AF42,0,-1)+1</f>
        <v>1</v>
      </c>
      <c r="AG42" s="1847">
        <f>OFFSET(AG42,0,-1)+1</f>
        <v>2</v>
      </c>
      <c r="AH42" s="1847">
        <f>OFFSET(AH42,0,-1)+1</f>
        <v>3</v>
      </c>
      <c r="AI42" s="2784">
        <f>OFFSET(AI42,0,-1)+1</f>
        <v>4</v>
      </c>
      <c r="AJ42" s="2784"/>
      <c r="AK42" s="1847">
        <f>OFFSET(AK42,0,-2)+1</f>
        <v>5</v>
      </c>
      <c r="AL42" s="1757">
        <f>OFFSET(AL42,0,-1)</f>
        <v>5</v>
      </c>
      <c r="AM42" s="1847">
        <f>OFFSET(AM42,0,-1)+1</f>
        <v>6</v>
      </c>
      <c r="AN42" s="1023"/>
      <c r="AO42" s="1023"/>
      <c r="AP42" s="1023"/>
      <c r="AQ42" s="1023"/>
      <c r="AR42" s="1023"/>
      <c r="AS42" s="1008">
        <v>0</v>
      </c>
    </row>
    <row customHeight="1" ht="22.049999999999997">
      <c r="A43" s="1875" t="s">
        <v>237</v>
      </c>
      <c r="B43" s="1875"/>
      <c r="C43" s="1875"/>
      <c r="D43" s="1875"/>
      <c r="E43" s="2770">
        <v>1</v>
      </c>
      <c r="F43" s="1875"/>
      <c r="G43" s="1875"/>
      <c r="H43" s="1875"/>
      <c r="I43" s="1875"/>
      <c r="J43" s="1875"/>
      <c r="K43" s="1875"/>
      <c r="L43" s="1876"/>
      <c r="M43" s="1877"/>
      <c r="N43" s="1877"/>
      <c r="O43" s="1877"/>
      <c r="P43" s="873"/>
      <c r="Q43" s="872"/>
      <c r="R43" s="867"/>
      <c r="S43" s="1848">
        <f>INDEX(PT_DIFFERENTIATION_NUM_NTAR,MATCH(A43,PT_DIFFERENTIATION_NTAR_ID,0))</f>
        <v>0</v>
      </c>
      <c r="T43" s="810" t="s">
        <v>179</v>
      </c>
      <c r="U43" s="812"/>
      <c r="V43" s="2754"/>
      <c r="W43" s="2755"/>
      <c r="X43" s="2755"/>
      <c r="Y43" s="2755"/>
      <c r="Z43" s="2755"/>
      <c r="AA43" s="2755"/>
      <c r="AB43" s="2755"/>
      <c r="AC43" s="2756"/>
      <c r="AD43" s="2754" t="str">
        <f>INDEX(PT_DIFFERENTIATION_NTAR,MATCH(A43,PT_DIFFERENTIATION_NTAR_ID,0))</f>
        <v/>
      </c>
      <c r="AE43" s="2755"/>
      <c r="AF43" s="2755"/>
      <c r="AG43" s="2755"/>
      <c r="AH43" s="2755"/>
      <c r="AI43" s="2755"/>
      <c r="AJ43" s="2755"/>
      <c r="AK43" s="2755"/>
      <c r="AL43" s="2756"/>
      <c r="AM43" s="1770"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012"/>
      <c r="AP43" s="1012" t="str">
        <f>IF(T43="","",T43)</f>
        <v>Наименование тарифа</v>
      </c>
      <c r="AQ43" s="1012"/>
      <c r="AR43" s="1012"/>
      <c r="AS43" s="1667">
        <v>21</v>
      </c>
    </row>
    <row customHeight="1" ht="22.049999999999997">
      <c r="A44" s="1875" t="s">
        <v>237</v>
      </c>
      <c r="B44" s="1875" t="s">
        <v>238</v>
      </c>
      <c r="C44" s="1875"/>
      <c r="D44" s="1875"/>
      <c r="E44" s="2771"/>
      <c r="F44" s="2770">
        <v>1</v>
      </c>
      <c r="G44" s="1875"/>
      <c r="H44" s="1875"/>
      <c r="I44" s="1875"/>
      <c r="J44" s="1875"/>
      <c r="K44" s="1875"/>
      <c r="L44" s="1876"/>
      <c r="M44" s="1877"/>
      <c r="N44" s="1877"/>
      <c r="O44" s="1877"/>
      <c r="P44" s="1844"/>
      <c r="Q44" s="864"/>
      <c r="R44" s="865"/>
      <c r="S44" s="1848" t="str">
        <f>INDEX(PT_DIFFERENTIATION_NUM_TER,MATCH(B44,PT_DIFFERENTIATION_TER_ID,0))</f>
        <v>.</v>
      </c>
      <c r="T44" s="820" t="s">
        <v>515</v>
      </c>
      <c r="U44" s="812"/>
      <c r="V44" s="2754"/>
      <c r="W44" s="2755"/>
      <c r="X44" s="2755"/>
      <c r="Y44" s="2755"/>
      <c r="Z44" s="2755"/>
      <c r="AA44" s="2755"/>
      <c r="AB44" s="2755"/>
      <c r="AC44" s="2756"/>
      <c r="AD44" s="2754" t="str">
        <f>INDEX(PT_DIFFERENTIATION_TER,MATCH(B44,PT_DIFFERENTIATION_TER_ID,0))</f>
        <v/>
      </c>
      <c r="AE44" s="2755"/>
      <c r="AF44" s="2755"/>
      <c r="AG44" s="2755"/>
      <c r="AH44" s="2755"/>
      <c r="AI44" s="2755"/>
      <c r="AJ44" s="2755"/>
      <c r="AK44" s="2755"/>
      <c r="AL44" s="2756"/>
      <c r="AM44" s="1770" t="s">
        <v>516</v>
      </c>
      <c r="AO44" s="1012"/>
      <c r="AP44" s="1012" t="str">
        <f>IF(T44="","",T44)</f>
        <v>Территория действия тарифа</v>
      </c>
      <c r="AQ44" s="1012"/>
      <c r="AR44" s="1012"/>
      <c r="AS44" s="1667">
        <v>21</v>
      </c>
    </row>
    <row customHeight="1" ht="24">
      <c r="A45" s="1875" t="s">
        <v>237</v>
      </c>
      <c r="B45" s="1875" t="s">
        <v>238</v>
      </c>
      <c r="C45" s="1875" t="s">
        <v>239</v>
      </c>
      <c r="D45" s="1875"/>
      <c r="E45" s="2771"/>
      <c r="F45" s="2771"/>
      <c r="G45" s="2770">
        <v>1</v>
      </c>
      <c r="H45" s="1875"/>
      <c r="I45" s="1875"/>
      <c r="J45" s="1875"/>
      <c r="K45" s="1875"/>
      <c r="L45" s="1876"/>
      <c r="M45" s="1877"/>
      <c r="N45" s="1877"/>
      <c r="O45" s="1877"/>
      <c r="P45" s="866"/>
      <c r="Q45" s="864"/>
      <c r="R45" s="865"/>
      <c r="S45" s="1848" t="str">
        <f>INDEX(PT_DIFFERENTIATION_NUM_CS,MATCH(C45,PT_DIFFERENTIATION_CS_ID,0))</f>
        <v>..</v>
      </c>
      <c r="T45" s="821" t="s">
        <v>517</v>
      </c>
      <c r="U45" s="812"/>
      <c r="V45" s="2754"/>
      <c r="W45" s="2755"/>
      <c r="X45" s="2755"/>
      <c r="Y45" s="2755"/>
      <c r="Z45" s="2755"/>
      <c r="AA45" s="2755"/>
      <c r="AB45" s="2755"/>
      <c r="AC45" s="2756"/>
      <c r="AD45" s="2754" t="str">
        <f>INDEX(PT_DIFFERENTIATION_CS,MATCH(C45,PT_DIFFERENTIATION_CS_ID,0))</f>
        <v/>
      </c>
      <c r="AE45" s="2755"/>
      <c r="AF45" s="2755"/>
      <c r="AG45" s="2755"/>
      <c r="AH45" s="2755"/>
      <c r="AI45" s="2755"/>
      <c r="AJ45" s="2755"/>
      <c r="AK45" s="2755"/>
      <c r="AL45" s="2756"/>
      <c r="AM45" s="1770" t="s">
        <v>518</v>
      </c>
      <c r="AO45" s="1012"/>
      <c r="AP45" s="1012" t="str">
        <f>IF(T45="","",T45)</f>
        <v>Наименование системы теплоснабжения </v>
      </c>
      <c r="AQ45" s="1012"/>
      <c r="AR45" s="1012"/>
      <c r="AS45" s="1667">
        <v>23</v>
      </c>
    </row>
    <row customHeight="1" ht="22.049999999999997">
      <c r="A46" s="1875" t="s">
        <v>237</v>
      </c>
      <c r="B46" s="1875" t="s">
        <v>238</v>
      </c>
      <c r="C46" s="1875" t="s">
        <v>239</v>
      </c>
      <c r="D46" s="1875" t="s">
        <v>240</v>
      </c>
      <c r="E46" s="2771"/>
      <c r="F46" s="2771"/>
      <c r="G46" s="2771"/>
      <c r="H46" s="2770">
        <v>1</v>
      </c>
      <c r="I46" s="1875"/>
      <c r="J46" s="1875"/>
      <c r="K46" s="1875"/>
      <c r="L46" s="1876"/>
      <c r="M46" s="1877"/>
      <c r="N46" s="1877"/>
      <c r="O46" s="1877"/>
      <c r="P46" s="866"/>
      <c r="Q46" s="864"/>
      <c r="R46" s="865"/>
      <c r="S46" s="1848" t="str">
        <f>INDEX(PT_DIFFERENTIATION_NUM_IST_TE,MATCH(D46,PT_DIFFERENTIATION_IST_TE_ID,0))</f>
        <v>...</v>
      </c>
      <c r="T46" s="822" t="s">
        <v>519</v>
      </c>
      <c r="U46" s="812"/>
      <c r="V46" s="2754"/>
      <c r="W46" s="2755"/>
      <c r="X46" s="2755"/>
      <c r="Y46" s="2755"/>
      <c r="Z46" s="2755"/>
      <c r="AA46" s="2755"/>
      <c r="AB46" s="2755"/>
      <c r="AC46" s="2756"/>
      <c r="AD46" s="2754" t="str">
        <f>INDEX(PT_DIFFERENTIATION_IST_TE,MATCH(D46,PT_DIFFERENTIATION_IST_TE_ID,0))</f>
        <v/>
      </c>
      <c r="AE46" s="2755"/>
      <c r="AF46" s="2755"/>
      <c r="AG46" s="2755"/>
      <c r="AH46" s="2755"/>
      <c r="AI46" s="2755"/>
      <c r="AJ46" s="2755"/>
      <c r="AK46" s="2755"/>
      <c r="AL46" s="2756"/>
      <c r="AM46" s="1770" t="s">
        <v>520</v>
      </c>
      <c r="AO46" s="1012"/>
      <c r="AP46" s="1012" t="str">
        <f>IF(T46="","",T46)</f>
        <v>Источник тепловой энергии  </v>
      </c>
      <c r="AQ46" s="1012"/>
      <c r="AR46" s="1012"/>
      <c r="AS46" s="1667">
        <v>21</v>
      </c>
    </row>
    <row s="46890" customFormat="1" customHeight="1" ht="0">
      <c r="A47" s="1855" t="s">
        <v>237</v>
      </c>
      <c r="B47" s="1855" t="s">
        <v>238</v>
      </c>
      <c r="C47" s="1855" t="s">
        <v>239</v>
      </c>
      <c r="D47" s="1855" t="s">
        <v>240</v>
      </c>
      <c r="E47" s="2771"/>
      <c r="F47" s="2771"/>
      <c r="G47" s="2771"/>
      <c r="H47" s="2771"/>
      <c r="I47" s="2768" t="str">
        <f>S46&amp;".1"</f>
        <v>....1</v>
      </c>
      <c r="J47" s="1855"/>
      <c r="K47" s="1855"/>
      <c r="L47" s="1858" t="s">
        <v>521</v>
      </c>
      <c r="M47" s="1022"/>
      <c r="N47" s="1022"/>
      <c r="O47" s="1022"/>
      <c r="P47" s="2769">
        <v>1</v>
      </c>
      <c r="Q47" s="1843"/>
      <c r="R47" s="868"/>
      <c r="S47" s="1554"/>
      <c r="T47" s="1895"/>
      <c r="U47" s="1896"/>
      <c r="V47" s="2808"/>
      <c r="W47" s="2809"/>
      <c r="X47" s="2809"/>
      <c r="Y47" s="2809"/>
      <c r="Z47" s="2809"/>
      <c r="AA47" s="2809"/>
      <c r="AB47" s="2809"/>
      <c r="AC47" s="2810"/>
      <c r="AD47" s="2808"/>
      <c r="AE47" s="2809"/>
      <c r="AF47" s="2809"/>
      <c r="AG47" s="2809"/>
      <c r="AH47" s="2809"/>
      <c r="AI47" s="2809"/>
      <c r="AJ47" s="2809"/>
      <c r="AK47" s="2809"/>
      <c r="AL47" s="2810"/>
      <c r="AM47" s="1897"/>
      <c r="AO47" s="1012"/>
      <c r="AP47" s="1012" t="str">
        <f>IF(T47="","",T47)</f>
        <v/>
      </c>
      <c r="AQ47" s="1012"/>
      <c r="AR47" s="1012"/>
      <c r="AS47" s="1023">
        <v>0</v>
      </c>
    </row>
    <row customHeight="1" ht="22.049999999999997">
      <c r="A48" s="1875" t="s">
        <v>237</v>
      </c>
      <c r="B48" s="1875" t="s">
        <v>238</v>
      </c>
      <c r="C48" s="1875" t="s">
        <v>239</v>
      </c>
      <c r="D48" s="1875" t="s">
        <v>240</v>
      </c>
      <c r="E48" s="2771"/>
      <c r="F48" s="2771"/>
      <c r="G48" s="2771"/>
      <c r="H48" s="2771"/>
      <c r="I48" s="2798"/>
      <c r="J48" s="2768" t="str">
        <f>S46&amp;".1"</f>
        <v>....1</v>
      </c>
      <c r="K48" s="1875"/>
      <c r="L48" s="1876" t="s">
        <v>524</v>
      </c>
      <c r="P48" s="2769"/>
      <c r="Q48" s="2769">
        <v>1</v>
      </c>
      <c r="R48" s="869"/>
      <c r="S48" s="1848" t="str">
        <f>$J48</f>
        <v>....1</v>
      </c>
      <c r="T48" s="798" t="s">
        <v>525</v>
      </c>
      <c r="U48" s="812"/>
      <c r="V48" s="2757"/>
      <c r="W48" s="2758"/>
      <c r="X48" s="2758"/>
      <c r="Y48" s="2758"/>
      <c r="Z48" s="2758"/>
      <c r="AA48" s="2758"/>
      <c r="AB48" s="2758"/>
      <c r="AC48" s="2759"/>
      <c r="AD48" s="2757"/>
      <c r="AE48" s="2758"/>
      <c r="AF48" s="2758"/>
      <c r="AG48" s="2758"/>
      <c r="AH48" s="2758"/>
      <c r="AI48" s="2758"/>
      <c r="AJ48" s="2758"/>
      <c r="AK48" s="2758"/>
      <c r="AL48" s="2759"/>
      <c r="AM48" s="1770" t="s">
        <v>526</v>
      </c>
      <c r="AO48" s="1012"/>
      <c r="AP48" s="1012" t="str">
        <f>IF(T48="","",T48)</f>
        <v>Группа потребителей</v>
      </c>
      <c r="AQ48" s="1012"/>
      <c r="AR48" s="1012"/>
      <c r="AS48" s="1667">
        <v>21</v>
      </c>
    </row>
    <row customHeight="1" ht="22.049999999999997">
      <c r="A49" s="1875" t="s">
        <v>237</v>
      </c>
      <c r="B49" s="1875" t="s">
        <v>238</v>
      </c>
      <c r="C49" s="1875" t="s">
        <v>239</v>
      </c>
      <c r="D49" s="1875" t="s">
        <v>240</v>
      </c>
      <c r="E49" s="2771"/>
      <c r="F49" s="2771"/>
      <c r="G49" s="2771"/>
      <c r="H49" s="2771"/>
      <c r="I49" s="2798"/>
      <c r="J49" s="2798"/>
      <c r="K49" s="2768" t="str">
        <f>J48&amp;".1"</f>
        <v>....1.1</v>
      </c>
      <c r="L49" s="1876" t="s">
        <v>527</v>
      </c>
      <c r="P49" s="2769"/>
      <c r="Q49" s="2769"/>
      <c r="R49" s="869">
        <v>1</v>
      </c>
      <c r="S49" s="1848" t="str">
        <f>$K49</f>
        <v>....1.1</v>
      </c>
      <c r="T49" s="1859"/>
      <c r="U49" s="812"/>
      <c r="V49" s="1263"/>
      <c r="W49" s="837"/>
      <c r="X49" s="1263"/>
      <c r="Y49" s="1769"/>
      <c r="Z49" s="2777"/>
      <c r="AA49" s="2619" t="s">
        <v>63</v>
      </c>
      <c r="AB49" s="2777"/>
      <c r="AC49" s="2619" t="s">
        <v>63</v>
      </c>
      <c r="AD49" s="1263"/>
      <c r="AE49" s="837"/>
      <c r="AF49" s="1263"/>
      <c r="AG49" s="1769"/>
      <c r="AH49" s="2777"/>
      <c r="AI49" s="2619" t="s">
        <v>63</v>
      </c>
      <c r="AJ49" s="2799"/>
      <c r="AK49" s="2619" t="s">
        <v>63</v>
      </c>
      <c r="AL49" s="1860"/>
      <c r="AM49" s="2765" t="s">
        <v>566</v>
      </c>
      <c r="AN49" s="1023">
        <f>STRCHECKDATE(V50:AL50)</f>
      </c>
      <c r="AO49" s="1012"/>
      <c r="AP49" s="1012" t="str">
        <f>IF(T49="","",T49)</f>
        <v/>
      </c>
      <c r="AQ49" s="1012"/>
      <c r="AR49" s="1012"/>
      <c r="AS49" s="1667">
        <v>21</v>
      </c>
    </row>
    <row customHeight="1" ht="0">
      <c r="A50" s="1875" t="s">
        <v>237</v>
      </c>
      <c r="B50" s="1875" t="s">
        <v>238</v>
      </c>
      <c r="C50" s="1875" t="s">
        <v>239</v>
      </c>
      <c r="D50" s="1875" t="s">
        <v>240</v>
      </c>
      <c r="E50" s="2771"/>
      <c r="F50" s="2771"/>
      <c r="G50" s="2771"/>
      <c r="H50" s="2771"/>
      <c r="I50" s="2798"/>
      <c r="J50" s="2798"/>
      <c r="K50" s="2768"/>
      <c r="L50" s="1876"/>
      <c r="P50" s="2769"/>
      <c r="Q50" s="2769"/>
      <c r="R50" s="869"/>
      <c r="S50" s="1854"/>
      <c r="T50" s="812"/>
      <c r="U50" s="812"/>
      <c r="V50" s="837"/>
      <c r="W50" s="837"/>
      <c r="X50" s="837"/>
      <c r="Y50" s="840" t="str">
        <f>Z49&amp;"-"&amp;AB49</f>
        <v>-</v>
      </c>
      <c r="Z50" s="2778"/>
      <c r="AA50" s="2619"/>
      <c r="AB50" s="2778"/>
      <c r="AC50" s="2619"/>
      <c r="AD50" s="837"/>
      <c r="AE50" s="837"/>
      <c r="AF50" s="837"/>
      <c r="AG50" s="840" t="str">
        <f>AH49&amp;"-"&amp;AJ49</f>
        <v>-</v>
      </c>
      <c r="AH50" s="2778"/>
      <c r="AI50" s="2619"/>
      <c r="AJ50" s="2800"/>
      <c r="AK50" s="2619"/>
      <c r="AL50" s="1861"/>
      <c r="AM50" s="2766"/>
      <c r="AO50" s="1012"/>
      <c r="AP50" s="1012" t="str">
        <f>IF(T50="","",T50)</f>
        <v/>
      </c>
      <c r="AQ50" s="1012"/>
      <c r="AR50" s="1012"/>
      <c r="AS50" s="1667">
        <v>0</v>
      </c>
    </row>
    <row customHeight="1" ht="11.549999999999999">
      <c r="A51" s="1875" t="s">
        <v>237</v>
      </c>
      <c r="B51" s="1875" t="s">
        <v>238</v>
      </c>
      <c r="C51" s="1875" t="s">
        <v>239</v>
      </c>
      <c r="D51" s="1875" t="s">
        <v>240</v>
      </c>
      <c r="E51" s="2771"/>
      <c r="F51" s="2771"/>
      <c r="G51" s="2771"/>
      <c r="H51" s="2771"/>
      <c r="I51" s="2798"/>
      <c r="J51" s="2768"/>
      <c r="K51" s="1875"/>
      <c r="L51" s="1876"/>
      <c r="P51" s="2769"/>
      <c r="Q51" s="2769"/>
      <c r="R51" s="868"/>
      <c r="S51" s="1790"/>
      <c r="T51" s="799" t="s">
        <v>529</v>
      </c>
      <c r="U51" s="879"/>
      <c r="V51" s="879"/>
      <c r="W51" s="879"/>
      <c r="X51" s="879"/>
      <c r="Y51" s="879"/>
      <c r="Z51" s="879"/>
      <c r="AA51" s="879"/>
      <c r="AB51" s="879"/>
      <c r="AC51" s="879"/>
      <c r="AD51" s="879"/>
      <c r="AE51" s="879"/>
      <c r="AF51" s="879"/>
      <c r="AG51" s="879"/>
      <c r="AH51" s="879"/>
      <c r="AI51" s="879"/>
      <c r="AJ51" s="879"/>
      <c r="AK51" s="879"/>
      <c r="AL51" s="836"/>
      <c r="AM51" s="2767"/>
      <c r="AO51" s="1012"/>
      <c r="AP51" s="1012" t="str">
        <f>IF(T51="","",T51)</f>
        <v>Добавить вид теплоносителя (параметры теплоносителя)</v>
      </c>
      <c r="AQ51" s="1012"/>
      <c r="AR51" s="1012"/>
      <c r="AS51" s="1667">
        <v>11</v>
      </c>
    </row>
    <row customHeight="1" ht="11.549999999999999">
      <c r="A52" s="1875" t="s">
        <v>237</v>
      </c>
      <c r="B52" s="1875" t="s">
        <v>238</v>
      </c>
      <c r="C52" s="1875" t="s">
        <v>239</v>
      </c>
      <c r="D52" s="1875" t="s">
        <v>240</v>
      </c>
      <c r="E52" s="2771"/>
      <c r="F52" s="2771"/>
      <c r="G52" s="2771"/>
      <c r="H52" s="2771"/>
      <c r="I52" s="2768"/>
      <c r="J52" s="1875"/>
      <c r="K52" s="1875"/>
      <c r="L52" s="1876"/>
      <c r="P52" s="2769"/>
      <c r="Q52" s="1843"/>
      <c r="R52" s="868"/>
      <c r="S52" s="1790"/>
      <c r="T52" s="877" t="s">
        <v>530</v>
      </c>
      <c r="U52" s="879"/>
      <c r="V52" s="879"/>
      <c r="W52" s="879"/>
      <c r="X52" s="879"/>
      <c r="Y52" s="879"/>
      <c r="Z52" s="879"/>
      <c r="AA52" s="879"/>
      <c r="AB52" s="879"/>
      <c r="AC52" s="878"/>
      <c r="AD52" s="879"/>
      <c r="AE52" s="879"/>
      <c r="AF52" s="879"/>
      <c r="AG52" s="879"/>
      <c r="AH52" s="879"/>
      <c r="AI52" s="879"/>
      <c r="AJ52" s="879"/>
      <c r="AK52" s="878"/>
      <c r="AL52" s="879"/>
      <c r="AM52" s="815"/>
      <c r="AO52" s="1012"/>
      <c r="AP52" s="1012" t="str">
        <f>IF(T52="","",T52)</f>
        <v>Добавить группу потребителей</v>
      </c>
      <c r="AQ52" s="1012"/>
      <c r="AR52" s="1012"/>
      <c r="AS52" s="1667">
        <v>11</v>
      </c>
    </row>
    <row customHeight="1" ht="0">
      <c r="A53" s="1875" t="s">
        <v>237</v>
      </c>
      <c r="B53" s="1875" t="s">
        <v>238</v>
      </c>
      <c r="C53" s="1875" t="s">
        <v>239</v>
      </c>
      <c r="D53" s="1875" t="s">
        <v>240</v>
      </c>
      <c r="E53" s="2771"/>
      <c r="F53" s="2771"/>
      <c r="G53" s="2771"/>
      <c r="H53" s="2770"/>
      <c r="I53" s="1875"/>
      <c r="J53" s="1875"/>
      <c r="K53" s="1875"/>
      <c r="L53" s="1876"/>
      <c r="M53" s="1877"/>
      <c r="N53" s="1877"/>
      <c r="O53" s="1049"/>
      <c r="P53" s="872"/>
      <c r="Q53" s="887"/>
      <c r="R53" s="867"/>
      <c r="S53" s="1898"/>
      <c r="T53" s="1899"/>
      <c r="U53" s="1900"/>
      <c r="V53" s="1900"/>
      <c r="W53" s="1900"/>
      <c r="X53" s="1900"/>
      <c r="Y53" s="1900"/>
      <c r="Z53" s="1900"/>
      <c r="AA53" s="1900"/>
      <c r="AB53" s="1900"/>
      <c r="AC53" s="1900"/>
      <c r="AD53" s="1900"/>
      <c r="AE53" s="1900"/>
      <c r="AF53" s="1900"/>
      <c r="AG53" s="1900"/>
      <c r="AH53" s="1900"/>
      <c r="AI53" s="1900"/>
      <c r="AJ53" s="1900"/>
      <c r="AK53" s="1900"/>
      <c r="AL53" s="1900"/>
      <c r="AM53" s="1901"/>
      <c r="AO53" s="1012"/>
      <c r="AP53" s="1012" t="str">
        <f>IF(T53="","",T53)</f>
        <v/>
      </c>
      <c r="AQ53" s="1012"/>
      <c r="AR53" s="1012"/>
      <c r="AS53" s="1667">
        <v>0</v>
      </c>
    </row>
    <row s="46890" customFormat="1" customHeight="1" ht="0">
      <c r="A54" s="1855" t="s">
        <v>237</v>
      </c>
      <c r="B54" s="1855" t="s">
        <v>238</v>
      </c>
      <c r="C54" s="1855" t="s">
        <v>239</v>
      </c>
      <c r="D54" s="1826"/>
      <c r="E54" s="2771"/>
      <c r="F54" s="2771"/>
      <c r="G54" s="2770"/>
      <c r="H54" s="1826"/>
      <c r="I54" s="1826"/>
      <c r="J54" s="1826"/>
      <c r="K54" s="1826"/>
      <c r="L54" s="1851"/>
      <c r="M54" s="1827"/>
      <c r="N54" s="1827"/>
      <c r="P54" s="1828"/>
      <c r="Q54" s="1829"/>
      <c r="R54" s="1828"/>
      <c r="S54" s="1834"/>
      <c r="T54" s="1837" t="s">
        <v>532</v>
      </c>
      <c r="U54" s="1836"/>
      <c r="V54" s="1836"/>
      <c r="W54" s="1836"/>
      <c r="X54" s="1836"/>
      <c r="Y54" s="1836"/>
      <c r="Z54" s="1836"/>
      <c r="AA54" s="1836"/>
      <c r="AB54" s="1836"/>
      <c r="AC54" s="1836"/>
      <c r="AD54" s="1836"/>
      <c r="AE54" s="1836"/>
      <c r="AF54" s="1836"/>
      <c r="AG54" s="1836"/>
      <c r="AH54" s="1836"/>
      <c r="AI54" s="1836"/>
      <c r="AJ54" s="1836"/>
      <c r="AK54" s="1836"/>
      <c r="AL54" s="1836"/>
      <c r="AM54" s="1836"/>
      <c r="AO54" s="1301"/>
      <c r="AP54" s="1301" t="str">
        <f>IF(T54="","",T54)</f>
        <v>Добавить источник для дифференциации</v>
      </c>
      <c r="AQ54" s="1301"/>
      <c r="AR54" s="1301"/>
      <c r="AS54" s="1030">
        <v>0</v>
      </c>
    </row>
    <row s="46890" customFormat="1" customHeight="1" ht="0">
      <c r="A55" s="1855" t="s">
        <v>237</v>
      </c>
      <c r="B55" s="1855" t="s">
        <v>238</v>
      </c>
      <c r="C55" s="1826"/>
      <c r="D55" s="1826"/>
      <c r="E55" s="2771"/>
      <c r="F55" s="2770"/>
      <c r="G55" s="1826"/>
      <c r="H55" s="1826"/>
      <c r="I55" s="1826"/>
      <c r="J55" s="1826"/>
      <c r="K55" s="1826"/>
      <c r="L55" s="1851"/>
      <c r="M55" s="1833"/>
      <c r="N55" s="1833"/>
      <c r="P55" s="1828"/>
      <c r="Q55" s="1829"/>
      <c r="R55" s="1828"/>
      <c r="S55" s="1834"/>
      <c r="T55" s="1837" t="s">
        <v>321</v>
      </c>
      <c r="U55" s="1836"/>
      <c r="V55" s="1836"/>
      <c r="W55" s="1836"/>
      <c r="X55" s="1836"/>
      <c r="Y55" s="1836"/>
      <c r="Z55" s="1836"/>
      <c r="AA55" s="1836"/>
      <c r="AB55" s="1836"/>
      <c r="AC55" s="1836"/>
      <c r="AD55" s="1836"/>
      <c r="AE55" s="1836"/>
      <c r="AF55" s="1836"/>
      <c r="AG55" s="1836"/>
      <c r="AH55" s="1836"/>
      <c r="AI55" s="1836"/>
      <c r="AJ55" s="1836"/>
      <c r="AK55" s="1836"/>
      <c r="AL55" s="1836"/>
      <c r="AM55" s="1836"/>
      <c r="AO55" s="1301"/>
      <c r="AP55" s="1301" t="str">
        <f>IF(T55="","",T55)</f>
        <v>Добавить централизованную систему для дифференциации</v>
      </c>
      <c r="AQ55" s="1301"/>
      <c r="AR55" s="1301"/>
      <c r="AS55" s="1030">
        <v>0</v>
      </c>
    </row>
    <row s="46890" customFormat="1" customHeight="1" ht="0">
      <c r="A56" s="1855" t="s">
        <v>237</v>
      </c>
      <c r="B56" s="1855"/>
      <c r="C56" s="1855"/>
      <c r="D56" s="1855"/>
      <c r="E56" s="2770"/>
      <c r="F56" s="1855"/>
      <c r="G56" s="1855"/>
      <c r="H56" s="1855"/>
      <c r="I56" s="1855"/>
      <c r="J56" s="1855"/>
      <c r="K56" s="1855"/>
      <c r="L56" s="1858"/>
      <c r="M56" s="1833"/>
      <c r="N56" s="1833"/>
      <c r="O56" s="1030"/>
      <c r="P56" s="892"/>
      <c r="Q56" s="1856"/>
      <c r="R56" s="892"/>
      <c r="S56" s="1834"/>
      <c r="T56" s="1837" t="s">
        <v>385</v>
      </c>
      <c r="U56" s="1836"/>
      <c r="V56" s="1836"/>
      <c r="W56" s="1836"/>
      <c r="X56" s="1836"/>
      <c r="Y56" s="1836"/>
      <c r="Z56" s="1836"/>
      <c r="AA56" s="1836"/>
      <c r="AB56" s="1836"/>
      <c r="AC56" s="1836"/>
      <c r="AD56" s="1836"/>
      <c r="AE56" s="1836"/>
      <c r="AF56" s="1836"/>
      <c r="AG56" s="1836"/>
      <c r="AH56" s="1836"/>
      <c r="AI56" s="1836"/>
      <c r="AJ56" s="1836"/>
      <c r="AK56" s="1836"/>
      <c r="AL56" s="1836"/>
      <c r="AM56" s="1836"/>
      <c r="AO56" s="1012"/>
      <c r="AP56" s="1012" t="str">
        <f>IF(T56="","",T56)</f>
        <v>Добавить территорию для дифференциации</v>
      </c>
      <c r="AQ56" s="1012"/>
      <c r="AR56" s="1012"/>
      <c r="AS56" s="1023">
        <v>0</v>
      </c>
    </row>
    <row s="46890" customFormat="1" customHeight="1" ht="4.2">
      <c r="A57" s="1826"/>
      <c r="B57" s="1826"/>
      <c r="C57" s="1826"/>
      <c r="D57" s="1826"/>
      <c r="E57" s="1855"/>
      <c r="F57" s="1826"/>
      <c r="G57" s="1826"/>
      <c r="H57" s="1826"/>
      <c r="I57" s="1826"/>
      <c r="J57" s="1826"/>
      <c r="K57" s="1826"/>
      <c r="L57" s="1851"/>
      <c r="M57" s="1833"/>
      <c r="N57" s="1833"/>
      <c r="P57" s="1828"/>
      <c r="Q57" s="1829"/>
      <c r="R57" s="1828"/>
      <c r="S57" s="1834"/>
      <c r="T57" s="1837" t="s">
        <v>386</v>
      </c>
      <c r="U57" s="1836"/>
      <c r="V57" s="1836"/>
      <c r="W57" s="1836"/>
      <c r="X57" s="1836"/>
      <c r="Y57" s="1836"/>
      <c r="Z57" s="1836"/>
      <c r="AA57" s="1836"/>
      <c r="AB57" s="1836"/>
      <c r="AC57" s="1836"/>
      <c r="AD57" s="1836"/>
      <c r="AE57" s="1836"/>
      <c r="AF57" s="1836"/>
      <c r="AG57" s="1836"/>
      <c r="AH57" s="1836"/>
      <c r="AI57" s="1836"/>
      <c r="AJ57" s="1836"/>
      <c r="AK57" s="1836"/>
      <c r="AL57" s="1836"/>
      <c r="AM57" s="1836"/>
      <c r="AO57" s="1301"/>
      <c r="AP57" s="1301" t="str">
        <f>IF(T57="","",T57)</f>
        <v>Добавить наименование тарифа</v>
      </c>
      <c r="AQ57" s="1301"/>
      <c r="AR57" s="1301"/>
      <c r="AS57" s="1030">
        <v>4</v>
      </c>
    </row>
    <row customHeight="1" ht="11.549999999999999">
      <c r="M58" s="1672"/>
      <c r="N58" s="1672"/>
      <c r="O58" s="1049"/>
      <c r="P58" s="1667"/>
      <c r="Q58" s="1667"/>
      <c r="R58" s="1667"/>
      <c r="S58" s="1667"/>
      <c r="AN58" s="1667"/>
      <c r="AO58" s="1667"/>
      <c r="AP58" s="1667"/>
      <c r="AQ58" s="1667"/>
      <c r="AR58" s="1667"/>
      <c r="AS58" s="1667">
        <v>11</v>
      </c>
    </row>
    <row customHeight="1" ht="14.699999999999998">
      <c r="O59" s="1049"/>
      <c r="S59" s="1765"/>
      <c r="T59" s="2797"/>
      <c r="U59" s="2797"/>
      <c r="V59" s="2797"/>
      <c r="W59" s="2797"/>
      <c r="X59" s="2797"/>
      <c r="Y59" s="2797"/>
      <c r="Z59" s="2797"/>
      <c r="AA59" s="2797"/>
      <c r="AB59" s="2797"/>
      <c r="AC59" s="2797"/>
      <c r="AD59" s="2797"/>
      <c r="AE59" s="2797"/>
      <c r="AF59" s="2797"/>
      <c r="AG59" s="2797"/>
      <c r="AH59" s="2797"/>
      <c r="AI59" s="2797"/>
      <c r="AJ59" s="2797"/>
      <c r="AK59" s="2797"/>
      <c r="AL59" s="2797"/>
      <c r="AM59" s="2797"/>
      <c r="AS59" s="1667">
        <v>14</v>
      </c>
    </row>
    <row customHeight="1" ht="14.699999999999998">
      <c r="O60" s="1049"/>
      <c r="T60" s="2797"/>
      <c r="U60" s="2797"/>
      <c r="V60" s="2797"/>
      <c r="W60" s="2797"/>
      <c r="X60" s="2797"/>
      <c r="Y60" s="2797"/>
      <c r="Z60" s="2797"/>
      <c r="AA60" s="2797"/>
      <c r="AB60" s="2797"/>
      <c r="AC60" s="2797"/>
      <c r="AD60" s="2797"/>
      <c r="AE60" s="2797"/>
      <c r="AF60" s="2797"/>
      <c r="AG60" s="2797"/>
      <c r="AH60" s="2797"/>
      <c r="AI60" s="2797"/>
      <c r="AJ60" s="2797"/>
      <c r="AK60" s="2797"/>
      <c r="AL60" s="2797"/>
      <c r="AM60" s="2797"/>
      <c r="AS60" s="1667">
        <v>14</v>
      </c>
    </row>
    <row customHeight="1" ht="14.699999999999998">
      <c r="O61" s="1049"/>
      <c r="T61" s="2797"/>
      <c r="U61" s="2797"/>
      <c r="V61" s="2797"/>
      <c r="W61" s="2797"/>
      <c r="X61" s="2797"/>
      <c r="Y61" s="2797"/>
      <c r="Z61" s="2797"/>
      <c r="AA61" s="2797"/>
      <c r="AB61" s="2797"/>
      <c r="AC61" s="2797"/>
      <c r="AD61" s="2797"/>
      <c r="AE61" s="2797"/>
      <c r="AF61" s="2797"/>
      <c r="AG61" s="2797"/>
      <c r="AH61" s="2797"/>
      <c r="AI61" s="2797"/>
      <c r="AJ61" s="2797"/>
      <c r="AK61" s="2797"/>
      <c r="AL61" s="2797"/>
      <c r="AM61" s="2797"/>
      <c r="AS61" s="1667">
        <v>14</v>
      </c>
    </row>
    <row customHeight="1" ht="14.699999999999998">
      <c r="O62" s="1049"/>
      <c r="AS62" s="1667">
        <v>14</v>
      </c>
    </row>
    <row customHeight="1" ht="14.699999999999998">
      <c r="O63" s="1049"/>
      <c r="S63" s="1765"/>
      <c r="T63" s="2811"/>
      <c r="U63" s="2797"/>
      <c r="V63" s="2797"/>
      <c r="W63" s="2797"/>
      <c r="X63" s="2797"/>
      <c r="Y63" s="2797"/>
      <c r="Z63" s="2797"/>
      <c r="AA63" s="2797"/>
      <c r="AB63" s="2797"/>
      <c r="AC63" s="2797"/>
      <c r="AD63" s="2797"/>
      <c r="AE63" s="2797"/>
      <c r="AF63" s="2797"/>
      <c r="AG63" s="2797"/>
      <c r="AH63" s="2797"/>
      <c r="AI63" s="2797"/>
      <c r="AJ63" s="2797"/>
      <c r="AK63" s="2797"/>
      <c r="AL63" s="2797"/>
      <c r="AM63" s="2797"/>
      <c r="AS63" s="1667">
        <v>14</v>
      </c>
    </row>
    <row customHeight="1" ht="14.699999999999998">
      <c r="O64" s="1049"/>
      <c r="T64" s="2797"/>
      <c r="U64" s="2797"/>
      <c r="V64" s="2797"/>
      <c r="W64" s="2797"/>
      <c r="X64" s="2797"/>
      <c r="Y64" s="2797"/>
      <c r="Z64" s="2797"/>
      <c r="AA64" s="2797"/>
      <c r="AB64" s="2797"/>
      <c r="AC64" s="2797"/>
      <c r="AD64" s="2797"/>
      <c r="AE64" s="2797"/>
      <c r="AF64" s="2797"/>
      <c r="AG64" s="2797"/>
      <c r="AH64" s="2797"/>
      <c r="AI64" s="2797"/>
      <c r="AJ64" s="2797"/>
      <c r="AK64" s="2797"/>
      <c r="AL64" s="2797"/>
      <c r="AM64" s="2797"/>
      <c r="AS64" s="1667">
        <v>14</v>
      </c>
    </row>
    <row customHeight="1" ht="14.699999999999998">
      <c r="T65" s="2797"/>
      <c r="U65" s="2797"/>
      <c r="V65" s="2797"/>
      <c r="W65" s="2797"/>
      <c r="X65" s="2797"/>
      <c r="Y65" s="2797"/>
      <c r="Z65" s="2797"/>
      <c r="AA65" s="2797"/>
      <c r="AB65" s="2797"/>
      <c r="AC65" s="2797"/>
      <c r="AD65" s="2797"/>
      <c r="AE65" s="2797"/>
      <c r="AF65" s="2797"/>
      <c r="AG65" s="2797"/>
      <c r="AH65" s="2797"/>
      <c r="AI65" s="2797"/>
      <c r="AJ65" s="2797"/>
      <c r="AK65" s="2797"/>
      <c r="AL65" s="2797"/>
      <c r="AM65" s="2797"/>
      <c r="AS65" s="1667">
        <v>14</v>
      </c>
    </row>
    <row customHeight="1" ht="22.5" hidden="1">
      <c r="A66" s="1672" t="s">
        <v>84</v>
      </c>
      <c r="B66" s="1672">
        <v>0</v>
      </c>
      <c r="C66" s="1672">
        <v>0</v>
      </c>
      <c r="D66" s="1672">
        <v>0</v>
      </c>
      <c r="E66" s="1672">
        <v>0</v>
      </c>
      <c r="F66" s="1672">
        <v>0</v>
      </c>
      <c r="G66" s="1672">
        <v>0</v>
      </c>
      <c r="H66" s="1672">
        <v>0</v>
      </c>
      <c r="I66" s="1672">
        <v>0</v>
      </c>
      <c r="J66" s="1672">
        <v>0</v>
      </c>
      <c r="K66" s="1672">
        <v>0</v>
      </c>
      <c r="L66" s="1841">
        <v>0</v>
      </c>
      <c r="M66" s="1874">
        <v>0</v>
      </c>
      <c r="N66" s="1874">
        <v>0</v>
      </c>
      <c r="O66" s="1874">
        <v>0</v>
      </c>
      <c r="P66" s="1840">
        <v>0</v>
      </c>
      <c r="Q66" s="856">
        <v>3</v>
      </c>
      <c r="R66" s="856">
        <v>3</v>
      </c>
      <c r="S66" s="1093">
        <v>12</v>
      </c>
      <c r="T66" s="1667">
        <v>31</v>
      </c>
      <c r="U66" s="1667">
        <v>0</v>
      </c>
      <c r="V66" s="1667">
        <v>0</v>
      </c>
      <c r="W66" s="1667">
        <v>0</v>
      </c>
      <c r="X66" s="1667">
        <v>0</v>
      </c>
      <c r="Y66" s="1667">
        <v>0</v>
      </c>
      <c r="Z66" s="1667">
        <v>0</v>
      </c>
      <c r="AA66" s="1667">
        <v>0</v>
      </c>
      <c r="AB66" s="1667">
        <v>0</v>
      </c>
      <c r="AC66" s="1667">
        <v>0</v>
      </c>
      <c r="AD66" s="1667">
        <v>24</v>
      </c>
      <c r="AE66" s="1667">
        <v>0</v>
      </c>
      <c r="AF66" s="1667">
        <v>24</v>
      </c>
      <c r="AG66" s="1667">
        <v>24</v>
      </c>
      <c r="AH66" s="1667">
        <v>11</v>
      </c>
      <c r="AI66" s="1667">
        <v>3</v>
      </c>
      <c r="AJ66" s="1667">
        <v>11</v>
      </c>
      <c r="AK66" s="1667">
        <v>0</v>
      </c>
      <c r="AL66" s="1667">
        <v>4</v>
      </c>
      <c r="AM66" s="1667">
        <v>115</v>
      </c>
      <c r="AN66" s="1023">
        <v>10</v>
      </c>
      <c r="AO66" s="1023">
        <v>10</v>
      </c>
      <c r="AP66" s="1023">
        <v>10</v>
      </c>
      <c r="AQ66" s="1023">
        <v>10</v>
      </c>
      <c r="AR66" s="1023">
        <v>10</v>
      </c>
      <c r="AS66" s="1667">
        <v>23</v>
      </c>
    </row>
  </sheetData>
  <sheetProtection formatColumns="0" formatRows="0" autoFilter="0" sort="0" insertRows="0" insertColumns="1" deleteRows="0" deleteColumns="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17C9DB8-EDB5-12AF-642F-2A61EE4CC987}" mc:Ignorable="x14ac xr xr2 xr3">
  <sheetPr>
    <tabColor theme="6" tint="0.4"/>
  </sheetPr>
  <dimension ref="A1:AW72"/>
  <sheetViews>
    <sheetView topLeftCell="A1" showGridLines="0" zoomScale="90" workbookViewId="0">
      <selection activeCell="A1" sqref="A1"/>
    </sheetView>
  </sheetViews>
  <sheetFormatPr defaultColWidth="10.57421875" customHeight="1" defaultRowHeight="14.25"/>
  <cols>
    <col min="1" max="1" style="46808" width="10.57421875" hidden="1"/>
    <col min="2" max="2" style="46808" width="11.00390625" hidden="1" customWidth="1"/>
    <col min="3" max="3" style="46808" width="10.57421875" hidden="1"/>
    <col min="4" max="4" style="46808" width="11.8515625" hidden="1" customWidth="1"/>
    <col min="5" max="5" style="46808" width="10.00390625" hidden="1" customWidth="1"/>
    <col min="6" max="6" style="46808" width="8.7109375" hidden="1" customWidth="1"/>
    <col min="7" max="7" style="46808" width="7.57421875" hidden="1" customWidth="1"/>
    <col min="8" max="8" style="46808" width="11.421875" hidden="1" customWidth="1"/>
    <col min="9" max="9" style="46808" width="12.00390625" hidden="1" customWidth="1"/>
    <col min="10" max="10" style="46808" width="9.8515625" hidden="1" customWidth="1"/>
    <col min="11" max="12" style="46808" width="11.421875" hidden="1" customWidth="1"/>
    <col min="13" max="13" style="46887" width="19.140625" hidden="1" customWidth="1"/>
    <col min="14" max="15" style="47740" width="12.28125" hidden="1" customWidth="1"/>
    <col min="16" max="16" style="47740" width="23.421875" hidden="1" customWidth="1"/>
    <col min="17" max="17" style="47740" width="3.7109375" hidden="1" customWidth="1"/>
    <col min="18" max="20" style="47741" width="3.00390625" customWidth="1"/>
    <col min="21" max="21" style="47742" width="12.00390625" customWidth="1"/>
    <col min="22" max="22" style="46808" width="31.00390625" customWidth="1"/>
    <col min="23" max="23" style="46808" width="0.140625" customWidth="1"/>
    <col min="24" max="28" style="46808" width="21.7109375" hidden="1" customWidth="1"/>
    <col min="29" max="29" style="46808" width="11.7109375" hidden="1" customWidth="1"/>
    <col min="30" max="30" style="46808" width="3.7109375" hidden="1" customWidth="1"/>
    <col min="31" max="31" style="46808" width="11.7109375" hidden="1" customWidth="1"/>
    <col min="32" max="32" style="46808" width="8.57421875" hidden="1" customWidth="1"/>
    <col min="33" max="33" style="46808" width="21.7109375" customWidth="1"/>
    <col min="34" max="37" style="46808" width="21.00390625" customWidth="1"/>
    <col min="38" max="38" style="46808" width="11.00390625" customWidth="1"/>
    <col min="39" max="39" style="46808" width="3.7109375" customWidth="1"/>
    <col min="40" max="40" style="46808" width="11.00390625" customWidth="1"/>
    <col min="41" max="41" style="46808" width="8.57421875" hidden="1" customWidth="1"/>
    <col min="42" max="42" style="46808" width="4.00390625" customWidth="1"/>
    <col min="43" max="43" style="46808" width="115.00390625" customWidth="1"/>
    <col min="44" max="48" style="46890" width="10.00390625" customWidth="1"/>
    <col min="49" max="49" style="46808" width="10.57421875" hidden="1"/>
  </cols>
  <sheetData>
    <row customHeight="1" ht="22.5" hidden="1">
      <c r="AB1" s="839"/>
      <c r="AC1" s="839"/>
      <c r="AK1" s="839"/>
      <c r="AL1" s="839"/>
      <c r="AW1" s="1667" t="s">
        <v>14</v>
      </c>
    </row>
    <row customHeight="1" ht="21" hidden="1">
      <c r="A2" s="1779"/>
      <c r="B2" s="1779"/>
      <c r="C2" s="1779"/>
      <c r="D2" s="1779"/>
      <c r="E2" s="2801">
        <v>1</v>
      </c>
      <c r="F2" s="1779"/>
      <c r="G2" s="1779"/>
      <c r="H2" s="1779"/>
      <c r="I2" s="1779"/>
      <c r="J2" s="1779"/>
      <c r="K2" s="1779"/>
      <c r="L2" s="1779"/>
      <c r="M2" s="1822"/>
      <c r="N2" s="1200"/>
      <c r="O2" s="1200"/>
      <c r="P2" s="1200"/>
      <c r="Q2" s="873"/>
      <c r="R2" s="872"/>
      <c r="S2" s="872"/>
      <c r="T2" s="867"/>
      <c r="U2" s="1848">
        <f>INDEX(PT_DIFFERENTIATION_NUM_NTAR,MATCH(A2,PT_DIFFERENTIATION_NTAR_ID,0))</f>
      </c>
      <c r="V2" s="810" t="s">
        <v>179</v>
      </c>
      <c r="W2" s="812"/>
      <c r="X2" s="2754"/>
      <c r="Y2" s="2755"/>
      <c r="Z2" s="2755"/>
      <c r="AA2" s="2755"/>
      <c r="AB2" s="2755"/>
      <c r="AC2" s="2755"/>
      <c r="AD2" s="2755"/>
      <c r="AE2" s="2755"/>
      <c r="AF2" s="2756"/>
      <c r="AG2" s="2754">
        <f>INDEX(PT_DIFFERENTIATION_NTAR,MATCH(A2,PT_DIFFERENTIATION_NTAR_ID,0))</f>
      </c>
      <c r="AH2" s="2755"/>
      <c r="AI2" s="2755"/>
      <c r="AJ2" s="2755"/>
      <c r="AK2" s="2755"/>
      <c r="AL2" s="2755"/>
      <c r="AM2" s="2755"/>
      <c r="AN2" s="2755"/>
      <c r="AO2" s="2755"/>
      <c r="AP2" s="2756"/>
      <c r="AQ2" s="1770" t="s">
        <v>514</v>
      </c>
      <c r="AS2" s="1012"/>
      <c r="AT2" s="1012" t="str">
        <f>IF(V2="","",V2)</f>
        <v>Наименование тарифа</v>
      </c>
      <c r="AU2" s="1012"/>
      <c r="AV2" s="1012"/>
      <c r="AW2" s="1667">
        <v>0</v>
      </c>
    </row>
    <row customHeight="1" ht="21" hidden="1">
      <c r="A3" s="1779"/>
      <c r="B3" s="1779"/>
      <c r="C3" s="1779"/>
      <c r="D3" s="1779"/>
      <c r="E3" s="2802"/>
      <c r="F3" s="2801">
        <v>1</v>
      </c>
      <c r="G3" s="1779"/>
      <c r="H3" s="1779"/>
      <c r="I3" s="1779"/>
      <c r="J3" s="1779"/>
      <c r="K3" s="1779"/>
      <c r="L3" s="1779"/>
      <c r="M3" s="1822"/>
      <c r="N3" s="1200"/>
      <c r="O3" s="1200"/>
      <c r="P3" s="1200"/>
      <c r="Q3" s="1844"/>
      <c r="R3" s="864"/>
      <c r="S3" s="1021"/>
      <c r="T3" s="865"/>
      <c r="U3" s="1848">
        <f>INDEX(PT_DIFFERENTIATION_NUM_TER,MATCH(B3,PT_DIFFERENTIATION_TER_ID,0))</f>
      </c>
      <c r="V3" s="820" t="s">
        <v>515</v>
      </c>
      <c r="W3" s="812"/>
      <c r="X3" s="2754"/>
      <c r="Y3" s="2755"/>
      <c r="Z3" s="2755"/>
      <c r="AA3" s="2755"/>
      <c r="AB3" s="2755"/>
      <c r="AC3" s="2755"/>
      <c r="AD3" s="2755"/>
      <c r="AE3" s="2755"/>
      <c r="AF3" s="2756"/>
      <c r="AG3" s="2754">
        <f>INDEX(PT_DIFFERENTIATION_TER,MATCH(B3,PT_DIFFERENTIATION_TER_ID,0))</f>
      </c>
      <c r="AH3" s="2755"/>
      <c r="AI3" s="2755"/>
      <c r="AJ3" s="2755"/>
      <c r="AK3" s="2755"/>
      <c r="AL3" s="2755"/>
      <c r="AM3" s="2755"/>
      <c r="AN3" s="2755"/>
      <c r="AO3" s="2755"/>
      <c r="AP3" s="2756"/>
      <c r="AQ3" s="1770" t="s">
        <v>516</v>
      </c>
      <c r="AS3" s="1012"/>
      <c r="AT3" s="1012" t="str">
        <f>IF(V3="","",V3)</f>
        <v>Территория действия тарифа</v>
      </c>
      <c r="AU3" s="1012"/>
      <c r="AV3" s="1012"/>
      <c r="AW3" s="1667">
        <v>0</v>
      </c>
    </row>
    <row customHeight="1" ht="22.5" hidden="1">
      <c r="A4" s="1779"/>
      <c r="B4" s="1779"/>
      <c r="C4" s="1779"/>
      <c r="D4" s="1779"/>
      <c r="E4" s="2802"/>
      <c r="F4" s="2802"/>
      <c r="G4" s="2801">
        <v>1</v>
      </c>
      <c r="H4" s="1779"/>
      <c r="I4" s="1779"/>
      <c r="J4" s="1779"/>
      <c r="K4" s="1779"/>
      <c r="L4" s="1779"/>
      <c r="M4" s="1822"/>
      <c r="N4" s="1200"/>
      <c r="O4" s="1200"/>
      <c r="P4" s="1200"/>
      <c r="Q4" s="866"/>
      <c r="R4" s="864"/>
      <c r="S4" s="1021"/>
      <c r="T4" s="865"/>
      <c r="U4" s="1848">
        <f>INDEX(PT_DIFFERENTIATION_NUM_CS,MATCH(C4,PT_DIFFERENTIATION_CS_ID,0))</f>
      </c>
      <c r="V4" s="821" t="s">
        <v>517</v>
      </c>
      <c r="W4" s="812"/>
      <c r="X4" s="2754"/>
      <c r="Y4" s="2755"/>
      <c r="Z4" s="2755"/>
      <c r="AA4" s="2755"/>
      <c r="AB4" s="2755"/>
      <c r="AC4" s="2755"/>
      <c r="AD4" s="2755"/>
      <c r="AE4" s="2755"/>
      <c r="AF4" s="2756"/>
      <c r="AG4" s="2754">
        <f>INDEX(PT_DIFFERENTIATION_CS,MATCH(C4,PT_DIFFERENTIATION_CS_ID,0))</f>
      </c>
      <c r="AH4" s="2755"/>
      <c r="AI4" s="2755"/>
      <c r="AJ4" s="2755"/>
      <c r="AK4" s="2755"/>
      <c r="AL4" s="2755"/>
      <c r="AM4" s="2755"/>
      <c r="AN4" s="2755"/>
      <c r="AO4" s="2755"/>
      <c r="AP4" s="2756"/>
      <c r="AQ4" s="1770" t="s">
        <v>518</v>
      </c>
      <c r="AS4" s="1012"/>
      <c r="AT4" s="1012" t="str">
        <f>IF(V4="","",V4)</f>
        <v>Наименование системы теплоснабжения </v>
      </c>
      <c r="AU4" s="1012"/>
      <c r="AV4" s="1012"/>
      <c r="AW4" s="1667">
        <v>0</v>
      </c>
    </row>
    <row customHeight="1" ht="21" hidden="1">
      <c r="A5" s="1779"/>
      <c r="B5" s="1779"/>
      <c r="C5" s="1779"/>
      <c r="D5" s="1779"/>
      <c r="E5" s="2802"/>
      <c r="F5" s="2802"/>
      <c r="G5" s="2802"/>
      <c r="H5" s="2801">
        <v>1</v>
      </c>
      <c r="I5" s="1779"/>
      <c r="J5" s="1779"/>
      <c r="K5" s="1779"/>
      <c r="L5" s="1779"/>
      <c r="M5" s="1822"/>
      <c r="N5" s="1200"/>
      <c r="O5" s="1200"/>
      <c r="P5" s="1200"/>
      <c r="Q5" s="866"/>
      <c r="R5" s="864"/>
      <c r="S5" s="1021"/>
      <c r="T5" s="865"/>
      <c r="U5" s="1848">
        <f>INDEX(PT_DIFFERENTIATION_NUM_IST_TE,MATCH(D5,PT_DIFFERENTIATION_IST_TE_ID,0))</f>
      </c>
      <c r="V5" s="822" t="s">
        <v>519</v>
      </c>
      <c r="W5" s="812"/>
      <c r="X5" s="2754"/>
      <c r="Y5" s="2755"/>
      <c r="Z5" s="2755"/>
      <c r="AA5" s="2755"/>
      <c r="AB5" s="2755"/>
      <c r="AC5" s="2755"/>
      <c r="AD5" s="2755"/>
      <c r="AE5" s="2755"/>
      <c r="AF5" s="2756"/>
      <c r="AG5" s="2754">
        <f>INDEX(PT_DIFFERENTIATION_IST_TE,MATCH(D5,PT_DIFFERENTIATION_IST_TE_ID,0))</f>
      </c>
      <c r="AH5" s="2755"/>
      <c r="AI5" s="2755"/>
      <c r="AJ5" s="2755"/>
      <c r="AK5" s="2755"/>
      <c r="AL5" s="2755"/>
      <c r="AM5" s="2755"/>
      <c r="AN5" s="2755"/>
      <c r="AO5" s="2755"/>
      <c r="AP5" s="2756"/>
      <c r="AQ5" s="1770" t="s">
        <v>520</v>
      </c>
      <c r="AS5" s="1012"/>
      <c r="AT5" s="1012" t="str">
        <f>IF(V5="","",V5)</f>
        <v>Источник тепловой энергии  </v>
      </c>
      <c r="AU5" s="1012"/>
      <c r="AV5" s="1012"/>
      <c r="AW5" s="1667">
        <v>0</v>
      </c>
    </row>
    <row customHeight="1" ht="14.25" hidden="1">
      <c r="A6" s="1779"/>
      <c r="B6" s="1779"/>
      <c r="C6" s="1779"/>
      <c r="D6" s="1779"/>
      <c r="E6" s="2802"/>
      <c r="F6" s="2802"/>
      <c r="G6" s="2802"/>
      <c r="H6" s="2802"/>
      <c r="I6" s="2639">
        <f>U5&amp;".1"</f>
      </c>
      <c r="J6" s="1779"/>
      <c r="K6" s="1779"/>
      <c r="L6" s="1779"/>
      <c r="M6" s="1822" t="s">
        <v>521</v>
      </c>
      <c r="N6" s="1021"/>
      <c r="Q6" s="2769">
        <v>1</v>
      </c>
      <c r="R6" s="1843"/>
      <c r="S6" s="1843"/>
      <c r="T6" s="868"/>
      <c r="U6" s="1554"/>
      <c r="V6" s="1895"/>
      <c r="W6" s="1896"/>
      <c r="X6" s="2808"/>
      <c r="Y6" s="2809"/>
      <c r="Z6" s="2809"/>
      <c r="AA6" s="2809"/>
      <c r="AB6" s="2809"/>
      <c r="AC6" s="2809"/>
      <c r="AD6" s="2809"/>
      <c r="AE6" s="2809"/>
      <c r="AF6" s="2810"/>
      <c r="AG6" s="2808"/>
      <c r="AH6" s="2809"/>
      <c r="AI6" s="2809"/>
      <c r="AJ6" s="2809"/>
      <c r="AK6" s="2809"/>
      <c r="AL6" s="2809"/>
      <c r="AM6" s="2809"/>
      <c r="AN6" s="2809"/>
      <c r="AO6" s="2809"/>
      <c r="AP6" s="2810"/>
      <c r="AQ6" s="1897"/>
      <c r="AS6" s="1012"/>
      <c r="AT6" s="1012" t="str">
        <f>IF(V6="","",V6)</f>
        <v/>
      </c>
      <c r="AU6" s="1012"/>
      <c r="AV6" s="1012"/>
      <c r="AW6" s="1667">
        <v>0</v>
      </c>
    </row>
    <row customHeight="1" ht="21" hidden="1">
      <c r="A7" s="1779"/>
      <c r="B7" s="1779"/>
      <c r="C7" s="1779"/>
      <c r="D7" s="1779"/>
      <c r="E7" s="2802"/>
      <c r="F7" s="2802"/>
      <c r="G7" s="2802"/>
      <c r="H7" s="2802"/>
      <c r="I7" s="2613"/>
      <c r="J7" s="2639">
        <f>I6&amp;".1"</f>
      </c>
      <c r="K7" s="1779"/>
      <c r="L7" s="1779"/>
      <c r="M7" s="1822" t="s">
        <v>524</v>
      </c>
      <c r="N7" s="1021"/>
      <c r="O7" s="839"/>
      <c r="Q7" s="2769"/>
      <c r="R7" s="2769">
        <v>1</v>
      </c>
      <c r="S7" s="1030"/>
      <c r="T7" s="869"/>
      <c r="U7" s="1848">
        <f>$J7</f>
      </c>
      <c r="V7" s="798" t="s">
        <v>525</v>
      </c>
      <c r="W7" s="812"/>
      <c r="X7" s="2757"/>
      <c r="Y7" s="2758"/>
      <c r="Z7" s="2758"/>
      <c r="AA7" s="2758"/>
      <c r="AB7" s="2758"/>
      <c r="AC7" s="2747"/>
      <c r="AD7" s="2747"/>
      <c r="AE7" s="2747"/>
      <c r="AF7" s="2820"/>
      <c r="AG7" s="2757"/>
      <c r="AH7" s="2758"/>
      <c r="AI7" s="2758"/>
      <c r="AJ7" s="2758"/>
      <c r="AK7" s="2758"/>
      <c r="AL7" s="2758"/>
      <c r="AM7" s="2758"/>
      <c r="AN7" s="2758"/>
      <c r="AO7" s="2758"/>
      <c r="AP7" s="2759"/>
      <c r="AQ7" s="1770" t="s">
        <v>526</v>
      </c>
      <c r="AS7" s="1012"/>
      <c r="AT7" s="1012" t="str">
        <f>IF(V7="","",V7)</f>
        <v>Группа потребителей</v>
      </c>
      <c r="AU7" s="1012"/>
      <c r="AV7" s="1012"/>
      <c r="AW7" s="1667">
        <v>0</v>
      </c>
    </row>
    <row customHeight="1" ht="21" hidden="1">
      <c r="A8" s="1779"/>
      <c r="B8" s="1779"/>
      <c r="C8" s="1779"/>
      <c r="D8" s="1779"/>
      <c r="E8" s="2802"/>
      <c r="F8" s="2802"/>
      <c r="G8" s="2802"/>
      <c r="H8" s="2802"/>
      <c r="I8" s="2613"/>
      <c r="J8" s="2613"/>
      <c r="K8" s="2639">
        <f>J7&amp;".1"</f>
      </c>
      <c r="L8" s="651"/>
      <c r="M8" s="1822" t="s">
        <v>527</v>
      </c>
      <c r="N8" s="1021"/>
      <c r="O8" s="839"/>
      <c r="P8" s="839"/>
      <c r="Q8" s="2769"/>
      <c r="R8" s="2769"/>
      <c r="S8" s="2769">
        <v>1</v>
      </c>
      <c r="T8" s="869"/>
      <c r="U8" s="1848">
        <f>$K8</f>
      </c>
      <c r="V8" s="1859"/>
      <c r="W8" s="812"/>
      <c r="X8" s="1263"/>
      <c r="Y8" s="1263"/>
      <c r="Z8" s="1263"/>
      <c r="AA8" s="1263"/>
      <c r="AB8" s="1917"/>
      <c r="AC8" s="2777"/>
      <c r="AD8" s="2619" t="s">
        <v>63</v>
      </c>
      <c r="AE8" s="2777"/>
      <c r="AF8" s="2619" t="s">
        <v>63</v>
      </c>
      <c r="AG8" s="1919"/>
      <c r="AH8" s="1263"/>
      <c r="AI8" s="1263"/>
      <c r="AJ8" s="1263"/>
      <c r="AK8" s="1769"/>
      <c r="AL8" s="2777"/>
      <c r="AM8" s="2619" t="s">
        <v>63</v>
      </c>
      <c r="AN8" s="2777"/>
      <c r="AO8" s="2619" t="s">
        <v>63</v>
      </c>
      <c r="AP8" s="837"/>
      <c r="AQ8" s="1819" t="s">
        <v>567</v>
      </c>
      <c r="AR8" s="1023">
        <f>STRCHECKDATE(X10:AP10)</f>
      </c>
      <c r="AS8" s="1012"/>
      <c r="AT8" s="1012" t="str">
        <f>IF(V8="","",V8)</f>
        <v/>
      </c>
      <c r="AU8" s="1012"/>
      <c r="AV8" s="1012"/>
      <c r="AW8" s="1667">
        <v>0</v>
      </c>
    </row>
    <row customHeight="1" ht="21" hidden="1">
      <c r="A9" s="1779"/>
      <c r="B9" s="1779"/>
      <c r="C9" s="1779"/>
      <c r="D9" s="1779"/>
      <c r="E9" s="2802"/>
      <c r="F9" s="2802"/>
      <c r="G9" s="2802"/>
      <c r="H9" s="2802"/>
      <c r="I9" s="2613"/>
      <c r="J9" s="2613"/>
      <c r="K9" s="2613"/>
      <c r="L9" s="2639">
        <f>K8&amp;".1"</f>
      </c>
      <c r="M9" s="1822"/>
      <c r="N9" s="1021"/>
      <c r="O9" s="839"/>
      <c r="P9" s="839"/>
      <c r="Q9" s="2769"/>
      <c r="R9" s="2769"/>
      <c r="S9" s="2769"/>
      <c r="T9" s="869"/>
      <c r="U9" s="1848">
        <f>$L9</f>
      </c>
      <c r="V9" s="1903"/>
      <c r="W9" s="812"/>
      <c r="X9" s="837"/>
      <c r="Y9" s="1263"/>
      <c r="Z9" s="1263"/>
      <c r="AA9" s="1263"/>
      <c r="AB9" s="1917"/>
      <c r="AC9" s="2821"/>
      <c r="AD9" s="2619"/>
      <c r="AE9" s="2821"/>
      <c r="AF9" s="2619"/>
      <c r="AG9" s="1919"/>
      <c r="AH9" s="1263"/>
      <c r="AI9" s="1263"/>
      <c r="AJ9" s="1263"/>
      <c r="AK9" s="1769"/>
      <c r="AL9" s="2821"/>
      <c r="AM9" s="2619"/>
      <c r="AN9" s="2821"/>
      <c r="AO9" s="2619"/>
      <c r="AP9" s="837"/>
      <c r="AQ9" s="2765" t="s">
        <v>568</v>
      </c>
      <c r="AS9" s="1012"/>
      <c r="AT9" s="1012"/>
      <c r="AU9" s="1012"/>
      <c r="AV9" s="1012"/>
      <c r="AW9" s="1667">
        <v>0</v>
      </c>
    </row>
    <row customHeight="1" ht="14.25" hidden="1">
      <c r="A10" s="1779"/>
      <c r="B10" s="1779"/>
      <c r="C10" s="1779"/>
      <c r="D10" s="1779"/>
      <c r="E10" s="2802"/>
      <c r="F10" s="2802"/>
      <c r="G10" s="2802"/>
      <c r="H10" s="2802"/>
      <c r="I10" s="2613"/>
      <c r="J10" s="2613"/>
      <c r="K10" s="2613"/>
      <c r="L10" s="2639"/>
      <c r="M10" s="1822"/>
      <c r="N10" s="1021"/>
      <c r="O10" s="839"/>
      <c r="P10" s="839"/>
      <c r="Q10" s="2769"/>
      <c r="R10" s="2769"/>
      <c r="S10" s="2769"/>
      <c r="T10" s="869"/>
      <c r="U10" s="1854"/>
      <c r="V10" s="812"/>
      <c r="W10" s="812"/>
      <c r="X10" s="837"/>
      <c r="Y10" s="837"/>
      <c r="Z10" s="837"/>
      <c r="AA10" s="837"/>
      <c r="AB10" s="1918" t="str">
        <f>AC8&amp;"-"&amp;AE8</f>
        <v>-</v>
      </c>
      <c r="AC10" s="2821"/>
      <c r="AD10" s="2619"/>
      <c r="AE10" s="2821"/>
      <c r="AF10" s="2619"/>
      <c r="AG10" s="1894"/>
      <c r="AH10" s="837"/>
      <c r="AI10" s="837"/>
      <c r="AJ10" s="837"/>
      <c r="AK10" s="840" t="str">
        <f>AL8&amp;"-"&amp;AN8</f>
        <v>-</v>
      </c>
      <c r="AL10" s="2821"/>
      <c r="AM10" s="2619"/>
      <c r="AN10" s="2821"/>
      <c r="AO10" s="2619"/>
      <c r="AP10" s="837"/>
      <c r="AQ10" s="2766"/>
      <c r="AS10" s="1012"/>
      <c r="AT10" s="1012" t="str">
        <f>IF(V10="","",V10)</f>
        <v/>
      </c>
      <c r="AU10" s="1012"/>
      <c r="AV10" s="1012"/>
      <c r="AW10" s="1667">
        <v>0</v>
      </c>
    </row>
    <row customHeight="1" ht="11.25" hidden="1">
      <c r="A11" s="1779"/>
      <c r="B11" s="1779"/>
      <c r="C11" s="1779"/>
      <c r="D11" s="1779"/>
      <c r="E11" s="2802"/>
      <c r="F11" s="2802"/>
      <c r="G11" s="2802"/>
      <c r="H11" s="2802"/>
      <c r="I11" s="2613"/>
      <c r="J11" s="2613"/>
      <c r="K11" s="2639"/>
      <c r="L11" s="1779"/>
      <c r="M11" s="1822"/>
      <c r="N11" s="1021"/>
      <c r="O11" s="839"/>
      <c r="P11" s="839"/>
      <c r="Q11" s="2769"/>
      <c r="R11" s="2769"/>
      <c r="S11" s="2769"/>
      <c r="T11" s="869"/>
      <c r="U11" s="1790"/>
      <c r="V11" s="800" t="s">
        <v>569</v>
      </c>
      <c r="W11" s="1904"/>
      <c r="X11" s="1905"/>
      <c r="Y11" s="1905"/>
      <c r="Z11" s="1905"/>
      <c r="AA11" s="1905"/>
      <c r="AB11" s="1906"/>
      <c r="AC11" s="2821"/>
      <c r="AD11" s="2619"/>
      <c r="AE11" s="2821"/>
      <c r="AF11" s="2619"/>
      <c r="AG11" s="1905"/>
      <c r="AH11" s="1905"/>
      <c r="AI11" s="1905"/>
      <c r="AJ11" s="1905"/>
      <c r="AK11" s="1906"/>
      <c r="AL11" s="2821"/>
      <c r="AM11" s="2619"/>
      <c r="AN11" s="2821"/>
      <c r="AO11" s="2619"/>
      <c r="AP11" s="1907"/>
      <c r="AQ11" s="2766"/>
      <c r="AS11" s="1012"/>
      <c r="AT11" s="1012"/>
      <c r="AU11" s="1012"/>
      <c r="AV11" s="1012"/>
      <c r="AW11" s="1667">
        <v>0</v>
      </c>
    </row>
    <row customHeight="1" ht="15" hidden="1">
      <c r="A12" s="1779"/>
      <c r="B12" s="1779"/>
      <c r="C12" s="1779"/>
      <c r="D12" s="1779"/>
      <c r="E12" s="2802"/>
      <c r="F12" s="2802"/>
      <c r="G12" s="2802"/>
      <c r="H12" s="2802"/>
      <c r="I12" s="2613"/>
      <c r="J12" s="2639"/>
      <c r="K12" s="1779"/>
      <c r="L12" s="1779"/>
      <c r="M12" s="1822"/>
      <c r="N12" s="1021"/>
      <c r="O12" s="839"/>
      <c r="Q12" s="2769"/>
      <c r="R12" s="2769"/>
      <c r="S12" s="1843"/>
      <c r="T12" s="868"/>
      <c r="U12" s="1790"/>
      <c r="V12" s="799" t="s">
        <v>529</v>
      </c>
      <c r="W12" s="879"/>
      <c r="X12" s="879"/>
      <c r="Y12" s="879"/>
      <c r="Z12" s="879"/>
      <c r="AA12" s="879"/>
      <c r="AB12" s="879"/>
      <c r="AC12" s="1920"/>
      <c r="AD12" s="1920"/>
      <c r="AE12" s="1920"/>
      <c r="AF12" s="1920"/>
      <c r="AG12" s="879"/>
      <c r="AH12" s="879"/>
      <c r="AI12" s="879"/>
      <c r="AJ12" s="879"/>
      <c r="AK12" s="879"/>
      <c r="AL12" s="879"/>
      <c r="AM12" s="879"/>
      <c r="AN12" s="879"/>
      <c r="AO12" s="879"/>
      <c r="AP12" s="836"/>
      <c r="AQ12" s="2767"/>
      <c r="AS12" s="1012"/>
      <c r="AT12" s="1012" t="str">
        <f>IF(V12="","",V12)</f>
        <v>Добавить вид теплоносителя (параметры теплоносителя)</v>
      </c>
      <c r="AU12" s="1012"/>
      <c r="AV12" s="1012"/>
      <c r="AW12" s="1667">
        <v>0</v>
      </c>
    </row>
    <row customHeight="1" ht="11.25" hidden="1">
      <c r="A13" s="1779"/>
      <c r="B13" s="1779"/>
      <c r="C13" s="1779"/>
      <c r="D13" s="1779"/>
      <c r="E13" s="2802"/>
      <c r="F13" s="2802"/>
      <c r="G13" s="2802"/>
      <c r="H13" s="2802"/>
      <c r="I13" s="2639"/>
      <c r="J13" s="1779"/>
      <c r="K13" s="1779"/>
      <c r="L13" s="1779"/>
      <c r="M13" s="1822"/>
      <c r="N13" s="1021"/>
      <c r="Q13" s="2769"/>
      <c r="R13" s="1843"/>
      <c r="S13" s="1843"/>
      <c r="T13" s="868"/>
      <c r="U13" s="1790"/>
      <c r="V13" s="877" t="s">
        <v>530</v>
      </c>
      <c r="W13" s="879"/>
      <c r="X13" s="879"/>
      <c r="Y13" s="879"/>
      <c r="Z13" s="879"/>
      <c r="AA13" s="879"/>
      <c r="AB13" s="879"/>
      <c r="AC13" s="879"/>
      <c r="AD13" s="879"/>
      <c r="AE13" s="879"/>
      <c r="AF13" s="878"/>
      <c r="AG13" s="879"/>
      <c r="AH13" s="879"/>
      <c r="AI13" s="879"/>
      <c r="AJ13" s="879"/>
      <c r="AK13" s="879"/>
      <c r="AL13" s="879"/>
      <c r="AM13" s="879"/>
      <c r="AN13" s="879"/>
      <c r="AO13" s="878"/>
      <c r="AP13" s="879"/>
      <c r="AQ13" s="815"/>
      <c r="AS13" s="1012"/>
      <c r="AT13" s="1012" t="str">
        <f>IF(V13="","",V13)</f>
        <v>Добавить группу потребителей</v>
      </c>
      <c r="AU13" s="1012"/>
      <c r="AV13" s="1012"/>
      <c r="AW13" s="1667">
        <v>0</v>
      </c>
    </row>
    <row customHeight="1" ht="14.25" hidden="1">
      <c r="A14" s="1779"/>
      <c r="B14" s="1779"/>
      <c r="C14" s="1779"/>
      <c r="D14" s="1779"/>
      <c r="E14" s="2802"/>
      <c r="F14" s="2802"/>
      <c r="G14" s="2802"/>
      <c r="H14" s="2801"/>
      <c r="I14" s="1779"/>
      <c r="J14" s="1779"/>
      <c r="K14" s="1779"/>
      <c r="L14" s="1779"/>
      <c r="M14" s="1822"/>
      <c r="N14" s="1200"/>
      <c r="O14" s="1200"/>
      <c r="P14" s="1021"/>
      <c r="Q14" s="872"/>
      <c r="R14" s="887"/>
      <c r="S14" s="867"/>
      <c r="T14" s="872"/>
      <c r="U14" s="1898"/>
      <c r="V14" s="1899"/>
      <c r="W14" s="1900"/>
      <c r="X14" s="1900"/>
      <c r="Y14" s="1900"/>
      <c r="Z14" s="1900"/>
      <c r="AA14" s="1900"/>
      <c r="AB14" s="1900"/>
      <c r="AC14" s="1900"/>
      <c r="AD14" s="1900"/>
      <c r="AE14" s="1900"/>
      <c r="AF14" s="1900"/>
      <c r="AG14" s="1900"/>
      <c r="AH14" s="1900"/>
      <c r="AI14" s="1900"/>
      <c r="AJ14" s="1900"/>
      <c r="AK14" s="1900"/>
      <c r="AL14" s="1900"/>
      <c r="AM14" s="1900"/>
      <c r="AN14" s="1900"/>
      <c r="AO14" s="1900"/>
      <c r="AP14" s="1900"/>
      <c r="AQ14" s="1901"/>
      <c r="AS14" s="1012"/>
      <c r="AT14" s="1012" t="str">
        <f>IF(V14="","",V14)</f>
        <v/>
      </c>
      <c r="AU14" s="1012"/>
      <c r="AV14" s="1012"/>
      <c r="AW14" s="1667">
        <v>0</v>
      </c>
    </row>
    <row s="46890" customFormat="1" customHeight="1" ht="14.25" hidden="1">
      <c r="A15" s="1886"/>
      <c r="B15" s="1886"/>
      <c r="C15" s="1886"/>
      <c r="D15" s="1886"/>
      <c r="E15" s="2802"/>
      <c r="F15" s="2802"/>
      <c r="G15" s="2801"/>
      <c r="H15" s="1886"/>
      <c r="I15" s="1886"/>
      <c r="J15" s="1886"/>
      <c r="K15" s="1886"/>
      <c r="L15" s="1886"/>
      <c r="M15" s="1889"/>
      <c r="N15" s="1890"/>
      <c r="O15" s="1890"/>
      <c r="P15" s="863"/>
      <c r="Q15" s="1828"/>
      <c r="R15" s="1829"/>
      <c r="S15" s="1828"/>
      <c r="T15" s="1828"/>
      <c r="U15" s="1830"/>
      <c r="V15" s="1831" t="s">
        <v>532</v>
      </c>
      <c r="W15" s="1832"/>
      <c r="X15" s="1832"/>
      <c r="Y15" s="1832"/>
      <c r="Z15" s="1832"/>
      <c r="AA15" s="1832"/>
      <c r="AB15" s="1832"/>
      <c r="AC15" s="1832"/>
      <c r="AD15" s="1832"/>
      <c r="AE15" s="1832"/>
      <c r="AF15" s="1832"/>
      <c r="AG15" s="1832"/>
      <c r="AH15" s="1832"/>
      <c r="AI15" s="1832"/>
      <c r="AJ15" s="1832"/>
      <c r="AK15" s="1832"/>
      <c r="AL15" s="1832"/>
      <c r="AM15" s="1832"/>
      <c r="AN15" s="1832"/>
      <c r="AO15" s="1832"/>
      <c r="AP15" s="1832"/>
      <c r="AQ15" s="1832"/>
      <c r="AS15" s="1301"/>
      <c r="AT15" s="1301" t="str">
        <f>IF(V15="","",V15)</f>
        <v>Добавить источник для дифференциации</v>
      </c>
      <c r="AU15" s="1301"/>
      <c r="AV15" s="1301"/>
      <c r="AW15" s="1030">
        <v>0</v>
      </c>
    </row>
    <row s="46890" customFormat="1" customHeight="1" ht="14.25" hidden="1">
      <c r="A16" s="1886"/>
      <c r="B16" s="1886"/>
      <c r="C16" s="1886"/>
      <c r="D16" s="1886"/>
      <c r="E16" s="2802"/>
      <c r="F16" s="2801"/>
      <c r="G16" s="1886"/>
      <c r="H16" s="1886"/>
      <c r="I16" s="1886"/>
      <c r="J16" s="1886"/>
      <c r="K16" s="1886"/>
      <c r="L16" s="1886"/>
      <c r="M16" s="1889"/>
      <c r="N16" s="1891"/>
      <c r="O16" s="1891"/>
      <c r="P16" s="863"/>
      <c r="Q16" s="1828"/>
      <c r="R16" s="1829"/>
      <c r="S16" s="1828"/>
      <c r="T16" s="1828"/>
      <c r="U16" s="1834"/>
      <c r="V16" s="1835" t="s">
        <v>321</v>
      </c>
      <c r="W16" s="1836"/>
      <c r="X16" s="1836"/>
      <c r="Y16" s="1836"/>
      <c r="Z16" s="1836"/>
      <c r="AA16" s="1836"/>
      <c r="AB16" s="1836"/>
      <c r="AC16" s="1836"/>
      <c r="AD16" s="1836"/>
      <c r="AE16" s="1836"/>
      <c r="AF16" s="1836"/>
      <c r="AG16" s="1836"/>
      <c r="AH16" s="1836"/>
      <c r="AI16" s="1836"/>
      <c r="AJ16" s="1836"/>
      <c r="AK16" s="1836"/>
      <c r="AL16" s="1836"/>
      <c r="AM16" s="1836"/>
      <c r="AN16" s="1836"/>
      <c r="AO16" s="1836"/>
      <c r="AP16" s="1836"/>
      <c r="AQ16" s="1836"/>
      <c r="AS16" s="1301"/>
      <c r="AT16" s="1301" t="str">
        <f>IF(V16="","",V16)</f>
        <v>Добавить централизованную систему для дифференциации</v>
      </c>
      <c r="AU16" s="1301"/>
      <c r="AV16" s="1301"/>
      <c r="AW16" s="1030">
        <v>0</v>
      </c>
    </row>
    <row s="46890" customFormat="1" customHeight="1" ht="14.25" hidden="1">
      <c r="A17" s="1886"/>
      <c r="B17" s="1886"/>
      <c r="C17" s="1886"/>
      <c r="D17" s="1886"/>
      <c r="E17" s="2801"/>
      <c r="F17" s="1886"/>
      <c r="G17" s="1886"/>
      <c r="H17" s="1886"/>
      <c r="I17" s="1886"/>
      <c r="J17" s="1886"/>
      <c r="K17" s="1886"/>
      <c r="L17" s="1886"/>
      <c r="M17" s="1889"/>
      <c r="N17" s="1891"/>
      <c r="O17" s="1891"/>
      <c r="P17" s="863"/>
      <c r="Q17" s="1828"/>
      <c r="R17" s="1829"/>
      <c r="S17" s="1828"/>
      <c r="T17" s="1828"/>
      <c r="U17" s="1834"/>
      <c r="V17" s="1837" t="s">
        <v>385</v>
      </c>
      <c r="W17" s="1836"/>
      <c r="X17" s="1836"/>
      <c r="Y17" s="1836"/>
      <c r="Z17" s="1836"/>
      <c r="AA17" s="1836"/>
      <c r="AB17" s="1836"/>
      <c r="AC17" s="1836"/>
      <c r="AD17" s="1836"/>
      <c r="AE17" s="1836"/>
      <c r="AF17" s="1836"/>
      <c r="AG17" s="1836"/>
      <c r="AH17" s="1836"/>
      <c r="AI17" s="1836"/>
      <c r="AJ17" s="1836"/>
      <c r="AK17" s="1836"/>
      <c r="AL17" s="1836"/>
      <c r="AM17" s="1836"/>
      <c r="AN17" s="1836"/>
      <c r="AO17" s="1836"/>
      <c r="AP17" s="1836"/>
      <c r="AQ17" s="1836"/>
      <c r="AS17" s="1301"/>
      <c r="AT17" s="1301" t="str">
        <f>IF(V17="","",V17)</f>
        <v>Добавить территорию для дифференциации</v>
      </c>
      <c r="AU17" s="1301"/>
      <c r="AV17" s="1301"/>
      <c r="AW17" s="1030">
        <v>0</v>
      </c>
    </row>
    <row customHeight="1" ht="14.25" hidden="1">
      <c r="AF18" s="839"/>
      <c r="AO18" s="839"/>
      <c r="AW18" s="1667">
        <v>0</v>
      </c>
    </row>
    <row customHeight="1" ht="14.25" hidden="1">
      <c r="AG19" s="1872"/>
      <c r="AH19" s="1872"/>
      <c r="AI19" s="1872"/>
      <c r="AJ19" s="1872"/>
      <c r="AK19" s="1873"/>
      <c r="AL19" s="2779"/>
      <c r="AM19" s="2780" t="s">
        <v>63</v>
      </c>
      <c r="AN19" s="2779"/>
      <c r="AO19" s="2780" t="s">
        <v>63</v>
      </c>
      <c r="AW19" s="1667">
        <v>0</v>
      </c>
    </row>
    <row customHeight="1" ht="14.25" hidden="1">
      <c r="AG20" s="1872"/>
      <c r="AH20" s="1872"/>
      <c r="AI20" s="1872"/>
      <c r="AJ20" s="1872"/>
      <c r="AK20" s="1873"/>
      <c r="AL20" s="2779"/>
      <c r="AM20" s="2780"/>
      <c r="AN20" s="2779"/>
      <c r="AO20" s="2780"/>
      <c r="AW20" s="1667">
        <v>0</v>
      </c>
    </row>
    <row customHeight="1" ht="14.25" hidden="1">
      <c r="AG21" s="1872"/>
      <c r="AH21" s="1872"/>
      <c r="AI21" s="1872"/>
      <c r="AJ21" s="1872"/>
      <c r="AK21" s="1873"/>
      <c r="AL21" s="2779"/>
      <c r="AM21" s="2780"/>
      <c r="AN21" s="2779"/>
      <c r="AO21" s="2780"/>
      <c r="AW21" s="1667">
        <v>0</v>
      </c>
    </row>
    <row customHeight="1" ht="14.25" hidden="1">
      <c r="AG22" s="1872"/>
      <c r="AH22" s="1872"/>
      <c r="AI22" s="1872"/>
      <c r="AJ22" s="1872"/>
      <c r="AK22" s="840" t="str">
        <f>AL19&amp;"-"&amp;AN19</f>
        <v>-</v>
      </c>
      <c r="AL22" s="2780"/>
      <c r="AM22" s="2780"/>
      <c r="AN22" s="2780"/>
      <c r="AO22" s="2780"/>
      <c r="AW22" s="1667">
        <v>0</v>
      </c>
    </row>
    <row customHeight="1" ht="14.25" hidden="1">
      <c r="AO23" s="839"/>
      <c r="AW23" s="1667">
        <v>0</v>
      </c>
    </row>
    <row s="46889" customFormat="1" customHeight="1" ht="22.5" hidden="1">
      <c r="A24" s="1667"/>
      <c r="B24" s="1667"/>
      <c r="C24" s="1667"/>
      <c r="D24" s="1667"/>
      <c r="E24" s="1667"/>
      <c r="F24" s="1667"/>
      <c r="G24" s="1667"/>
      <c r="H24" s="1667"/>
      <c r="I24" s="1667"/>
      <c r="J24" s="1667"/>
      <c r="K24" s="1667"/>
      <c r="L24" s="1667"/>
      <c r="M24" s="1839"/>
      <c r="N24" s="1840"/>
      <c r="O24" s="1840"/>
      <c r="P24" s="1857" t="s">
        <v>533</v>
      </c>
      <c r="Q24" s="1874"/>
      <c r="R24" s="1883"/>
      <c r="S24" s="1883"/>
      <c r="T24" s="1883"/>
      <c r="U24" s="1241"/>
      <c r="AC24" s="1879"/>
      <c r="AE24" s="1879"/>
      <c r="AF24" s="1878"/>
      <c r="AL24" s="1879"/>
      <c r="AN24" s="1879"/>
      <c r="AO24" s="1878"/>
      <c r="AR24" s="1023"/>
      <c r="AS24" s="1023"/>
      <c r="AT24" s="1023"/>
      <c r="AU24" s="1023"/>
      <c r="AV24" s="1023"/>
      <c r="AW24" s="1672">
        <v>0</v>
      </c>
    </row>
    <row s="46889" customFormat="1" customHeight="1" ht="14.25" hidden="1">
      <c r="A25" s="1667"/>
      <c r="B25" s="1667"/>
      <c r="C25" s="1667"/>
      <c r="D25" s="1667"/>
      <c r="E25" s="1667"/>
      <c r="F25" s="1667"/>
      <c r="G25" s="1667"/>
      <c r="H25" s="1667"/>
      <c r="I25" s="1667"/>
      <c r="J25" s="1667"/>
      <c r="K25" s="1667"/>
      <c r="L25" s="1667"/>
      <c r="M25" s="1839"/>
      <c r="N25" s="1840"/>
      <c r="O25" s="1840"/>
      <c r="P25" s="1840"/>
      <c r="Q25" s="1874"/>
      <c r="R25" s="1883"/>
      <c r="S25" s="1883"/>
      <c r="T25" s="1883"/>
      <c r="U25" s="1241"/>
      <c r="AF25" s="1878"/>
      <c r="AO25" s="1878"/>
      <c r="AR25" s="1023"/>
      <c r="AS25" s="1023"/>
      <c r="AT25" s="1023"/>
      <c r="AU25" s="1023"/>
      <c r="AV25" s="1023"/>
      <c r="AW25" s="1672">
        <v>0</v>
      </c>
    </row>
    <row s="46889" customFormat="1" customHeight="1" ht="14.25" hidden="1">
      <c r="A26" s="1667"/>
      <c r="B26" s="1667"/>
      <c r="C26" s="1667"/>
      <c r="D26" s="1667"/>
      <c r="E26" s="1667"/>
      <c r="F26" s="1667"/>
      <c r="G26" s="1667"/>
      <c r="H26" s="1667"/>
      <c r="I26" s="1667"/>
      <c r="J26" s="1667"/>
      <c r="K26" s="1667"/>
      <c r="L26" s="1667"/>
      <c r="M26" s="1839"/>
      <c r="N26" s="1840"/>
      <c r="O26" s="1840"/>
      <c r="P26" s="1822" t="s">
        <v>534</v>
      </c>
      <c r="Q26" s="1874"/>
      <c r="R26" s="1883"/>
      <c r="S26" s="1883"/>
      <c r="T26" s="1883"/>
      <c r="U26" s="1241"/>
      <c r="V26" s="1672" t="s">
        <v>535</v>
      </c>
      <c r="AD26" s="698" t="s">
        <v>536</v>
      </c>
      <c r="AF26" s="698" t="s">
        <v>537</v>
      </c>
      <c r="AG26" s="1672" t="s">
        <v>535</v>
      </c>
      <c r="AM26" s="698" t="s">
        <v>538</v>
      </c>
      <c r="AO26" s="698" t="s">
        <v>537</v>
      </c>
      <c r="AR26" s="1023"/>
      <c r="AS26" s="1023"/>
      <c r="AT26" s="1023"/>
      <c r="AU26" s="1023"/>
      <c r="AV26" s="1023"/>
      <c r="AW26" s="1672">
        <v>0</v>
      </c>
    </row>
    <row customHeight="1" ht="14.25" hidden="1">
      <c r="P27" s="1822"/>
      <c r="AW27" s="1667">
        <v>0</v>
      </c>
    </row>
    <row customHeight="1" ht="14.25" hidden="1">
      <c r="P28" s="1822"/>
      <c r="AW28" s="1667">
        <v>0</v>
      </c>
    </row>
    <row customHeight="1" ht="14.699999999999998">
      <c r="R29" s="888"/>
      <c r="S29" s="888"/>
      <c r="T29" s="888"/>
      <c r="U29" s="1787"/>
      <c r="V29" s="875"/>
      <c r="W29" s="875"/>
      <c r="X29" s="1021"/>
      <c r="Y29" s="1021"/>
      <c r="Z29" s="1021"/>
      <c r="AA29" s="1021"/>
      <c r="AB29" s="1021"/>
      <c r="AC29" s="1021"/>
      <c r="AD29" s="1021"/>
      <c r="AE29" s="1021"/>
      <c r="AF29" s="1021"/>
      <c r="AG29" s="1021"/>
      <c r="AH29" s="1021"/>
      <c r="AI29" s="1021"/>
      <c r="AJ29" s="1021"/>
      <c r="AK29" s="1021"/>
      <c r="AL29" s="1021"/>
      <c r="AM29" s="1021"/>
      <c r="AN29" s="1021"/>
      <c r="AO29" s="1021"/>
      <c r="AW29" s="1667">
        <v>14</v>
      </c>
    </row>
    <row customHeight="1" ht="56.699999999999996">
      <c r="R30" s="888"/>
      <c r="S30" s="888"/>
      <c r="T30" s="888"/>
      <c r="U30" s="2760"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760"/>
      <c r="W30" s="2760"/>
      <c r="X30" s="2760"/>
      <c r="Y30" s="2760"/>
      <c r="Z30" s="2760"/>
      <c r="AA30" s="2760"/>
      <c r="AB30" s="2760"/>
      <c r="AC30" s="2760"/>
      <c r="AD30" s="2760"/>
      <c r="AE30" s="2760"/>
      <c r="AF30" s="2760"/>
      <c r="AG30" s="2760"/>
      <c r="AH30" s="2760"/>
      <c r="AI30" s="2760"/>
      <c r="AJ30" s="2760"/>
      <c r="AK30" s="2760"/>
      <c r="AL30" s="2760"/>
      <c r="AM30" s="2760"/>
      <c r="AN30" s="2760"/>
      <c r="AO30" s="1755"/>
      <c r="AW30" s="1667">
        <v>54</v>
      </c>
    </row>
    <row customHeight="1" ht="14.699999999999998">
      <c r="R31" s="888"/>
      <c r="S31" s="888"/>
      <c r="T31" s="888"/>
      <c r="U31" s="2761" t="str">
        <f>IF(org=0,"Не определено",org)</f>
        <v>КГУП "Примтеплоэнерго"</v>
      </c>
      <c r="V31" s="2761"/>
      <c r="W31" s="2761"/>
      <c r="X31" s="2761"/>
      <c r="Y31" s="2761"/>
      <c r="Z31" s="2761"/>
      <c r="AA31" s="2761"/>
      <c r="AB31" s="2761"/>
      <c r="AC31" s="2761"/>
      <c r="AD31" s="2761"/>
      <c r="AE31" s="2761"/>
      <c r="AF31" s="2761"/>
      <c r="AG31" s="2761"/>
      <c r="AH31" s="2761"/>
      <c r="AI31" s="2761"/>
      <c r="AJ31" s="2761"/>
      <c r="AK31" s="2761"/>
      <c r="AL31" s="2761"/>
      <c r="AM31" s="2761"/>
      <c r="AN31" s="2761"/>
      <c r="AO31" s="1755"/>
      <c r="AW31" s="1667">
        <v>14</v>
      </c>
    </row>
    <row customHeight="1" ht="14.25">
      <c r="R32" s="888"/>
      <c r="S32" s="888"/>
      <c r="T32" s="888"/>
      <c r="U32" s="1787"/>
      <c r="V32" s="875"/>
      <c r="W32" s="875"/>
      <c r="X32" s="834"/>
      <c r="Y32" s="834"/>
      <c r="Z32" s="834"/>
      <c r="AA32" s="834"/>
      <c r="AB32" s="834"/>
      <c r="AC32" s="834"/>
      <c r="AD32" s="834"/>
      <c r="AE32" s="834"/>
      <c r="AF32" s="834"/>
      <c r="AG32" s="834"/>
      <c r="AH32" s="834"/>
      <c r="AI32" s="834"/>
      <c r="AJ32" s="834"/>
      <c r="AK32" s="834"/>
      <c r="AL32" s="834"/>
      <c r="AM32" s="834"/>
      <c r="AN32" s="834"/>
      <c r="AO32" s="834"/>
      <c r="AP32" s="1021"/>
      <c r="AW32" s="1667">
        <v>0</v>
      </c>
    </row>
    <row s="47026" customFormat="1" customHeight="1" ht="25.5">
      <c r="A33" s="1760"/>
      <c r="B33" s="1760"/>
      <c r="C33" s="1760"/>
      <c r="D33" s="1760"/>
      <c r="E33" s="1760"/>
      <c r="F33" s="1760"/>
      <c r="G33" s="1760"/>
      <c r="H33" s="1760"/>
      <c r="I33" s="1760"/>
      <c r="J33" s="1760"/>
      <c r="K33" s="1760"/>
      <c r="L33" s="1760"/>
      <c r="M33" s="1892"/>
      <c r="N33" s="1760"/>
      <c r="O33" s="1760"/>
      <c r="P33" s="1760"/>
      <c r="U33" s="2762" t="s">
        <v>42</v>
      </c>
      <c r="V33" s="2762"/>
      <c r="W33" s="1884"/>
      <c r="X33" s="2763" t="str">
        <f>IF(TITLE_NAME_OR_PR_CHANGE="",IF(TITLE_NAME_OR_PR="","",TITLE_NAME_OR_PR),TITLE_NAME_OR_PR_CHANGE)</f>
        <v>Агентство по тарифам Приморского края</v>
      </c>
      <c r="Y33" s="2763"/>
      <c r="Z33" s="2763"/>
      <c r="AA33" s="2763"/>
      <c r="AB33" s="2763"/>
      <c r="AC33" s="2763"/>
      <c r="AD33" s="2763"/>
      <c r="AE33" s="2763"/>
      <c r="AF33" s="838"/>
      <c r="AG33" s="2763" t="str">
        <f>IF(TITLE_NAME_OR_PR_CHANGE="",IF(TITLE_NAME_OR_PR="","",TITLE_NAME_OR_PR),TITLE_NAME_OR_PR_CHANGE)</f>
        <v>Агентство по тарифам Приморского края</v>
      </c>
      <c r="AH33" s="2763"/>
      <c r="AI33" s="2763"/>
      <c r="AJ33" s="2763"/>
      <c r="AK33" s="2763"/>
      <c r="AL33" s="2763"/>
      <c r="AM33" s="2763"/>
      <c r="AN33" s="2763"/>
      <c r="AO33" s="838"/>
      <c r="AP33" s="838"/>
      <c r="AQ33" s="792"/>
      <c r="AR33" s="880"/>
      <c r="AS33" s="880"/>
      <c r="AT33" s="880"/>
      <c r="AU33" s="880"/>
      <c r="AV33" s="880"/>
      <c r="AW33" s="930">
        <v>0</v>
      </c>
    </row>
    <row s="47026" customFormat="1" customHeight="1" ht="18.75">
      <c r="A34" s="1760"/>
      <c r="B34" s="1760"/>
      <c r="C34" s="1760"/>
      <c r="D34" s="1760"/>
      <c r="E34" s="1760"/>
      <c r="F34" s="1760"/>
      <c r="G34" s="1760"/>
      <c r="H34" s="1760"/>
      <c r="I34" s="1760"/>
      <c r="J34" s="1760"/>
      <c r="K34" s="1760"/>
      <c r="L34" s="1760"/>
      <c r="M34" s="1892"/>
      <c r="N34" s="1760"/>
      <c r="O34" s="1760"/>
      <c r="P34" s="1760"/>
      <c r="U34" s="2762" t="s">
        <v>539</v>
      </c>
      <c r="V34" s="2762"/>
      <c r="W34" s="1884"/>
      <c r="X34" s="2776" t="str">
        <f>IF(TITLE_DATE_PR_CHANGE="",IF(TITLE_DATE_PR="","",TITLE_DATE_PR),TITLE_DATE_PR_CHANGE)</f>
        <v>45631.495844907404</v>
      </c>
      <c r="Y34" s="2776"/>
      <c r="Z34" s="2776"/>
      <c r="AA34" s="2776"/>
      <c r="AB34" s="2776"/>
      <c r="AC34" s="2776"/>
      <c r="AD34" s="2776"/>
      <c r="AE34" s="2776"/>
      <c r="AF34" s="838"/>
      <c r="AG34" s="2776" t="str">
        <f>IF(TITLE_DATE_PR_CHANGE="",IF(TITLE_DATE_PR="","",TITLE_DATE_PR),TITLE_DATE_PR_CHANGE)</f>
        <v>45631.495844907404</v>
      </c>
      <c r="AH34" s="2776"/>
      <c r="AI34" s="2776"/>
      <c r="AJ34" s="2776"/>
      <c r="AK34" s="2776"/>
      <c r="AL34" s="2776"/>
      <c r="AM34" s="2776"/>
      <c r="AN34" s="2776"/>
      <c r="AO34" s="838"/>
      <c r="AP34" s="838"/>
      <c r="AQ34" s="792"/>
      <c r="AR34" s="880"/>
      <c r="AS34" s="880"/>
      <c r="AT34" s="880"/>
      <c r="AU34" s="880"/>
      <c r="AV34" s="880"/>
      <c r="AW34" s="930">
        <v>0</v>
      </c>
    </row>
    <row s="47026" customFormat="1" customHeight="1" ht="18.75">
      <c r="A35" s="1760"/>
      <c r="B35" s="1760"/>
      <c r="C35" s="1760"/>
      <c r="D35" s="1760"/>
      <c r="E35" s="1760"/>
      <c r="F35" s="1760"/>
      <c r="G35" s="1760"/>
      <c r="H35" s="1760"/>
      <c r="I35" s="1760"/>
      <c r="J35" s="1760"/>
      <c r="K35" s="1760"/>
      <c r="L35" s="1760"/>
      <c r="M35" s="1892"/>
      <c r="N35" s="1760"/>
      <c r="O35" s="1760"/>
      <c r="P35" s="1760"/>
      <c r="U35" s="2762" t="s">
        <v>540</v>
      </c>
      <c r="V35" s="2762"/>
      <c r="W35" s="1884"/>
      <c r="X35" s="2763" t="str">
        <f>IF(TITLE_NUMBER_PR_CHANGE="",IF(TITLE_NUMBER_PR="","",TITLE_NUMBER_PR),TITLE_NUMBER_PR_CHANGE)</f>
        <v>53/9</v>
      </c>
      <c r="Y35" s="2763"/>
      <c r="Z35" s="2763"/>
      <c r="AA35" s="2763"/>
      <c r="AB35" s="2763"/>
      <c r="AC35" s="2763"/>
      <c r="AD35" s="2763"/>
      <c r="AE35" s="2763"/>
      <c r="AF35" s="838"/>
      <c r="AG35" s="2763" t="str">
        <f>IF(TITLE_NUMBER_PR_CHANGE="",IF(TITLE_NUMBER_PR="","",TITLE_NUMBER_PR),TITLE_NUMBER_PR_CHANGE)</f>
        <v>53/9</v>
      </c>
      <c r="AH35" s="2763"/>
      <c r="AI35" s="2763"/>
      <c r="AJ35" s="2763"/>
      <c r="AK35" s="2763"/>
      <c r="AL35" s="2763"/>
      <c r="AM35" s="2763"/>
      <c r="AN35" s="2763"/>
      <c r="AO35" s="838"/>
      <c r="AP35" s="838"/>
      <c r="AQ35" s="792"/>
      <c r="AR35" s="880"/>
      <c r="AS35" s="880"/>
      <c r="AT35" s="880"/>
      <c r="AU35" s="880"/>
      <c r="AV35" s="880"/>
      <c r="AW35" s="930">
        <v>0</v>
      </c>
    </row>
    <row s="47026" customFormat="1" customHeight="1" ht="18.75">
      <c r="A36" s="1760"/>
      <c r="B36" s="1760"/>
      <c r="C36" s="1760"/>
      <c r="D36" s="1760"/>
      <c r="E36" s="1760"/>
      <c r="F36" s="1760"/>
      <c r="G36" s="1760"/>
      <c r="H36" s="1760"/>
      <c r="I36" s="1760"/>
      <c r="J36" s="1760"/>
      <c r="K36" s="1760"/>
      <c r="L36" s="1760"/>
      <c r="M36" s="1892"/>
      <c r="N36" s="1760"/>
      <c r="O36" s="1760"/>
      <c r="P36" s="1760"/>
      <c r="U36" s="2762" t="s">
        <v>44</v>
      </c>
      <c r="V36" s="2762"/>
      <c r="W36" s="1884"/>
      <c r="X36" s="2763" t="str">
        <f>IF(TITLE_IST_PUB_CHANGE="",IF(TITLE_IST_PUB="","",TITLE_IST_PUB),TITLE_IST_PUB_CHANGE)</f>
        <v>http://pravo.gov.ru</v>
      </c>
      <c r="Y36" s="2763"/>
      <c r="Z36" s="2763"/>
      <c r="AA36" s="2763"/>
      <c r="AB36" s="2763"/>
      <c r="AC36" s="2763"/>
      <c r="AD36" s="2763"/>
      <c r="AE36" s="2763"/>
      <c r="AF36" s="838"/>
      <c r="AG36" s="2763" t="str">
        <f>IF(TITLE_IST_PUB_CHANGE="",IF(TITLE_IST_PUB="","",TITLE_IST_PUB),TITLE_IST_PUB_CHANGE)</f>
        <v>http://pravo.gov.ru</v>
      </c>
      <c r="AH36" s="2763"/>
      <c r="AI36" s="2763"/>
      <c r="AJ36" s="2763"/>
      <c r="AK36" s="2763"/>
      <c r="AL36" s="2763"/>
      <c r="AM36" s="2763"/>
      <c r="AN36" s="2763"/>
      <c r="AO36" s="838"/>
      <c r="AP36" s="838"/>
      <c r="AQ36" s="792"/>
      <c r="AR36" s="880"/>
      <c r="AS36" s="880"/>
      <c r="AT36" s="880"/>
      <c r="AU36" s="880"/>
      <c r="AV36" s="880"/>
      <c r="AW36" s="930">
        <v>0</v>
      </c>
    </row>
    <row customHeight="1" ht="14.25" hidden="1">
      <c r="R37" s="888"/>
      <c r="S37" s="888"/>
      <c r="T37" s="888"/>
      <c r="U37" s="1787"/>
      <c r="V37" s="875"/>
      <c r="W37" s="875"/>
      <c r="X37" s="834"/>
      <c r="Y37" s="834"/>
      <c r="Z37" s="834"/>
      <c r="AA37" s="834"/>
      <c r="AB37" s="834"/>
      <c r="AC37" s="834"/>
      <c r="AD37" s="834"/>
      <c r="AE37" s="834"/>
      <c r="AF37" s="834"/>
      <c r="AG37" s="834"/>
      <c r="AH37" s="834"/>
      <c r="AI37" s="834"/>
      <c r="AJ37" s="834"/>
      <c r="AK37" s="834"/>
      <c r="AL37" s="834"/>
      <c r="AM37" s="834"/>
      <c r="AN37" s="834"/>
      <c r="AO37" s="834"/>
      <c r="AP37" s="1021"/>
      <c r="AW37" s="1667">
        <v>0</v>
      </c>
    </row>
    <row s="47026" customFormat="1" customHeight="1" ht="18.75" hidden="1">
      <c r="A38" s="1760"/>
      <c r="B38" s="1760"/>
      <c r="C38" s="1760"/>
      <c r="D38" s="1760"/>
      <c r="E38" s="1760"/>
      <c r="F38" s="1760"/>
      <c r="G38" s="1760"/>
      <c r="H38" s="1760"/>
      <c r="I38" s="1760"/>
      <c r="J38" s="1760"/>
      <c r="K38" s="1760"/>
      <c r="L38" s="1760"/>
      <c r="M38" s="1892"/>
      <c r="N38" s="1760"/>
      <c r="O38" s="1760"/>
      <c r="P38" s="1760"/>
      <c r="U38" s="2762" t="s">
        <v>541</v>
      </c>
      <c r="V38" s="2762"/>
      <c r="W38" s="1884"/>
      <c r="X38" s="2776" t="str">
        <f>IF(TITLE_DATE_PR_CHANGE="",IF(TITLE_DATE_PR="","",TITLE_DATE_PR),TITLE_DATE_PR_CHANGE)</f>
        <v>45631.495844907404</v>
      </c>
      <c r="Y38" s="2776"/>
      <c r="Z38" s="2776"/>
      <c r="AA38" s="2776"/>
      <c r="AB38" s="2776"/>
      <c r="AC38" s="2776"/>
      <c r="AD38" s="2776"/>
      <c r="AE38" s="2776"/>
      <c r="AF38" s="838"/>
      <c r="AG38" s="2776" t="str">
        <f>IF(TITLE_DATE_PR_CHANGE="",IF(TITLE_DATE_PR="","",TITLE_DATE_PR),TITLE_DATE_PR_CHANGE)</f>
        <v>45631.495844907404</v>
      </c>
      <c r="AH38" s="2776"/>
      <c r="AI38" s="2776"/>
      <c r="AJ38" s="2776"/>
      <c r="AK38" s="2776"/>
      <c r="AL38" s="2776"/>
      <c r="AM38" s="2776"/>
      <c r="AN38" s="2776"/>
      <c r="AO38" s="838"/>
      <c r="AP38" s="838"/>
      <c r="AQ38" s="792"/>
      <c r="AR38" s="880"/>
      <c r="AS38" s="880"/>
      <c r="AT38" s="880"/>
      <c r="AU38" s="880"/>
      <c r="AV38" s="880"/>
      <c r="AW38" s="930">
        <v>0</v>
      </c>
    </row>
    <row s="47026" customFormat="1" customHeight="1" ht="18.75" hidden="1">
      <c r="A39" s="1760"/>
      <c r="B39" s="1760"/>
      <c r="C39" s="1760"/>
      <c r="D39" s="1760"/>
      <c r="E39" s="1760"/>
      <c r="F39" s="1760"/>
      <c r="G39" s="1760"/>
      <c r="H39" s="1760"/>
      <c r="I39" s="1760"/>
      <c r="J39" s="1760"/>
      <c r="K39" s="1760"/>
      <c r="L39" s="1760"/>
      <c r="M39" s="1892"/>
      <c r="N39" s="1760"/>
      <c r="O39" s="1760"/>
      <c r="P39" s="1760"/>
      <c r="U39" s="2762" t="s">
        <v>542</v>
      </c>
      <c r="V39" s="2762"/>
      <c r="W39" s="1884"/>
      <c r="X39" s="2763" t="str">
        <f>IF(TITLE_NUMBER_PR_CHANGE="",IF(TITLE_NUMBER_PR="","",TITLE_NUMBER_PR),TITLE_NUMBER_PR_CHANGE)</f>
        <v>53/9</v>
      </c>
      <c r="Y39" s="2763"/>
      <c r="Z39" s="2763"/>
      <c r="AA39" s="2763"/>
      <c r="AB39" s="2763"/>
      <c r="AC39" s="2763"/>
      <c r="AD39" s="2763"/>
      <c r="AE39" s="2763"/>
      <c r="AF39" s="838"/>
      <c r="AG39" s="2763" t="str">
        <f>IF(TITLE_NUMBER_PR_CHANGE="",IF(TITLE_NUMBER_PR="","",TITLE_NUMBER_PR),TITLE_NUMBER_PR_CHANGE)</f>
        <v>53/9</v>
      </c>
      <c r="AH39" s="2763"/>
      <c r="AI39" s="2763"/>
      <c r="AJ39" s="2763"/>
      <c r="AK39" s="2763"/>
      <c r="AL39" s="2763"/>
      <c r="AM39" s="2763"/>
      <c r="AN39" s="2763"/>
      <c r="AO39" s="838"/>
      <c r="AP39" s="838"/>
      <c r="AQ39" s="792"/>
      <c r="AR39" s="880"/>
      <c r="AS39" s="880"/>
      <c r="AT39" s="880"/>
      <c r="AU39" s="880"/>
      <c r="AV39" s="880"/>
      <c r="AW39" s="930">
        <v>0</v>
      </c>
    </row>
    <row s="47026" customFormat="1" customHeight="1" ht="0">
      <c r="A40" s="1760"/>
      <c r="B40" s="1760"/>
      <c r="C40" s="1760"/>
      <c r="D40" s="1760"/>
      <c r="E40" s="1760"/>
      <c r="F40" s="1760"/>
      <c r="G40" s="1760"/>
      <c r="H40" s="1760"/>
      <c r="I40" s="1760"/>
      <c r="J40" s="1760"/>
      <c r="K40" s="1760"/>
      <c r="L40" s="1760"/>
      <c r="M40" s="1892"/>
      <c r="N40" s="1760"/>
      <c r="O40" s="1760"/>
      <c r="P40" s="1760"/>
      <c r="U40" s="835"/>
      <c r="V40" s="835"/>
      <c r="W40" s="1852"/>
      <c r="X40" s="838"/>
      <c r="Y40" s="838"/>
      <c r="Z40" s="838"/>
      <c r="AA40" s="838"/>
      <c r="AB40" s="838"/>
      <c r="AC40" s="838"/>
      <c r="AD40" s="838"/>
      <c r="AE40" s="838"/>
      <c r="AF40" s="790" t="s">
        <v>543</v>
      </c>
      <c r="AG40" s="838"/>
      <c r="AH40" s="838"/>
      <c r="AI40" s="838"/>
      <c r="AJ40" s="838"/>
      <c r="AK40" s="838"/>
      <c r="AL40" s="838"/>
      <c r="AM40" s="838"/>
      <c r="AN40" s="838"/>
      <c r="AO40" s="790" t="s">
        <v>543</v>
      </c>
      <c r="AR40" s="880"/>
      <c r="AS40" s="880"/>
      <c r="AT40" s="880"/>
      <c r="AU40" s="880"/>
      <c r="AV40" s="880"/>
      <c r="AW40" s="930">
        <v>0</v>
      </c>
    </row>
    <row customHeight="1" ht="14.699999999999998">
      <c r="R41" s="888"/>
      <c r="S41" s="888"/>
      <c r="T41" s="888"/>
      <c r="U41" s="1787"/>
      <c r="V41" s="875"/>
      <c r="W41" s="1756"/>
      <c r="X41" s="2764"/>
      <c r="Y41" s="2764"/>
      <c r="Z41" s="2764"/>
      <c r="AA41" s="2764"/>
      <c r="AB41" s="2764"/>
      <c r="AC41" s="2764"/>
      <c r="AD41" s="2764"/>
      <c r="AE41" s="2764"/>
      <c r="AF41" s="2764"/>
      <c r="AG41" s="2764"/>
      <c r="AH41" s="2764"/>
      <c r="AI41" s="2764"/>
      <c r="AJ41" s="2764"/>
      <c r="AK41" s="2764"/>
      <c r="AL41" s="2764"/>
      <c r="AM41" s="2764"/>
      <c r="AN41" s="2764"/>
      <c r="AO41" s="2764"/>
      <c r="AW41" s="1667">
        <v>14</v>
      </c>
    </row>
    <row customHeight="1" ht="14.699999999999998">
      <c r="R42" s="888"/>
      <c r="S42" s="888"/>
      <c r="T42" s="888"/>
      <c r="U42" s="2639" t="s">
        <v>418</v>
      </c>
      <c r="V42" s="2639"/>
      <c r="W42" s="2639"/>
      <c r="X42" s="2639"/>
      <c r="Y42" s="2639"/>
      <c r="Z42" s="2639"/>
      <c r="AA42" s="2639"/>
      <c r="AB42" s="2639"/>
      <c r="AC42" s="2639"/>
      <c r="AD42" s="2639"/>
      <c r="AE42" s="2639"/>
      <c r="AF42" s="2639"/>
      <c r="AG42" s="2639"/>
      <c r="AH42" s="2639"/>
      <c r="AI42" s="2639"/>
      <c r="AJ42" s="2639"/>
      <c r="AK42" s="2639"/>
      <c r="AL42" s="2639"/>
      <c r="AM42" s="2639"/>
      <c r="AN42" s="2639"/>
      <c r="AO42" s="2639"/>
      <c r="AP42" s="2639"/>
      <c r="AQ42" s="2639" t="s">
        <v>419</v>
      </c>
      <c r="AW42" s="1667">
        <v>14</v>
      </c>
    </row>
    <row customHeight="1" ht="14.699999999999998">
      <c r="R43" s="888"/>
      <c r="S43" s="888"/>
      <c r="T43" s="888"/>
      <c r="U43" s="2785" t="s">
        <v>90</v>
      </c>
      <c r="V43" s="2721" t="s">
        <v>544</v>
      </c>
      <c r="W43" s="813"/>
      <c r="X43" s="2786" t="s">
        <v>545</v>
      </c>
      <c r="Y43" s="2803"/>
      <c r="Z43" s="2803"/>
      <c r="AA43" s="2803"/>
      <c r="AB43" s="2803"/>
      <c r="AC43" s="2787"/>
      <c r="AD43" s="2787"/>
      <c r="AE43" s="2788"/>
      <c r="AF43" s="2789" t="s">
        <v>546</v>
      </c>
      <c r="AG43" s="2786" t="s">
        <v>545</v>
      </c>
      <c r="AH43" s="2803"/>
      <c r="AI43" s="2803"/>
      <c r="AJ43" s="2803"/>
      <c r="AK43" s="2803"/>
      <c r="AL43" s="2787"/>
      <c r="AM43" s="2787"/>
      <c r="AN43" s="2788"/>
      <c r="AO43" s="2789" t="s">
        <v>547</v>
      </c>
      <c r="AP43" s="2792" t="s">
        <v>548</v>
      </c>
      <c r="AQ43" s="2639"/>
      <c r="AW43" s="1667">
        <v>14</v>
      </c>
    </row>
    <row customHeight="1" ht="35.699999999999996">
      <c r="R44" s="888"/>
      <c r="S44" s="888"/>
      <c r="T44" s="888"/>
      <c r="U44" s="2785"/>
      <c r="V44" s="2721"/>
      <c r="W44" s="1543"/>
      <c r="X44" s="2806" t="s">
        <v>570</v>
      </c>
      <c r="Y44" s="2824" t="s">
        <v>571</v>
      </c>
      <c r="Z44" s="2824"/>
      <c r="AA44" s="2824"/>
      <c r="AB44" s="2824"/>
      <c r="AC44" s="2806" t="s">
        <v>552</v>
      </c>
      <c r="AD44" s="3123"/>
      <c r="AE44" s="2826"/>
      <c r="AF44" s="2790"/>
      <c r="AG44" s="2806" t="s">
        <v>570</v>
      </c>
      <c r="AH44" s="2824" t="s">
        <v>571</v>
      </c>
      <c r="AI44" s="2824"/>
      <c r="AJ44" s="2824"/>
      <c r="AK44" s="2824"/>
      <c r="AL44" s="2806" t="s">
        <v>552</v>
      </c>
      <c r="AM44" s="3123"/>
      <c r="AN44" s="2826"/>
      <c r="AO44" s="2790"/>
      <c r="AP44" s="2793"/>
      <c r="AQ44" s="2639"/>
      <c r="AW44" s="1667">
        <v>34</v>
      </c>
    </row>
    <row customHeight="1" ht="14.699999999999998">
      <c r="R45" s="888"/>
      <c r="S45" s="888"/>
      <c r="T45" s="888"/>
      <c r="U45" s="2785"/>
      <c r="V45" s="2721"/>
      <c r="W45" s="1543"/>
      <c r="X45" s="2837"/>
      <c r="Y45" s="2829" t="s">
        <v>572</v>
      </c>
      <c r="Z45" s="2782" t="s">
        <v>573</v>
      </c>
      <c r="AA45" s="2832"/>
      <c r="AB45" s="2783"/>
      <c r="AC45" s="2807"/>
      <c r="AD45" s="3124"/>
      <c r="AE45" s="2828"/>
      <c r="AF45" s="2790"/>
      <c r="AG45" s="2837"/>
      <c r="AH45" s="2829" t="s">
        <v>572</v>
      </c>
      <c r="AI45" s="2782" t="s">
        <v>573</v>
      </c>
      <c r="AJ45" s="2832"/>
      <c r="AK45" s="2783"/>
      <c r="AL45" s="2807"/>
      <c r="AM45" s="3124"/>
      <c r="AN45" s="2828"/>
      <c r="AO45" s="2790"/>
      <c r="AP45" s="2793"/>
      <c r="AQ45" s="2639"/>
      <c r="AW45" s="1667">
        <v>14</v>
      </c>
    </row>
    <row customHeight="1" ht="27.299999999999997">
      <c r="R46" s="888"/>
      <c r="S46" s="888"/>
      <c r="T46" s="888"/>
      <c r="U46" s="2785"/>
      <c r="V46" s="2721"/>
      <c r="W46" s="1543"/>
      <c r="X46" s="2837"/>
      <c r="Y46" s="2830"/>
      <c r="Z46" s="2829" t="s">
        <v>574</v>
      </c>
      <c r="AA46" s="2782" t="s">
        <v>575</v>
      </c>
      <c r="AB46" s="2783"/>
      <c r="AC46" s="2829" t="s">
        <v>562</v>
      </c>
      <c r="AD46" s="2833" t="s">
        <v>563</v>
      </c>
      <c r="AE46" s="2834"/>
      <c r="AF46" s="2790"/>
      <c r="AG46" s="2837"/>
      <c r="AH46" s="2830"/>
      <c r="AI46" s="2829" t="s">
        <v>574</v>
      </c>
      <c r="AJ46" s="2782" t="s">
        <v>575</v>
      </c>
      <c r="AK46" s="2783"/>
      <c r="AL46" s="2829" t="s">
        <v>562</v>
      </c>
      <c r="AM46" s="2833" t="s">
        <v>563</v>
      </c>
      <c r="AN46" s="2834"/>
      <c r="AO46" s="2790"/>
      <c r="AP46" s="2793"/>
      <c r="AQ46" s="2639"/>
      <c r="AW46" s="1667">
        <v>26</v>
      </c>
    </row>
    <row customHeight="1" ht="65.25">
      <c r="A47" s="1771"/>
      <c r="B47" s="1771" t="s">
        <v>191</v>
      </c>
      <c r="C47" s="1771" t="s">
        <v>192</v>
      </c>
      <c r="D47" s="1771" t="s">
        <v>193</v>
      </c>
      <c r="E47" s="1822" t="s">
        <v>553</v>
      </c>
      <c r="F47" s="1822" t="s">
        <v>554</v>
      </c>
      <c r="G47" s="1822" t="s">
        <v>555</v>
      </c>
      <c r="H47" s="1822" t="s">
        <v>556</v>
      </c>
      <c r="I47" s="1822" t="s">
        <v>557</v>
      </c>
      <c r="J47" s="1822" t="s">
        <v>558</v>
      </c>
      <c r="K47" s="1822" t="s">
        <v>559</v>
      </c>
      <c r="L47" s="1822" t="s">
        <v>576</v>
      </c>
      <c r="M47" s="1822" t="s">
        <v>534</v>
      </c>
      <c r="R47" s="888"/>
      <c r="S47" s="888"/>
      <c r="T47" s="888"/>
      <c r="U47" s="2785"/>
      <c r="V47" s="2721"/>
      <c r="W47" s="814"/>
      <c r="X47" s="2807"/>
      <c r="Y47" s="2831"/>
      <c r="Z47" s="2831"/>
      <c r="AA47" s="1734" t="s">
        <v>577</v>
      </c>
      <c r="AB47" s="1734" t="s">
        <v>578</v>
      </c>
      <c r="AC47" s="2831"/>
      <c r="AD47" s="2835"/>
      <c r="AE47" s="2836"/>
      <c r="AF47" s="2791"/>
      <c r="AG47" s="2807"/>
      <c r="AH47" s="2831"/>
      <c r="AI47" s="2831"/>
      <c r="AJ47" s="1734" t="s">
        <v>577</v>
      </c>
      <c r="AK47" s="1734" t="s">
        <v>578</v>
      </c>
      <c r="AL47" s="2831"/>
      <c r="AM47" s="2835"/>
      <c r="AN47" s="2836"/>
      <c r="AO47" s="2791"/>
      <c r="AP47" s="2794"/>
      <c r="AQ47" s="2639"/>
      <c r="AW47" s="1667">
        <v>62</v>
      </c>
    </row>
    <row s="47496" customFormat="1" customHeight="1" ht="11.25" hidden="1">
      <c r="A48" s="1771"/>
      <c r="B48" s="1771"/>
      <c r="C48" s="1771"/>
      <c r="D48" s="1771"/>
      <c r="E48" s="1771"/>
      <c r="F48" s="1771"/>
      <c r="G48" s="1771"/>
      <c r="H48" s="1771"/>
      <c r="I48" s="1771"/>
      <c r="J48" s="1771"/>
      <c r="K48" s="1771"/>
      <c r="L48" s="1771"/>
      <c r="M48" s="1822"/>
      <c r="N48" s="1840"/>
      <c r="O48" s="1840"/>
      <c r="P48" s="1840"/>
      <c r="Q48" s="1758"/>
      <c r="R48" s="1759"/>
      <c r="S48" s="1766">
        <v>1</v>
      </c>
      <c r="T48" s="1766"/>
      <c r="U48" s="1789" t="s">
        <v>101</v>
      </c>
      <c r="V48" s="1767" t="s">
        <v>105</v>
      </c>
      <c r="W48" s="1757" t="str">
        <f>OFFSET(W48,0,-1)</f>
        <v>2</v>
      </c>
      <c r="X48" s="1847">
        <f>OFFSET(X48,0,-1)+1</f>
        <v>3</v>
      </c>
      <c r="Y48" s="1853"/>
      <c r="Z48" s="1853"/>
      <c r="AA48" s="1853">
        <f>OFFSET(AA48,0,-1)+1</f>
        <v>1</v>
      </c>
      <c r="AB48" s="1853">
        <f>OFFSET(AB48,0,-1)+1</f>
        <v>2</v>
      </c>
      <c r="AC48" s="1847">
        <f>OFFSET(AC48,0,-1)+1</f>
        <v>3</v>
      </c>
      <c r="AD48" s="2784">
        <f>OFFSET(AD48,0,-1)+1</f>
        <v>4</v>
      </c>
      <c r="AE48" s="2784"/>
      <c r="AF48" s="1847">
        <f>OFFSET(AF48,0,-2)+1</f>
        <v>5</v>
      </c>
      <c r="AG48" s="1847">
        <f>OFFSET(AG48,0,-1)+1</f>
        <v>6</v>
      </c>
      <c r="AH48" s="1847"/>
      <c r="AI48" s="1847"/>
      <c r="AJ48" s="1847">
        <f>OFFSET(AJ48,0,-1)+1</f>
        <v>1</v>
      </c>
      <c r="AK48" s="1847">
        <f>OFFSET(AK48,0,-1)+1</f>
        <v>2</v>
      </c>
      <c r="AL48" s="1847">
        <f>OFFSET(AL48,0,-1)+1</f>
        <v>3</v>
      </c>
      <c r="AM48" s="2784">
        <f>OFFSET(AM48,0,-1)+1</f>
        <v>4</v>
      </c>
      <c r="AN48" s="2784"/>
      <c r="AO48" s="1847">
        <f>OFFSET(AO48,0,-2)+1</f>
        <v>5</v>
      </c>
      <c r="AP48" s="1757">
        <f>OFFSET(AP48,0,-1)</f>
        <v>5</v>
      </c>
      <c r="AQ48" s="1847">
        <f>OFFSET(AQ48,0,-1)+1</f>
        <v>6</v>
      </c>
      <c r="AR48" s="1023"/>
      <c r="AS48" s="1023"/>
      <c r="AT48" s="1023"/>
      <c r="AU48" s="1023"/>
      <c r="AV48" s="1023"/>
      <c r="AW48" s="1008">
        <v>0</v>
      </c>
    </row>
    <row customHeight="1" ht="22.049999999999997">
      <c r="A49" s="1779" t="s">
        <v>225</v>
      </c>
      <c r="B49" s="1779"/>
      <c r="C49" s="1779"/>
      <c r="D49" s="1779"/>
      <c r="E49" s="2801">
        <v>1</v>
      </c>
      <c r="F49" s="1779"/>
      <c r="G49" s="1779"/>
      <c r="H49" s="1779"/>
      <c r="I49" s="1779"/>
      <c r="J49" s="1779"/>
      <c r="K49" s="1779"/>
      <c r="L49" s="1779"/>
      <c r="M49" s="1822"/>
      <c r="N49" s="1200"/>
      <c r="O49" s="1200"/>
      <c r="P49" s="1200"/>
      <c r="Q49" s="873"/>
      <c r="R49" s="872"/>
      <c r="S49" s="872"/>
      <c r="T49" s="867"/>
      <c r="U49" s="1848">
        <f>INDEX(PT_DIFFERENTIATION_NUM_NTAR,MATCH(A49,PT_DIFFERENTIATION_NTAR_ID,0))</f>
        <v>0</v>
      </c>
      <c r="V49" s="810" t="s">
        <v>179</v>
      </c>
      <c r="W49" s="812"/>
      <c r="X49" s="2754"/>
      <c r="Y49" s="2755"/>
      <c r="Z49" s="2755"/>
      <c r="AA49" s="2755"/>
      <c r="AB49" s="2755"/>
      <c r="AC49" s="2755"/>
      <c r="AD49" s="2755"/>
      <c r="AE49" s="2755"/>
      <c r="AF49" s="2756"/>
      <c r="AG49" s="2754" t="str">
        <f>INDEX(PT_DIFFERENTIATION_NTAR,MATCH(A49,PT_DIFFERENTIATION_NTAR_ID,0))</f>
        <v/>
      </c>
      <c r="AH49" s="2755"/>
      <c r="AI49" s="2755"/>
      <c r="AJ49" s="2755"/>
      <c r="AK49" s="2755"/>
      <c r="AL49" s="2755"/>
      <c r="AM49" s="2755"/>
      <c r="AN49" s="2755"/>
      <c r="AO49" s="2755"/>
      <c r="AP49" s="2756"/>
      <c r="AQ49" s="1770"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1012"/>
      <c r="AT49" s="1012" t="str">
        <f>IF(V49="","",V49)</f>
        <v>Наименование тарифа</v>
      </c>
      <c r="AU49" s="1012"/>
      <c r="AV49" s="1012"/>
      <c r="AW49" s="1667">
        <v>21</v>
      </c>
    </row>
    <row customHeight="1" ht="22.049999999999997">
      <c r="A50" s="1779" t="s">
        <v>225</v>
      </c>
      <c r="B50" s="1779" t="s">
        <v>226</v>
      </c>
      <c r="C50" s="1779"/>
      <c r="D50" s="1779"/>
      <c r="E50" s="2802"/>
      <c r="F50" s="2801">
        <v>1</v>
      </c>
      <c r="G50" s="1779"/>
      <c r="H50" s="1779"/>
      <c r="I50" s="1779"/>
      <c r="J50" s="1779"/>
      <c r="K50" s="1779"/>
      <c r="L50" s="1779"/>
      <c r="M50" s="1822"/>
      <c r="N50" s="1200"/>
      <c r="O50" s="1200"/>
      <c r="P50" s="1200"/>
      <c r="Q50" s="1844"/>
      <c r="R50" s="864"/>
      <c r="S50" s="1021"/>
      <c r="T50" s="865"/>
      <c r="U50" s="1848" t="str">
        <f>INDEX(PT_DIFFERENTIATION_NUM_TER,MATCH(B50,PT_DIFFERENTIATION_TER_ID,0))</f>
        <v>.</v>
      </c>
      <c r="V50" s="820" t="s">
        <v>515</v>
      </c>
      <c r="W50" s="812"/>
      <c r="X50" s="2754"/>
      <c r="Y50" s="2755"/>
      <c r="Z50" s="2755"/>
      <c r="AA50" s="2755"/>
      <c r="AB50" s="2755"/>
      <c r="AC50" s="2755"/>
      <c r="AD50" s="2755"/>
      <c r="AE50" s="2755"/>
      <c r="AF50" s="2756"/>
      <c r="AG50" s="2754" t="str">
        <f>INDEX(PT_DIFFERENTIATION_TER,MATCH(B50,PT_DIFFERENTIATION_TER_ID,0))</f>
        <v/>
      </c>
      <c r="AH50" s="2755"/>
      <c r="AI50" s="2755"/>
      <c r="AJ50" s="2755"/>
      <c r="AK50" s="2755"/>
      <c r="AL50" s="2755"/>
      <c r="AM50" s="2755"/>
      <c r="AN50" s="2755"/>
      <c r="AO50" s="2755"/>
      <c r="AP50" s="2756"/>
      <c r="AQ50" s="1770" t="s">
        <v>516</v>
      </c>
      <c r="AS50" s="1012"/>
      <c r="AT50" s="1012" t="str">
        <f>IF(V50="","",V50)</f>
        <v>Территория действия тарифа</v>
      </c>
      <c r="AU50" s="1012"/>
      <c r="AV50" s="1012"/>
      <c r="AW50" s="1667">
        <v>21</v>
      </c>
    </row>
    <row customHeight="1" ht="24">
      <c r="A51" s="1779" t="s">
        <v>225</v>
      </c>
      <c r="B51" s="1779" t="s">
        <v>226</v>
      </c>
      <c r="C51" s="1779" t="s">
        <v>227</v>
      </c>
      <c r="D51" s="1779"/>
      <c r="E51" s="2802"/>
      <c r="F51" s="2802"/>
      <c r="G51" s="2801">
        <v>1</v>
      </c>
      <c r="H51" s="1779"/>
      <c r="I51" s="1779"/>
      <c r="J51" s="1779"/>
      <c r="K51" s="1779"/>
      <c r="L51" s="1779"/>
      <c r="M51" s="1822"/>
      <c r="N51" s="1200"/>
      <c r="O51" s="1200"/>
      <c r="P51" s="1200"/>
      <c r="Q51" s="866"/>
      <c r="R51" s="864"/>
      <c r="S51" s="1021"/>
      <c r="T51" s="865"/>
      <c r="U51" s="1848" t="str">
        <f>INDEX(PT_DIFFERENTIATION_NUM_CS,MATCH(C51,PT_DIFFERENTIATION_CS_ID,0))</f>
        <v>..</v>
      </c>
      <c r="V51" s="821" t="s">
        <v>517</v>
      </c>
      <c r="W51" s="812"/>
      <c r="X51" s="2754"/>
      <c r="Y51" s="2755"/>
      <c r="Z51" s="2755"/>
      <c r="AA51" s="2755"/>
      <c r="AB51" s="2755"/>
      <c r="AC51" s="2755"/>
      <c r="AD51" s="2755"/>
      <c r="AE51" s="2755"/>
      <c r="AF51" s="2756"/>
      <c r="AG51" s="2754" t="str">
        <f>INDEX(PT_DIFFERENTIATION_CS,MATCH(C51,PT_DIFFERENTIATION_CS_ID,0))</f>
        <v/>
      </c>
      <c r="AH51" s="2755"/>
      <c r="AI51" s="2755"/>
      <c r="AJ51" s="2755"/>
      <c r="AK51" s="2755"/>
      <c r="AL51" s="2755"/>
      <c r="AM51" s="2755"/>
      <c r="AN51" s="2755"/>
      <c r="AO51" s="2755"/>
      <c r="AP51" s="2756"/>
      <c r="AQ51" s="1770" t="s">
        <v>518</v>
      </c>
      <c r="AS51" s="1012"/>
      <c r="AT51" s="1012" t="str">
        <f>IF(V51="","",V51)</f>
        <v>Наименование системы теплоснабжения </v>
      </c>
      <c r="AU51" s="1012"/>
      <c r="AV51" s="1012"/>
      <c r="AW51" s="1667">
        <v>23</v>
      </c>
    </row>
    <row customHeight="1" ht="22.049999999999997">
      <c r="A52" s="1779" t="s">
        <v>225</v>
      </c>
      <c r="B52" s="1779" t="s">
        <v>226</v>
      </c>
      <c r="C52" s="1779" t="s">
        <v>227</v>
      </c>
      <c r="D52" s="1779" t="s">
        <v>228</v>
      </c>
      <c r="E52" s="2802"/>
      <c r="F52" s="2802"/>
      <c r="G52" s="2802"/>
      <c r="H52" s="2822">
        <v>1</v>
      </c>
      <c r="I52" s="1779"/>
      <c r="J52" s="1779"/>
      <c r="K52" s="1779"/>
      <c r="L52" s="1779"/>
      <c r="M52" s="1822"/>
      <c r="N52" s="1200"/>
      <c r="O52" s="1200"/>
      <c r="P52" s="1200"/>
      <c r="Q52" s="866"/>
      <c r="R52" s="864"/>
      <c r="S52" s="1021"/>
      <c r="T52" s="865"/>
      <c r="U52" s="1848" t="str">
        <f>INDEX(PT_DIFFERENTIATION_NUM_IST_TE,MATCH(D52,PT_DIFFERENTIATION_IST_TE_ID,0))</f>
        <v>...</v>
      </c>
      <c r="V52" s="822" t="s">
        <v>519</v>
      </c>
      <c r="W52" s="812"/>
      <c r="X52" s="2754"/>
      <c r="Y52" s="2755"/>
      <c r="Z52" s="2755"/>
      <c r="AA52" s="2755"/>
      <c r="AB52" s="2755"/>
      <c r="AC52" s="2755"/>
      <c r="AD52" s="2755"/>
      <c r="AE52" s="2755"/>
      <c r="AF52" s="2756"/>
      <c r="AG52" s="2754" t="str">
        <f>INDEX(PT_DIFFERENTIATION_IST_TE,MATCH(D52,PT_DIFFERENTIATION_IST_TE_ID,0))</f>
        <v/>
      </c>
      <c r="AH52" s="2755"/>
      <c r="AI52" s="2755"/>
      <c r="AJ52" s="2755"/>
      <c r="AK52" s="2755"/>
      <c r="AL52" s="2755"/>
      <c r="AM52" s="2755"/>
      <c r="AN52" s="2755"/>
      <c r="AO52" s="2755"/>
      <c r="AP52" s="2756"/>
      <c r="AQ52" s="1770" t="s">
        <v>520</v>
      </c>
      <c r="AS52" s="1012"/>
      <c r="AT52" s="1012" t="str">
        <f>IF(V52="","",V52)</f>
        <v>Источник тепловой энергии  </v>
      </c>
      <c r="AU52" s="1012"/>
      <c r="AV52" s="1012"/>
      <c r="AW52" s="1667">
        <v>21</v>
      </c>
    </row>
    <row s="46890" customFormat="1" customHeight="1" ht="0">
      <c r="A53" s="1887" t="s">
        <v>225</v>
      </c>
      <c r="B53" s="1887" t="s">
        <v>226</v>
      </c>
      <c r="C53" s="1887" t="s">
        <v>227</v>
      </c>
      <c r="D53" s="1887" t="s">
        <v>228</v>
      </c>
      <c r="E53" s="2802"/>
      <c r="F53" s="2802"/>
      <c r="G53" s="2802"/>
      <c r="H53" s="2823"/>
      <c r="I53" s="2639" t="str">
        <f>U52&amp;".1"</f>
        <v>....1</v>
      </c>
      <c r="J53" s="1887"/>
      <c r="K53" s="1887"/>
      <c r="L53" s="1887"/>
      <c r="M53" s="1893" t="s">
        <v>521</v>
      </c>
      <c r="N53" s="1758"/>
      <c r="O53" s="1758"/>
      <c r="P53" s="1758"/>
      <c r="Q53" s="2769">
        <v>1</v>
      </c>
      <c r="R53" s="1843"/>
      <c r="S53" s="1843"/>
      <c r="T53" s="868"/>
      <c r="U53" s="1554"/>
      <c r="V53" s="1895"/>
      <c r="W53" s="1896"/>
      <c r="X53" s="2808"/>
      <c r="Y53" s="2809"/>
      <c r="Z53" s="2809"/>
      <c r="AA53" s="2809"/>
      <c r="AB53" s="2809"/>
      <c r="AC53" s="2809"/>
      <c r="AD53" s="2809"/>
      <c r="AE53" s="2809"/>
      <c r="AF53" s="2810"/>
      <c r="AG53" s="2808"/>
      <c r="AH53" s="2809"/>
      <c r="AI53" s="2809"/>
      <c r="AJ53" s="2809"/>
      <c r="AK53" s="2809"/>
      <c r="AL53" s="2809"/>
      <c r="AM53" s="2809"/>
      <c r="AN53" s="2809"/>
      <c r="AO53" s="2809"/>
      <c r="AP53" s="2810"/>
      <c r="AQ53" s="1897"/>
      <c r="AS53" s="1012"/>
      <c r="AT53" s="1012" t="str">
        <f>IF(V53="","",V53)</f>
        <v/>
      </c>
      <c r="AU53" s="1012"/>
      <c r="AV53" s="1012"/>
      <c r="AW53" s="1023">
        <v>0</v>
      </c>
    </row>
    <row customHeight="1" ht="22.049999999999997">
      <c r="A54" s="1779" t="s">
        <v>225</v>
      </c>
      <c r="B54" s="1779" t="s">
        <v>226</v>
      </c>
      <c r="C54" s="1779" t="s">
        <v>227</v>
      </c>
      <c r="D54" s="1779" t="s">
        <v>228</v>
      </c>
      <c r="E54" s="2802"/>
      <c r="F54" s="2802"/>
      <c r="G54" s="2802"/>
      <c r="H54" s="2823"/>
      <c r="I54" s="2613"/>
      <c r="J54" s="2639" t="str">
        <f>I53&amp;".1"</f>
        <v>....1.1</v>
      </c>
      <c r="K54" s="1779"/>
      <c r="L54" s="1779"/>
      <c r="M54" s="1822" t="s">
        <v>524</v>
      </c>
      <c r="Q54" s="2769"/>
      <c r="R54" s="2769">
        <v>1</v>
      </c>
      <c r="S54" s="1030"/>
      <c r="T54" s="869"/>
      <c r="U54" s="1848" t="str">
        <f>$J54</f>
        <v>....1.1</v>
      </c>
      <c r="V54" s="798" t="s">
        <v>525</v>
      </c>
      <c r="W54" s="812"/>
      <c r="X54" s="2757"/>
      <c r="Y54" s="2758"/>
      <c r="Z54" s="2758"/>
      <c r="AA54" s="2758"/>
      <c r="AB54" s="2758"/>
      <c r="AC54" s="2747"/>
      <c r="AD54" s="2747"/>
      <c r="AE54" s="2747"/>
      <c r="AF54" s="2820"/>
      <c r="AG54" s="2757"/>
      <c r="AH54" s="2758"/>
      <c r="AI54" s="2758"/>
      <c r="AJ54" s="2758"/>
      <c r="AK54" s="2758"/>
      <c r="AL54" s="2758"/>
      <c r="AM54" s="2758"/>
      <c r="AN54" s="2758"/>
      <c r="AO54" s="2758"/>
      <c r="AP54" s="2759"/>
      <c r="AQ54" s="1770" t="s">
        <v>526</v>
      </c>
      <c r="AS54" s="1012"/>
      <c r="AT54" s="1012" t="str">
        <f>IF(V54="","",V54)</f>
        <v>Группа потребителей</v>
      </c>
      <c r="AU54" s="1012"/>
      <c r="AV54" s="1012"/>
      <c r="AW54" s="1667">
        <v>21</v>
      </c>
    </row>
    <row customHeight="1" ht="22.049999999999997">
      <c r="A55" s="1779" t="s">
        <v>225</v>
      </c>
      <c r="B55" s="1779" t="s">
        <v>226</v>
      </c>
      <c r="C55" s="1779" t="s">
        <v>227</v>
      </c>
      <c r="D55" s="1779" t="s">
        <v>228</v>
      </c>
      <c r="E55" s="2802"/>
      <c r="F55" s="2802"/>
      <c r="G55" s="2802"/>
      <c r="H55" s="2823"/>
      <c r="I55" s="2613"/>
      <c r="J55" s="2613"/>
      <c r="K55" s="2639" t="str">
        <f>J54&amp;".1"</f>
        <v>....1.1.1</v>
      </c>
      <c r="L55" s="651"/>
      <c r="M55" s="1822" t="s">
        <v>527</v>
      </c>
      <c r="Q55" s="2769"/>
      <c r="R55" s="2769"/>
      <c r="S55" s="1030">
        <v>1</v>
      </c>
      <c r="T55" s="869"/>
      <c r="U55" s="1848" t="str">
        <f>$K55</f>
        <v>....1.1.1</v>
      </c>
      <c r="V55" s="1859"/>
      <c r="W55" s="812"/>
      <c r="X55" s="1263"/>
      <c r="Y55" s="1263"/>
      <c r="Z55" s="1263"/>
      <c r="AA55" s="1263"/>
      <c r="AB55" s="1917"/>
      <c r="AC55" s="2777"/>
      <c r="AD55" s="2619" t="s">
        <v>63</v>
      </c>
      <c r="AE55" s="2777"/>
      <c r="AF55" s="2619" t="s">
        <v>63</v>
      </c>
      <c r="AG55" s="1919"/>
      <c r="AH55" s="1263"/>
      <c r="AI55" s="1263"/>
      <c r="AJ55" s="1263"/>
      <c r="AK55" s="1769"/>
      <c r="AL55" s="2777"/>
      <c r="AM55" s="2619" t="s">
        <v>63</v>
      </c>
      <c r="AN55" s="2777"/>
      <c r="AO55" s="2619" t="s">
        <v>63</v>
      </c>
      <c r="AP55" s="1860"/>
      <c r="AQ55" s="1819" t="s">
        <v>567</v>
      </c>
      <c r="AR55" s="1023">
        <f>STRCHECKDATE(X57:AP57)</f>
      </c>
      <c r="AS55" s="1012"/>
      <c r="AT55" s="1012" t="str">
        <f>IF(V55="","",V55)</f>
        <v/>
      </c>
      <c r="AU55" s="1012"/>
      <c r="AV55" s="1012"/>
      <c r="AW55" s="1667">
        <v>21</v>
      </c>
    </row>
    <row customHeight="1" ht="11.549999999999999">
      <c r="A56" s="1779" t="s">
        <v>225</v>
      </c>
      <c r="B56" s="1779" t="s">
        <v>226</v>
      </c>
      <c r="C56" s="1779" t="s">
        <v>227</v>
      </c>
      <c r="D56" s="1779" t="s">
        <v>228</v>
      </c>
      <c r="E56" s="2802"/>
      <c r="F56" s="2802"/>
      <c r="G56" s="2802"/>
      <c r="H56" s="2823"/>
      <c r="I56" s="2613"/>
      <c r="J56" s="2613"/>
      <c r="K56" s="2613"/>
      <c r="L56" s="2639" t="str">
        <f>K55&amp;".1"</f>
        <v>....1.1.1.1</v>
      </c>
      <c r="M56" s="1822"/>
      <c r="Q56" s="2769"/>
      <c r="R56" s="2769"/>
      <c r="S56" s="1030">
        <v>1</v>
      </c>
      <c r="T56" s="869"/>
      <c r="U56" s="1848" t="str">
        <f>$L56</f>
        <v>....1.1.1.1</v>
      </c>
      <c r="V56" s="1903"/>
      <c r="W56" s="812"/>
      <c r="X56" s="837"/>
      <c r="Y56" s="1263"/>
      <c r="Z56" s="1263"/>
      <c r="AA56" s="1263"/>
      <c r="AB56" s="1917"/>
      <c r="AC56" s="2821"/>
      <c r="AD56" s="2619"/>
      <c r="AE56" s="2821"/>
      <c r="AF56" s="2619"/>
      <c r="AG56" s="1919"/>
      <c r="AH56" s="1263"/>
      <c r="AI56" s="1263"/>
      <c r="AJ56" s="1263"/>
      <c r="AK56" s="1769"/>
      <c r="AL56" s="2821"/>
      <c r="AM56" s="2619"/>
      <c r="AN56" s="2821"/>
      <c r="AO56" s="2619"/>
      <c r="AP56" s="1860"/>
      <c r="AQ56" s="2765" t="s">
        <v>568</v>
      </c>
      <c r="AR56" s="1023">
        <f>STRCHECKDATE(X58:AP58)</f>
      </c>
      <c r="AS56" s="1012"/>
      <c r="AT56" s="1012" t="str">
        <f>IF(V56="","",V56)</f>
        <v/>
      </c>
      <c r="AU56" s="1012"/>
      <c r="AV56" s="1012"/>
      <c r="AW56" s="1667">
        <v>11</v>
      </c>
    </row>
    <row customHeight="1" ht="0">
      <c r="A57" s="1779" t="s">
        <v>225</v>
      </c>
      <c r="B57" s="1779" t="s">
        <v>226</v>
      </c>
      <c r="C57" s="1779" t="s">
        <v>227</v>
      </c>
      <c r="D57" s="1779" t="s">
        <v>228</v>
      </c>
      <c r="E57" s="2802"/>
      <c r="F57" s="2802"/>
      <c r="G57" s="2802"/>
      <c r="H57" s="2823"/>
      <c r="I57" s="2613"/>
      <c r="J57" s="2613"/>
      <c r="K57" s="2613"/>
      <c r="L57" s="2639"/>
      <c r="M57" s="1822"/>
      <c r="Q57" s="2769"/>
      <c r="R57" s="2769"/>
      <c r="S57" s="1030"/>
      <c r="T57" s="869"/>
      <c r="U57" s="1854"/>
      <c r="V57" s="812"/>
      <c r="W57" s="812"/>
      <c r="X57" s="837"/>
      <c r="Y57" s="837"/>
      <c r="Z57" s="837"/>
      <c r="AA57" s="837"/>
      <c r="AB57" s="1918" t="str">
        <f>AC55&amp;"-"&amp;AE55</f>
        <v>-</v>
      </c>
      <c r="AC57" s="2821"/>
      <c r="AD57" s="2619"/>
      <c r="AE57" s="2821"/>
      <c r="AF57" s="2619"/>
      <c r="AG57" s="1894"/>
      <c r="AH57" s="837"/>
      <c r="AI57" s="837"/>
      <c r="AJ57" s="837"/>
      <c r="AK57" s="840" t="str">
        <f>AL55&amp;"-"&amp;AN55</f>
        <v>-</v>
      </c>
      <c r="AL57" s="2821"/>
      <c r="AM57" s="2619"/>
      <c r="AN57" s="2821"/>
      <c r="AO57" s="2619"/>
      <c r="AP57" s="1861"/>
      <c r="AQ57" s="2766"/>
      <c r="AS57" s="1012"/>
      <c r="AT57" s="1012" t="str">
        <f>IF(V57="","",V57)</f>
        <v/>
      </c>
      <c r="AU57" s="1012"/>
      <c r="AV57" s="1012"/>
      <c r="AW57" s="1667">
        <v>0</v>
      </c>
    </row>
    <row customHeight="1" ht="11.549999999999999">
      <c r="A58" s="1779" t="s">
        <v>225</v>
      </c>
      <c r="B58" s="1779" t="s">
        <v>226</v>
      </c>
      <c r="C58" s="1779" t="s">
        <v>227</v>
      </c>
      <c r="D58" s="1779" t="s">
        <v>228</v>
      </c>
      <c r="E58" s="2802"/>
      <c r="F58" s="2802"/>
      <c r="G58" s="2802"/>
      <c r="H58" s="2823"/>
      <c r="I58" s="2613"/>
      <c r="J58" s="2613"/>
      <c r="K58" s="2639"/>
      <c r="L58" s="1779"/>
      <c r="M58" s="1822"/>
      <c r="Q58" s="2769"/>
      <c r="R58" s="2769"/>
      <c r="S58" s="1843"/>
      <c r="T58" s="868"/>
      <c r="U58" s="1790"/>
      <c r="V58" s="800" t="s">
        <v>569</v>
      </c>
      <c r="W58" s="879"/>
      <c r="X58" s="879"/>
      <c r="Y58" s="879"/>
      <c r="Z58" s="879"/>
      <c r="AA58" s="879"/>
      <c r="AB58" s="879"/>
      <c r="AC58" s="2821"/>
      <c r="AD58" s="2619"/>
      <c r="AE58" s="2821"/>
      <c r="AF58" s="2619"/>
      <c r="AG58" s="879"/>
      <c r="AH58" s="879"/>
      <c r="AI58" s="879"/>
      <c r="AJ58" s="879"/>
      <c r="AK58" s="879"/>
      <c r="AL58" s="2821"/>
      <c r="AM58" s="2619"/>
      <c r="AN58" s="2821"/>
      <c r="AO58" s="2619"/>
      <c r="AP58" s="836"/>
      <c r="AQ58" s="2766"/>
      <c r="AS58" s="1012"/>
      <c r="AT58" s="1012" t="str">
        <f>IF(V58="","",V58)</f>
        <v>Добавить наименование поставщика</v>
      </c>
      <c r="AU58" s="1012"/>
      <c r="AV58" s="1012"/>
      <c r="AW58" s="1667">
        <v>11</v>
      </c>
    </row>
    <row customHeight="1" ht="11.549999999999999">
      <c r="A59" s="1779" t="s">
        <v>225</v>
      </c>
      <c r="B59" s="1779" t="s">
        <v>226</v>
      </c>
      <c r="C59" s="1779" t="s">
        <v>227</v>
      </c>
      <c r="D59" s="1779" t="s">
        <v>228</v>
      </c>
      <c r="E59" s="2802"/>
      <c r="F59" s="2802"/>
      <c r="G59" s="2802"/>
      <c r="H59" s="2823"/>
      <c r="I59" s="2613"/>
      <c r="J59" s="2639"/>
      <c r="K59" s="1779"/>
      <c r="L59" s="1779"/>
      <c r="M59" s="1822"/>
      <c r="Q59" s="2769"/>
      <c r="R59" s="2769"/>
      <c r="S59" s="1843"/>
      <c r="T59" s="868"/>
      <c r="U59" s="1790"/>
      <c r="V59" s="799" t="s">
        <v>529</v>
      </c>
      <c r="W59" s="879"/>
      <c r="X59" s="879"/>
      <c r="Y59" s="879"/>
      <c r="Z59" s="879"/>
      <c r="AA59" s="879"/>
      <c r="AB59" s="879"/>
      <c r="AC59" s="1920"/>
      <c r="AD59" s="1920"/>
      <c r="AE59" s="1920"/>
      <c r="AF59" s="1920"/>
      <c r="AG59" s="879"/>
      <c r="AH59" s="879"/>
      <c r="AI59" s="879"/>
      <c r="AJ59" s="879"/>
      <c r="AK59" s="879"/>
      <c r="AL59" s="879"/>
      <c r="AM59" s="879"/>
      <c r="AN59" s="879"/>
      <c r="AO59" s="879"/>
      <c r="AP59" s="836"/>
      <c r="AQ59" s="2767"/>
      <c r="AS59" s="1012"/>
      <c r="AT59" s="1012" t="str">
        <f>IF(V59="","",V59)</f>
        <v>Добавить вид теплоносителя (параметры теплоносителя)</v>
      </c>
      <c r="AU59" s="1012"/>
      <c r="AV59" s="1012"/>
      <c r="AW59" s="1667">
        <v>11</v>
      </c>
    </row>
    <row customHeight="1" ht="11.549999999999999">
      <c r="A60" s="1779" t="s">
        <v>225</v>
      </c>
      <c r="B60" s="1779" t="s">
        <v>226</v>
      </c>
      <c r="C60" s="1779" t="s">
        <v>227</v>
      </c>
      <c r="D60" s="1779" t="s">
        <v>228</v>
      </c>
      <c r="E60" s="2802"/>
      <c r="F60" s="2802"/>
      <c r="G60" s="2802"/>
      <c r="H60" s="2823"/>
      <c r="I60" s="2639"/>
      <c r="J60" s="1779"/>
      <c r="K60" s="1779"/>
      <c r="L60" s="1779"/>
      <c r="M60" s="1822"/>
      <c r="Q60" s="2769"/>
      <c r="R60" s="1843"/>
      <c r="S60" s="1843"/>
      <c r="T60" s="868"/>
      <c r="U60" s="1790"/>
      <c r="V60" s="877" t="s">
        <v>530</v>
      </c>
      <c r="W60" s="879"/>
      <c r="X60" s="879"/>
      <c r="Y60" s="879"/>
      <c r="Z60" s="879"/>
      <c r="AA60" s="879"/>
      <c r="AB60" s="879"/>
      <c r="AC60" s="879"/>
      <c r="AD60" s="879"/>
      <c r="AE60" s="879"/>
      <c r="AF60" s="878"/>
      <c r="AG60" s="879"/>
      <c r="AH60" s="879"/>
      <c r="AI60" s="879"/>
      <c r="AJ60" s="879"/>
      <c r="AK60" s="879"/>
      <c r="AL60" s="879"/>
      <c r="AM60" s="879"/>
      <c r="AN60" s="879"/>
      <c r="AO60" s="878"/>
      <c r="AP60" s="879"/>
      <c r="AQ60" s="815"/>
      <c r="AS60" s="1012"/>
      <c r="AT60" s="1012" t="str">
        <f>IF(V60="","",V60)</f>
        <v>Добавить группу потребителей</v>
      </c>
      <c r="AU60" s="1012"/>
      <c r="AV60" s="1012"/>
      <c r="AW60" s="1667">
        <v>11</v>
      </c>
    </row>
    <row customHeight="1" ht="0">
      <c r="A61" s="1779" t="s">
        <v>225</v>
      </c>
      <c r="B61" s="1779" t="s">
        <v>226</v>
      </c>
      <c r="C61" s="1779" t="s">
        <v>227</v>
      </c>
      <c r="D61" s="1779" t="s">
        <v>228</v>
      </c>
      <c r="E61" s="2802"/>
      <c r="F61" s="2802"/>
      <c r="G61" s="2802"/>
      <c r="H61" s="2822"/>
      <c r="I61" s="1779"/>
      <c r="J61" s="1779"/>
      <c r="K61" s="1779"/>
      <c r="L61" s="1779"/>
      <c r="M61" s="1822"/>
      <c r="N61" s="1200"/>
      <c r="O61" s="1200"/>
      <c r="P61" s="1021"/>
      <c r="Q61" s="872"/>
      <c r="R61" s="887"/>
      <c r="S61" s="867"/>
      <c r="T61" s="872"/>
      <c r="U61" s="1898"/>
      <c r="V61" s="1899"/>
      <c r="W61" s="1900"/>
      <c r="X61" s="1900"/>
      <c r="Y61" s="1900"/>
      <c r="Z61" s="1900"/>
      <c r="AA61" s="1900"/>
      <c r="AB61" s="1900"/>
      <c r="AC61" s="1900"/>
      <c r="AD61" s="1900"/>
      <c r="AE61" s="1900"/>
      <c r="AF61" s="1900"/>
      <c r="AG61" s="1900"/>
      <c r="AH61" s="1900"/>
      <c r="AI61" s="1900"/>
      <c r="AJ61" s="1900"/>
      <c r="AK61" s="1900"/>
      <c r="AL61" s="1900"/>
      <c r="AM61" s="1900"/>
      <c r="AN61" s="1900"/>
      <c r="AO61" s="1900"/>
      <c r="AP61" s="1900"/>
      <c r="AQ61" s="1901"/>
      <c r="AS61" s="1012"/>
      <c r="AT61" s="1012" t="str">
        <f>IF(V61="","",V61)</f>
        <v/>
      </c>
      <c r="AU61" s="1012"/>
      <c r="AV61" s="1012"/>
      <c r="AW61" s="1667">
        <v>0</v>
      </c>
    </row>
    <row s="46890" customFormat="1" customHeight="1" ht="0">
      <c r="A62" s="1887" t="s">
        <v>225</v>
      </c>
      <c r="B62" s="1887" t="s">
        <v>226</v>
      </c>
      <c r="C62" s="1887" t="s">
        <v>227</v>
      </c>
      <c r="D62" s="1886"/>
      <c r="E62" s="2802"/>
      <c r="F62" s="2802"/>
      <c r="G62" s="2801"/>
      <c r="H62" s="1886"/>
      <c r="I62" s="1886"/>
      <c r="J62" s="1886"/>
      <c r="K62" s="1886"/>
      <c r="L62" s="1886"/>
      <c r="M62" s="1889"/>
      <c r="N62" s="1890"/>
      <c r="O62" s="1890"/>
      <c r="P62" s="863"/>
      <c r="Q62" s="1828"/>
      <c r="R62" s="1829"/>
      <c r="S62" s="1828"/>
      <c r="T62" s="1828"/>
      <c r="U62" s="1834"/>
      <c r="V62" s="1837" t="s">
        <v>532</v>
      </c>
      <c r="W62" s="1836"/>
      <c r="X62" s="1836"/>
      <c r="Y62" s="1836"/>
      <c r="Z62" s="1836"/>
      <c r="AA62" s="1836"/>
      <c r="AB62" s="1836"/>
      <c r="AC62" s="1836"/>
      <c r="AD62" s="1836"/>
      <c r="AE62" s="1836"/>
      <c r="AF62" s="1836"/>
      <c r="AG62" s="1836"/>
      <c r="AH62" s="1836"/>
      <c r="AI62" s="1836"/>
      <c r="AJ62" s="1836"/>
      <c r="AK62" s="1836"/>
      <c r="AL62" s="1836"/>
      <c r="AM62" s="1836"/>
      <c r="AN62" s="1836"/>
      <c r="AO62" s="1836"/>
      <c r="AP62" s="1836"/>
      <c r="AQ62" s="1836"/>
      <c r="AS62" s="1301"/>
      <c r="AT62" s="1301" t="str">
        <f>IF(V62="","",V62)</f>
        <v>Добавить источник для дифференциации</v>
      </c>
      <c r="AU62" s="1301"/>
      <c r="AV62" s="1301"/>
      <c r="AW62" s="1030">
        <v>0</v>
      </c>
    </row>
    <row s="46890" customFormat="1" customHeight="1" ht="0">
      <c r="A63" s="1887" t="s">
        <v>225</v>
      </c>
      <c r="B63" s="1887" t="s">
        <v>226</v>
      </c>
      <c r="C63" s="1886"/>
      <c r="D63" s="1886"/>
      <c r="E63" s="2802"/>
      <c r="F63" s="2801"/>
      <c r="G63" s="1886"/>
      <c r="H63" s="1886"/>
      <c r="I63" s="1886"/>
      <c r="J63" s="1886"/>
      <c r="K63" s="1886"/>
      <c r="L63" s="1886"/>
      <c r="M63" s="1889"/>
      <c r="N63" s="1891"/>
      <c r="O63" s="1891"/>
      <c r="P63" s="863"/>
      <c r="Q63" s="1828"/>
      <c r="R63" s="1829"/>
      <c r="S63" s="1828"/>
      <c r="T63" s="1828"/>
      <c r="U63" s="1834"/>
      <c r="V63" s="1837" t="s">
        <v>321</v>
      </c>
      <c r="W63" s="1836"/>
      <c r="X63" s="1836"/>
      <c r="Y63" s="1836"/>
      <c r="Z63" s="1836"/>
      <c r="AA63" s="1836"/>
      <c r="AB63" s="1836"/>
      <c r="AC63" s="1836"/>
      <c r="AD63" s="1836"/>
      <c r="AE63" s="1836"/>
      <c r="AF63" s="1836"/>
      <c r="AG63" s="1836"/>
      <c r="AH63" s="1836"/>
      <c r="AI63" s="1836"/>
      <c r="AJ63" s="1836"/>
      <c r="AK63" s="1836"/>
      <c r="AL63" s="1836"/>
      <c r="AM63" s="1836"/>
      <c r="AN63" s="1836"/>
      <c r="AO63" s="1836"/>
      <c r="AP63" s="1836"/>
      <c r="AQ63" s="1836"/>
      <c r="AS63" s="1301"/>
      <c r="AT63" s="1301" t="str">
        <f>IF(V63="","",V63)</f>
        <v>Добавить централизованную систему для дифференциации</v>
      </c>
      <c r="AU63" s="1301"/>
      <c r="AV63" s="1301"/>
      <c r="AW63" s="1030">
        <v>0</v>
      </c>
    </row>
    <row s="46890" customFormat="1" customHeight="1" ht="0">
      <c r="A64" s="1887" t="s">
        <v>225</v>
      </c>
      <c r="B64" s="1887"/>
      <c r="C64" s="1887"/>
      <c r="D64" s="1887"/>
      <c r="E64" s="2801"/>
      <c r="F64" s="1887"/>
      <c r="G64" s="1887"/>
      <c r="H64" s="1887"/>
      <c r="I64" s="1887"/>
      <c r="J64" s="1887"/>
      <c r="K64" s="1887"/>
      <c r="L64" s="1887"/>
      <c r="M64" s="1893"/>
      <c r="N64" s="1891"/>
      <c r="O64" s="1891"/>
      <c r="P64" s="863"/>
      <c r="Q64" s="892"/>
      <c r="R64" s="1856"/>
      <c r="S64" s="892"/>
      <c r="T64" s="892"/>
      <c r="U64" s="1834"/>
      <c r="V64" s="1837" t="s">
        <v>385</v>
      </c>
      <c r="W64" s="1836"/>
      <c r="X64" s="1836"/>
      <c r="Y64" s="1836"/>
      <c r="Z64" s="1836"/>
      <c r="AA64" s="1836"/>
      <c r="AB64" s="1836"/>
      <c r="AC64" s="1836"/>
      <c r="AD64" s="1836"/>
      <c r="AE64" s="1836"/>
      <c r="AF64" s="1836"/>
      <c r="AG64" s="1836"/>
      <c r="AH64" s="1836"/>
      <c r="AI64" s="1836"/>
      <c r="AJ64" s="1836"/>
      <c r="AK64" s="1836"/>
      <c r="AL64" s="1836"/>
      <c r="AM64" s="1836"/>
      <c r="AN64" s="1836"/>
      <c r="AO64" s="1836"/>
      <c r="AP64" s="1836"/>
      <c r="AQ64" s="1836"/>
      <c r="AS64" s="1012"/>
      <c r="AT64" s="1012" t="str">
        <f>IF(V64="","",V64)</f>
        <v>Добавить территорию для дифференциации</v>
      </c>
      <c r="AU64" s="1012"/>
      <c r="AV64" s="1012"/>
      <c r="AW64" s="1023">
        <v>0</v>
      </c>
    </row>
    <row s="46890" customFormat="1" customHeight="1" ht="4.2">
      <c r="A65" s="1886"/>
      <c r="B65" s="1886"/>
      <c r="C65" s="1886"/>
      <c r="D65" s="1886"/>
      <c r="E65" s="1887"/>
      <c r="F65" s="1886"/>
      <c r="G65" s="1886"/>
      <c r="H65" s="1886"/>
      <c r="I65" s="1886"/>
      <c r="J65" s="1886"/>
      <c r="K65" s="1886"/>
      <c r="L65" s="1886"/>
      <c r="M65" s="1889"/>
      <c r="N65" s="1891"/>
      <c r="O65" s="1891"/>
      <c r="P65" s="863"/>
      <c r="Q65" s="1828"/>
      <c r="R65" s="1829"/>
      <c r="S65" s="1828"/>
      <c r="T65" s="1828"/>
      <c r="U65" s="1834"/>
      <c r="V65" s="1837" t="s">
        <v>386</v>
      </c>
      <c r="W65" s="1836"/>
      <c r="X65" s="1836"/>
      <c r="Y65" s="1836"/>
      <c r="Z65" s="1836"/>
      <c r="AA65" s="1836"/>
      <c r="AB65" s="1836"/>
      <c r="AC65" s="1836"/>
      <c r="AD65" s="1836"/>
      <c r="AE65" s="1836"/>
      <c r="AF65" s="1836"/>
      <c r="AG65" s="1836"/>
      <c r="AH65" s="1836"/>
      <c r="AI65" s="1836"/>
      <c r="AJ65" s="1836"/>
      <c r="AK65" s="1836"/>
      <c r="AL65" s="1836"/>
      <c r="AM65" s="1836"/>
      <c r="AN65" s="1836"/>
      <c r="AO65" s="1836"/>
      <c r="AP65" s="1836"/>
      <c r="AQ65" s="1836"/>
      <c r="AS65" s="1301"/>
      <c r="AT65" s="1301" t="str">
        <f>IF(V65="","",V65)</f>
        <v>Добавить наименование тарифа</v>
      </c>
      <c r="AU65" s="1301"/>
      <c r="AV65" s="1301"/>
      <c r="AW65" s="1030">
        <v>4</v>
      </c>
    </row>
    <row customHeight="1" ht="11.549999999999999">
      <c r="N66" s="1667"/>
      <c r="O66" s="1667"/>
      <c r="P66" s="1021"/>
      <c r="Q66" s="1667"/>
      <c r="R66" s="1667"/>
      <c r="S66" s="1667"/>
      <c r="T66" s="1667"/>
      <c r="U66" s="1667"/>
      <c r="AR66" s="1667"/>
      <c r="AS66" s="1667"/>
      <c r="AT66" s="1667"/>
      <c r="AU66" s="1667"/>
      <c r="AV66" s="1667"/>
      <c r="AW66" s="1667">
        <v>11</v>
      </c>
    </row>
    <row customHeight="1" ht="35.699999999999996">
      <c r="P67" s="1021"/>
      <c r="U67" s="1765"/>
      <c r="V67" s="2797"/>
      <c r="W67" s="2797"/>
      <c r="X67" s="2797"/>
      <c r="Y67" s="2797"/>
      <c r="Z67" s="2797"/>
      <c r="AA67" s="2797"/>
      <c r="AB67" s="2797"/>
      <c r="AC67" s="2797"/>
      <c r="AD67" s="2797"/>
      <c r="AE67" s="2797"/>
      <c r="AF67" s="2797"/>
      <c r="AG67" s="2797"/>
      <c r="AH67" s="2797"/>
      <c r="AI67" s="2797"/>
      <c r="AJ67" s="2797"/>
      <c r="AK67" s="2797"/>
      <c r="AL67" s="2797"/>
      <c r="AM67" s="2797"/>
      <c r="AN67" s="2797"/>
      <c r="AO67" s="2797"/>
      <c r="AP67" s="2797"/>
      <c r="AQ67" s="2797"/>
      <c r="AW67" s="1667">
        <v>34</v>
      </c>
    </row>
    <row customHeight="1" ht="21">
      <c r="P68" s="1021"/>
      <c r="V68" s="2797"/>
      <c r="W68" s="2797"/>
      <c r="X68" s="2797"/>
      <c r="Y68" s="2797"/>
      <c r="Z68" s="2797"/>
      <c r="AA68" s="2797"/>
      <c r="AB68" s="2797"/>
      <c r="AC68" s="2797"/>
      <c r="AD68" s="2797"/>
      <c r="AE68" s="2797"/>
      <c r="AF68" s="2797"/>
      <c r="AG68" s="2797"/>
      <c r="AH68" s="2797"/>
      <c r="AI68" s="2797"/>
      <c r="AJ68" s="2797"/>
      <c r="AK68" s="2797"/>
      <c r="AL68" s="2797"/>
      <c r="AM68" s="2797"/>
      <c r="AN68" s="2797"/>
      <c r="AO68" s="2797"/>
      <c r="AP68" s="2797"/>
      <c r="AQ68" s="2797"/>
      <c r="AW68" s="1667">
        <v>20</v>
      </c>
    </row>
    <row customHeight="1" ht="14.699999999999998">
      <c r="P69" s="1021"/>
      <c r="AW69" s="1667">
        <v>14</v>
      </c>
    </row>
    <row customHeight="1" ht="28.5">
      <c r="P70" s="1021"/>
      <c r="V70" s="2797"/>
      <c r="W70" s="2797"/>
      <c r="X70" s="2797"/>
      <c r="Y70" s="2797"/>
      <c r="Z70" s="2797"/>
      <c r="AA70" s="2797"/>
      <c r="AB70" s="2797"/>
      <c r="AC70" s="2797"/>
      <c r="AD70" s="2797"/>
      <c r="AE70" s="2797"/>
      <c r="AF70" s="2797"/>
      <c r="AG70" s="2797"/>
      <c r="AH70" s="2797"/>
      <c r="AI70" s="2797"/>
      <c r="AJ70" s="2797"/>
      <c r="AK70" s="2797"/>
      <c r="AL70" s="2797"/>
      <c r="AM70" s="2797"/>
      <c r="AN70" s="2797"/>
      <c r="AO70" s="2797"/>
      <c r="AP70" s="2797"/>
      <c r="AQ70" s="2797"/>
      <c r="AW70" s="1667">
        <v>27</v>
      </c>
    </row>
    <row customHeight="1" ht="18.75">
      <c r="P71" s="1021"/>
      <c r="V71" s="2797"/>
      <c r="W71" s="2797"/>
      <c r="X71" s="2797"/>
      <c r="Y71" s="2797"/>
      <c r="Z71" s="2797"/>
      <c r="AA71" s="2797"/>
      <c r="AB71" s="2797"/>
      <c r="AC71" s="2797"/>
      <c r="AD71" s="2797"/>
      <c r="AE71" s="2797"/>
      <c r="AF71" s="2797"/>
      <c r="AG71" s="2797"/>
      <c r="AH71" s="2797"/>
      <c r="AI71" s="2797"/>
      <c r="AJ71" s="2797"/>
      <c r="AK71" s="2797"/>
      <c r="AL71" s="2797"/>
      <c r="AM71" s="2797"/>
      <c r="AN71" s="2797"/>
      <c r="AO71" s="2797"/>
      <c r="AP71" s="2797"/>
      <c r="AQ71" s="2797"/>
      <c r="AW71" s="1667">
        <v>18</v>
      </c>
    </row>
    <row customHeight="1" ht="22.5" hidden="1">
      <c r="A72" s="1667" t="s">
        <v>84</v>
      </c>
      <c r="B72" s="1667">
        <v>0</v>
      </c>
      <c r="C72" s="1667">
        <v>0</v>
      </c>
      <c r="D72" s="1667">
        <v>0</v>
      </c>
      <c r="E72" s="1667">
        <v>0</v>
      </c>
      <c r="F72" s="1667">
        <v>0</v>
      </c>
      <c r="G72" s="1667">
        <v>0</v>
      </c>
      <c r="H72" s="1667">
        <v>0</v>
      </c>
      <c r="I72" s="1667">
        <v>0</v>
      </c>
      <c r="J72" s="1667">
        <v>0</v>
      </c>
      <c r="K72" s="1667">
        <v>0</v>
      </c>
      <c r="L72" s="1667">
        <v>0</v>
      </c>
      <c r="M72" s="1839">
        <v>0</v>
      </c>
      <c r="N72" s="1840">
        <v>0</v>
      </c>
      <c r="O72" s="1840">
        <v>0</v>
      </c>
      <c r="P72" s="1840">
        <v>0</v>
      </c>
      <c r="Q72" s="1840">
        <v>0</v>
      </c>
      <c r="R72" s="856">
        <v>3</v>
      </c>
      <c r="S72" s="856">
        <v>3</v>
      </c>
      <c r="T72" s="856">
        <v>3</v>
      </c>
      <c r="U72" s="1093">
        <v>12</v>
      </c>
      <c r="V72" s="1667">
        <v>31</v>
      </c>
      <c r="W72" s="1667">
        <v>0</v>
      </c>
      <c r="X72" s="1667">
        <v>0</v>
      </c>
      <c r="Y72" s="1667">
        <v>0</v>
      </c>
      <c r="Z72" s="1667">
        <v>0</v>
      </c>
      <c r="AA72" s="1667">
        <v>0</v>
      </c>
      <c r="AB72" s="1667">
        <v>0</v>
      </c>
      <c r="AC72" s="1667">
        <v>0</v>
      </c>
      <c r="AD72" s="1667">
        <v>0</v>
      </c>
      <c r="AE72" s="1667">
        <v>0</v>
      </c>
      <c r="AF72" s="1667">
        <v>0</v>
      </c>
      <c r="AG72" s="1667">
        <v>21</v>
      </c>
      <c r="AH72" s="1667">
        <v>21</v>
      </c>
      <c r="AI72" s="1667">
        <v>21</v>
      </c>
      <c r="AJ72" s="1667">
        <v>21</v>
      </c>
      <c r="AK72" s="1667">
        <v>21</v>
      </c>
      <c r="AL72" s="1667">
        <v>11</v>
      </c>
      <c r="AM72" s="1667">
        <v>3</v>
      </c>
      <c r="AN72" s="1667">
        <v>11</v>
      </c>
      <c r="AO72" s="1667">
        <v>8</v>
      </c>
      <c r="AP72" s="1667">
        <v>4</v>
      </c>
      <c r="AQ72" s="1667">
        <v>115</v>
      </c>
      <c r="AR72" s="1023">
        <v>10</v>
      </c>
      <c r="AS72" s="1023">
        <v>10</v>
      </c>
      <c r="AT72" s="1023">
        <v>10</v>
      </c>
      <c r="AU72" s="1023">
        <v>10</v>
      </c>
      <c r="AV72" s="1023">
        <v>10</v>
      </c>
      <c r="AW72" s="1667">
        <v>23</v>
      </c>
    </row>
  </sheetData>
  <sheetProtection formatColumns="0" formatRows="0" autoFilter="0" sort="0" insertRows="0" insertColumns="1" deleteRows="0" deleteColumns="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EBAE589D-4565-3DB1-1DF4-39A0E0E948B2}" mc:Ignorable="x14ac xr xr2 xr3">
  <sheetPr>
    <tabColor rgb="FFCCCCFF"/>
  </sheetPr>
  <dimension ref="A1:Q79"/>
  <sheetViews>
    <sheetView topLeftCell="A1" showGridLines="0" zoomScale="90" workbookViewId="0">
      <selection activeCell="F34" sqref="F34"/>
    </sheetView>
  </sheetViews>
  <sheetFormatPr defaultColWidth="9.140625" customHeight="1" defaultRowHeight="11.25"/>
  <cols>
    <col min="1" max="1" style="46884" width="10.7109375" hidden="1" customWidth="1"/>
    <col min="2" max="2" style="46885" width="10.7109375" hidden="1" customWidth="1"/>
    <col min="3" max="3" style="46886" width="3.00390625" customWidth="1"/>
    <col min="4" max="4" style="46808" width="1.00390625" customWidth="1"/>
    <col min="5" max="6" style="46808" width="55.00390625" customWidth="1"/>
    <col min="7" max="7" style="46887" width="1.00390625" customWidth="1"/>
    <col min="8" max="8" style="46808" width="18.00390625" hidden="1" customWidth="1"/>
    <col min="9" max="9" style="46888" width="59.00390625" customWidth="1"/>
    <col min="10" max="10" style="46889" width="52.140625" hidden="1" customWidth="1"/>
    <col min="11" max="11" style="46808" width="8.00390625" customWidth="1"/>
    <col min="12" max="12" style="46808" width="77.00390625" customWidth="1"/>
    <col min="13" max="16" style="46808" width="8.00390625" customWidth="1"/>
    <col min="17" max="17" style="46808" width="12.00390625" hidden="1" customWidth="1"/>
  </cols>
  <sheetData>
    <row s="46765" customFormat="1" customHeight="1" ht="3">
      <c r="A1" s="1295"/>
      <c r="B1" s="753"/>
      <c r="F1" s="754" t="s">
        <v>13</v>
      </c>
      <c r="G1" s="923"/>
      <c r="H1" s="583"/>
      <c r="I1" s="923"/>
      <c r="J1" s="1383"/>
      <c r="Q1" s="754" t="s">
        <v>14</v>
      </c>
    </row>
    <row s="46772" customFormat="1" customHeight="1" ht="14.25">
      <c r="A2" s="1295"/>
      <c r="B2" s="610"/>
      <c r="E2" s="2252" t="str">
        <f>code</f>
        <v>Код отчёта: PP108.OPEN.INFO.PRICE.VOTV.EIAS</v>
      </c>
      <c r="F2" s="781"/>
      <c r="G2" s="757"/>
      <c r="H2" s="757"/>
      <c r="I2" s="757"/>
      <c r="J2" s="1384"/>
      <c r="K2" s="757"/>
      <c r="Q2" s="583">
        <v>14</v>
      </c>
    </row>
    <row customHeight="1" ht="14.699999999999998">
      <c r="E3" s="758" t="str">
        <f>version</f>
        <v>Версия отчёта: 1.1.1</v>
      </c>
      <c r="F3" s="781"/>
      <c r="G3" s="1282"/>
      <c r="H3" s="1282"/>
      <c r="I3" s="1282"/>
      <c r="J3" s="1385"/>
      <c r="K3" s="600"/>
      <c r="Q3" s="586">
        <v>14</v>
      </c>
    </row>
    <row s="46783" customFormat="1" customHeight="1" ht="6.3">
      <c r="A4" s="1296"/>
      <c r="B4" s="744"/>
      <c r="C4" s="745"/>
      <c r="D4" s="746"/>
      <c r="E4" s="755"/>
      <c r="F4" s="756"/>
      <c r="G4" s="1283"/>
      <c r="H4" s="921"/>
      <c r="I4" s="923"/>
      <c r="J4" s="1386"/>
      <c r="Q4" s="748">
        <v>6</v>
      </c>
    </row>
    <row customHeight="1" ht="39.75">
      <c r="D5" s="587"/>
      <c r="E5" s="2607" t="str">
        <f>NameTemplatesInTitle</f>
        <v>Показатели, подлежащие раскрытию в сфере водоотведения (цены и тарифы)</v>
      </c>
      <c r="F5" s="2608"/>
      <c r="G5" s="1284"/>
      <c r="J5" s="1387"/>
      <c r="Q5" s="586">
        <v>38</v>
      </c>
    </row>
    <row s="46783" customFormat="1" customHeight="1" ht="6.3">
      <c r="A6" s="1296"/>
      <c r="B6" s="744"/>
      <c r="C6" s="745"/>
      <c r="D6" s="746"/>
      <c r="E6" s="749"/>
      <c r="F6" s="750"/>
      <c r="G6" s="1284"/>
      <c r="H6" s="921"/>
      <c r="I6" s="923"/>
      <c r="J6" s="1386"/>
      <c r="Q6" s="748">
        <v>6</v>
      </c>
    </row>
    <row customHeight="1" ht="21">
      <c r="D7" s="587"/>
      <c r="E7" s="903" t="s">
        <v>15</v>
      </c>
      <c r="F7" s="727" t="s">
        <v>16</v>
      </c>
      <c r="G7" s="1284"/>
      <c r="Q7" s="586">
        <v>20</v>
      </c>
    </row>
    <row s="46783" customFormat="1" customHeight="1" ht="6.3">
      <c r="A8" s="1297"/>
      <c r="B8" s="744"/>
      <c r="C8" s="745"/>
      <c r="D8" s="751"/>
      <c r="E8" s="749"/>
      <c r="F8" s="752"/>
      <c r="G8" s="589"/>
      <c r="H8" s="921"/>
      <c r="I8" s="923"/>
      <c r="J8" s="1389"/>
      <c r="Q8" s="748">
        <v>6</v>
      </c>
    </row>
    <row s="46808" customFormat="1" customHeight="1" ht="19.5" hidden="1">
      <c r="A9" s="1296"/>
      <c r="B9" s="610"/>
      <c r="C9" s="920"/>
      <c r="D9" s="922"/>
      <c r="E9" s="1677" t="s">
        <v>17</v>
      </c>
      <c r="F9" s="2433"/>
      <c r="G9" s="1284"/>
      <c r="I9" s="2412" t="str">
        <f>IF(TITLE_STRUCTURE_INFO_ROIV="","","раскрывается "&amp;INDEX(ROIV_INFO_COMMENT,MATCH(TITLE_STRUCTURE_INFO_ROIV,ROIV_INFO_LIST,0)))</f>
        <v/>
      </c>
      <c r="J9" s="1388"/>
      <c r="Q9" s="921">
        <v>0</v>
      </c>
    </row>
    <row s="46783" customFormat="1" customHeight="1" ht="24" hidden="1">
      <c r="A10" s="1297"/>
      <c r="B10" s="938"/>
      <c r="C10" s="939"/>
      <c r="D10" s="751"/>
      <c r="E10" s="1677" t="s">
        <v>18</v>
      </c>
      <c r="F10" s="2578" t="s">
        <v>19</v>
      </c>
      <c r="G10" s="589"/>
      <c r="H10" s="921"/>
      <c r="I10" s="923"/>
      <c r="J10" s="1389"/>
      <c r="Q10" s="942">
        <v>24</v>
      </c>
    </row>
    <row customHeight="1" ht="22.5">
      <c r="A11" s="2610" t="s">
        <v>20</v>
      </c>
      <c r="D11" s="587"/>
      <c r="E11" s="1677" t="s">
        <v>21</v>
      </c>
      <c r="F11" s="12116">
        <v>45292.494618055556</v>
      </c>
      <c r="G11" s="589"/>
      <c r="H11" s="1285" t="s">
        <v>22</v>
      </c>
      <c r="J11" s="1388" t="s">
        <v>23</v>
      </c>
      <c r="Q11" s="586">
        <v>0</v>
      </c>
    </row>
    <row customHeight="1" ht="22.5">
      <c r="A12" s="2610"/>
      <c r="D12" s="587"/>
      <c r="E12" s="1677" t="s">
        <v>24</v>
      </c>
      <c r="F12" s="12116">
        <v>47118.49474537037</v>
      </c>
      <c r="G12" s="585"/>
      <c r="J12" s="1388" t="s">
        <v>25</v>
      </c>
      <c r="Q12" s="586">
        <v>0</v>
      </c>
    </row>
    <row s="46808" customFormat="1" customHeight="1" ht="22.5" hidden="1">
      <c r="A13" s="1300" t="s">
        <v>26</v>
      </c>
      <c r="B13" s="610"/>
      <c r="C13" s="920"/>
      <c r="D13" s="922"/>
      <c r="E13" s="2287" t="s">
        <v>27</v>
      </c>
      <c r="F13" s="2244" t="s">
        <v>28</v>
      </c>
      <c r="G13" s="589"/>
      <c r="H13" s="1282"/>
      <c r="I13" s="923"/>
      <c r="J13" s="2288" t="s">
        <v>29</v>
      </c>
      <c r="Q13" s="921">
        <v>0</v>
      </c>
    </row>
    <row s="46808" customFormat="1" customHeight="1" ht="27" hidden="1">
      <c r="A14" s="1300" t="s">
        <v>30</v>
      </c>
      <c r="B14" s="610"/>
      <c r="C14" s="920"/>
      <c r="D14" s="922"/>
      <c r="E14" s="1677" t="s">
        <v>31</v>
      </c>
      <c r="F14" s="2279"/>
      <c r="G14" s="589"/>
      <c r="H14" s="1282"/>
      <c r="I14" s="923"/>
      <c r="J14" s="1388" t="s">
        <v>32</v>
      </c>
      <c r="Q14" s="921">
        <v>0</v>
      </c>
    </row>
    <row s="46808" customFormat="1" customHeight="1" ht="19.5" hidden="1">
      <c r="A15" s="1300" t="s">
        <v>33</v>
      </c>
      <c r="B15" s="610"/>
      <c r="C15" s="920"/>
      <c r="D15" s="922"/>
      <c r="E15" s="1677" t="s">
        <v>34</v>
      </c>
      <c r="F15" s="2279"/>
      <c r="G15" s="589"/>
      <c r="H15" s="1282"/>
      <c r="I15" s="923"/>
      <c r="J15" s="1388" t="s">
        <v>35</v>
      </c>
      <c r="Q15" s="921">
        <v>0</v>
      </c>
    </row>
    <row s="46783" customFormat="1" customHeight="1" ht="6.3">
      <c r="A16" s="1297"/>
      <c r="B16" s="744"/>
      <c r="C16" s="745"/>
      <c r="D16" s="751"/>
      <c r="E16" s="749"/>
      <c r="F16" s="752"/>
      <c r="G16" s="589"/>
      <c r="H16" s="921"/>
      <c r="I16" s="923"/>
      <c r="J16" s="1386"/>
      <c r="Q16" s="748">
        <v>6</v>
      </c>
    </row>
    <row customHeight="1" ht="21">
      <c r="D17" s="587"/>
      <c r="E17" s="903" t="s">
        <v>36</v>
      </c>
      <c r="F17" s="3250" t="s">
        <v>37</v>
      </c>
      <c r="G17" s="585"/>
      <c r="H17" s="1285" t="s">
        <v>22</v>
      </c>
      <c r="Q17" s="586">
        <v>20</v>
      </c>
    </row>
    <row customHeight="1" ht="25.5">
      <c r="D18" s="587"/>
      <c r="E18" s="2287" t="s">
        <v>38</v>
      </c>
      <c r="F18" s="12116">
        <v>45639.495034722226</v>
      </c>
      <c r="G18" s="585"/>
      <c r="I18" s="1286"/>
      <c r="J18" s="2609" t="s">
        <v>39</v>
      </c>
      <c r="Q18" s="586">
        <v>0</v>
      </c>
    </row>
    <row customHeight="1" ht="25.5">
      <c r="D19" s="587"/>
      <c r="E19" s="1677"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12116">
        <v>45639.49512731482</v>
      </c>
      <c r="G19" s="585"/>
      <c r="I19" s="1286"/>
      <c r="J19" s="2609"/>
      <c r="Q19" s="586">
        <v>0</v>
      </c>
    </row>
    <row customHeight="1" ht="22.5">
      <c r="D20" s="587"/>
      <c r="E20" s="588"/>
      <c r="F20" s="782" t="str">
        <f>"Первичное "&amp;IF(TEMPLATE_GROUP="P","установление тарифов","предложение по тарифам")</f>
        <v>Первичное установление тарифов</v>
      </c>
      <c r="G20" s="585"/>
      <c r="I20" s="906"/>
      <c r="J20" s="1387" t="s">
        <v>40</v>
      </c>
      <c r="Q20" s="586">
        <v>0</v>
      </c>
    </row>
    <row customHeight="1" ht="19.5">
      <c r="D21" s="587"/>
      <c r="E21" s="903" t="str">
        <f>"Дата "&amp;IF(TEMPLATE_GROUP="P","документа","подачи заявления")&amp;" об утверждении тарифов"</f>
        <v>Дата документа об утверждении тарифов</v>
      </c>
      <c r="F21" s="12116">
        <v>45280.495208333334</v>
      </c>
      <c r="G21" s="585"/>
      <c r="I21" s="1287"/>
      <c r="Q21" s="586">
        <v>0</v>
      </c>
    </row>
    <row customHeight="1" ht="19.5">
      <c r="D22" s="587"/>
      <c r="E22" s="903" t="str">
        <f>"Номер "&amp;IF(TEMPLATE_GROUP="P","документа","подачи заявления")&amp;" об утверждении тарифов"</f>
        <v>Номер документа об утверждении тарифов</v>
      </c>
      <c r="F22" s="728" t="s">
        <v>41</v>
      </c>
      <c r="G22" s="585"/>
      <c r="I22" s="1287"/>
      <c r="Q22" s="586">
        <v>0</v>
      </c>
    </row>
    <row customHeight="1" ht="22.5">
      <c r="D23" s="587"/>
      <c r="E23" s="903" t="s">
        <v>42</v>
      </c>
      <c r="F23" s="728" t="s">
        <v>43</v>
      </c>
      <c r="G23" s="585"/>
      <c r="Q23" s="586">
        <v>0</v>
      </c>
    </row>
    <row customHeight="1" ht="19.5">
      <c r="D24" s="587"/>
      <c r="E24" s="903" t="s">
        <v>44</v>
      </c>
      <c r="F24" s="8971" t="s">
        <v>45</v>
      </c>
      <c r="G24" s="585"/>
      <c r="Q24" s="586">
        <v>0</v>
      </c>
    </row>
    <row customHeight="1" ht="22.5">
      <c r="D25" s="587"/>
      <c r="E25" s="588"/>
      <c r="F25" s="782" t="str">
        <f>"Изменение "&amp;IF(TEMPLATE_GROUP="P","тарифов","предложения по тарифам")</f>
        <v>Изменение тарифов</v>
      </c>
      <c r="G25" s="585"/>
      <c r="J25" s="1387" t="s">
        <v>46</v>
      </c>
      <c r="Q25" s="586">
        <v>0</v>
      </c>
    </row>
    <row customHeight="1" ht="19.5">
      <c r="D26" s="587"/>
      <c r="E26" s="903" t="str">
        <f>"Дата "&amp;IF(TEMPLATE_GROUP="P","принятия решения","подачи заявления")&amp;" об изменении тарифов"</f>
        <v>Дата принятия решения об изменении тарифов</v>
      </c>
      <c r="F26" s="3251">
        <v>45631.495844907404</v>
      </c>
      <c r="G26" s="585"/>
      <c r="Q26" s="586">
        <v>0</v>
      </c>
    </row>
    <row customHeight="1" ht="19.5">
      <c r="D27" s="587"/>
      <c r="E27" s="1677" t="str">
        <f>"Номер "&amp;IF(TEMPLATE_GROUP="P","принятия решения","заявления")&amp;" об изменении тарифов"</f>
        <v>Номер принятия решения об изменении тарифов</v>
      </c>
      <c r="F27" s="3259" t="s">
        <v>47</v>
      </c>
      <c r="G27" s="585"/>
      <c r="Q27" s="586">
        <v>0</v>
      </c>
    </row>
    <row customHeight="1" ht="24.75">
      <c r="D28" s="587"/>
      <c r="E28" s="903" t="s">
        <v>48</v>
      </c>
      <c r="F28" s="3259" t="s">
        <v>43</v>
      </c>
      <c r="G28" s="585"/>
      <c r="Q28" s="586">
        <v>0</v>
      </c>
    </row>
    <row customHeight="1" ht="19.5">
      <c r="D29" s="587"/>
      <c r="E29" s="903" t="s">
        <v>44</v>
      </c>
      <c r="F29" s="12135" t="s">
        <v>45</v>
      </c>
      <c r="G29" s="585"/>
      <c r="Q29" s="586">
        <v>0</v>
      </c>
    </row>
    <row s="46783" customFormat="1" customHeight="1" ht="6.3">
      <c r="A30" s="1297"/>
      <c r="B30" s="744"/>
      <c r="C30" s="745"/>
      <c r="D30" s="751"/>
      <c r="E30" s="749"/>
      <c r="F30" s="752"/>
      <c r="G30" s="589"/>
      <c r="H30" s="921"/>
      <c r="I30" s="923"/>
      <c r="J30" s="1386"/>
      <c r="Q30" s="748">
        <v>6</v>
      </c>
    </row>
    <row customHeight="1" ht="21">
      <c r="C31" s="590"/>
      <c r="D31" s="591"/>
      <c r="E31" s="903" t="str">
        <f>"Наименование "&amp;IF(TEMPLATE_GROUP="ROIV","органа тарифного регулирования","ЮЛ / ИП")</f>
        <v>Наименование ЮЛ / ИП</v>
      </c>
      <c r="F31" s="729" t="s">
        <v>49</v>
      </c>
      <c r="G31" s="1288"/>
      <c r="Q31" s="586">
        <v>20</v>
      </c>
    </row>
    <row customHeight="1" ht="21" hidden="1">
      <c r="C32" s="590"/>
      <c r="D32" s="591"/>
      <c r="E32" s="904" t="s">
        <v>50</v>
      </c>
      <c r="F32" s="729"/>
      <c r="G32" s="1288"/>
      <c r="Q32" s="586">
        <v>20</v>
      </c>
    </row>
    <row customHeight="1" ht="21">
      <c r="C33" s="590"/>
      <c r="D33" s="591"/>
      <c r="E33" s="903" t="s">
        <v>51</v>
      </c>
      <c r="F33" s="729" t="s">
        <v>52</v>
      </c>
      <c r="G33" s="1288"/>
      <c r="Q33" s="586">
        <v>20</v>
      </c>
    </row>
    <row customHeight="1" ht="21">
      <c r="C34" s="590"/>
      <c r="D34" s="591"/>
      <c r="E34" s="903" t="s">
        <v>53</v>
      </c>
      <c r="F34" s="729" t="s">
        <v>54</v>
      </c>
      <c r="G34" s="1288"/>
      <c r="H34" s="592"/>
      <c r="Q34" s="586">
        <v>20</v>
      </c>
    </row>
    <row s="46783" customFormat="1" customHeight="1" ht="11.549999999999999">
      <c r="A35" s="1297"/>
      <c r="B35" s="744"/>
      <c r="C35" s="745"/>
      <c r="D35" s="751"/>
      <c r="E35" s="749"/>
      <c r="F35" s="752"/>
      <c r="G35" s="589"/>
      <c r="H35" s="921"/>
      <c r="I35" s="923"/>
      <c r="J35" s="1386"/>
      <c r="Q35" s="748">
        <v>11</v>
      </c>
    </row>
    <row customHeight="1" ht="19.5" hidden="1">
      <c r="A36" s="1391"/>
      <c r="D36" s="591"/>
      <c r="E36" s="903" t="s">
        <v>55</v>
      </c>
      <c r="F36" s="860"/>
      <c r="G36" s="589"/>
      <c r="Q36" s="586">
        <v>0</v>
      </c>
    </row>
    <row customHeight="1" ht="21">
      <c r="A37" s="1391"/>
      <c r="D37" s="591"/>
      <c r="E37" s="903" t="s">
        <v>56</v>
      </c>
      <c r="F37" s="5820" t="s">
        <v>57</v>
      </c>
      <c r="G37" s="589"/>
      <c r="Q37" s="586">
        <v>20</v>
      </c>
    </row>
    <row s="46783" customFormat="1" customHeight="1" ht="6.3">
      <c r="A38" s="1297"/>
      <c r="B38" s="744"/>
      <c r="C38" s="745"/>
      <c r="D38" s="746"/>
      <c r="E38" s="747"/>
      <c r="F38" s="1565"/>
      <c r="G38" s="585"/>
      <c r="H38" s="921"/>
      <c r="I38" s="923"/>
      <c r="J38" s="1388"/>
      <c r="Q38" s="748">
        <v>6</v>
      </c>
    </row>
    <row customHeight="1" ht="36.75">
      <c r="A39" s="1297"/>
      <c r="D39" s="587"/>
      <c r="E39" s="903" t="s">
        <v>58</v>
      </c>
      <c r="F39" s="1222" t="s">
        <v>19</v>
      </c>
      <c r="G39" s="585"/>
      <c r="H39" s="1285" t="s">
        <v>22</v>
      </c>
      <c r="Q39" s="586">
        <v>35</v>
      </c>
    </row>
    <row s="46783" customFormat="1" customHeight="1" ht="6" hidden="1">
      <c r="A40" s="1296"/>
      <c r="B40" s="938"/>
      <c r="C40" s="939"/>
      <c r="D40" s="940"/>
      <c r="E40" s="941"/>
      <c r="F40" s="1565"/>
      <c r="G40" s="585"/>
      <c r="H40" s="921"/>
      <c r="I40" s="923"/>
      <c r="J40" s="1388"/>
      <c r="Q40" s="942">
        <v>6</v>
      </c>
    </row>
    <row s="46808" customFormat="1" customHeight="1" ht="26.25" hidden="1">
      <c r="A41" s="1300" t="s">
        <v>26</v>
      </c>
      <c r="B41" s="925"/>
      <c r="C41" s="920"/>
      <c r="D41" s="922"/>
      <c r="E41" s="903" t="str">
        <f>"Дифференциация информации по централизованным системам  "&amp;TEMPLATE_SPHERE_RUS</f>
        <v>Дифференциация информации по централизованным системам  водоотведения</v>
      </c>
      <c r="F41" s="1222" t="s">
        <v>19</v>
      </c>
      <c r="G41" s="585"/>
      <c r="I41" s="923"/>
      <c r="J41" s="1388"/>
      <c r="Q41" s="921">
        <v>0</v>
      </c>
    </row>
    <row s="46783" customFormat="1" customHeight="1" ht="6" hidden="1">
      <c r="A42" s="1296"/>
      <c r="B42" s="938"/>
      <c r="C42" s="939"/>
      <c r="D42" s="940"/>
      <c r="E42" s="941"/>
      <c r="F42" s="1565"/>
      <c r="G42" s="585"/>
      <c r="H42" s="921"/>
      <c r="I42" s="923"/>
      <c r="J42" s="1386"/>
      <c r="Q42" s="942">
        <v>0</v>
      </c>
    </row>
    <row s="46808" customFormat="1" customHeight="1" ht="27" hidden="1">
      <c r="A43" s="1296"/>
      <c r="B43" s="925"/>
      <c r="C43" s="920"/>
      <c r="D43" s="922"/>
      <c r="E43" s="903" t="s">
        <v>59</v>
      </c>
      <c r="F43" s="1222" t="s">
        <v>19</v>
      </c>
      <c r="G43" s="585"/>
      <c r="I43" s="923"/>
      <c r="J43" s="1388"/>
      <c r="Q43" s="921">
        <v>0</v>
      </c>
    </row>
    <row s="46808" customFormat="1" customHeight="1" ht="27" hidden="1">
      <c r="A44" s="1296"/>
      <c r="B44" s="925"/>
      <c r="C44" s="920"/>
      <c r="D44" s="922"/>
      <c r="E44" s="1677" t="s">
        <v>60</v>
      </c>
      <c r="F44" s="2400"/>
      <c r="G44" s="585"/>
      <c r="I44" s="923"/>
      <c r="J44" s="1388"/>
      <c r="Q44" s="921">
        <v>0</v>
      </c>
    </row>
    <row s="46783" customFormat="1" customHeight="1" ht="6" hidden="1">
      <c r="A45" s="1296"/>
      <c r="B45" s="938"/>
      <c r="C45" s="939"/>
      <c r="D45" s="940"/>
      <c r="E45" s="941"/>
      <c r="F45" s="1565"/>
      <c r="G45" s="585"/>
      <c r="H45" s="921"/>
      <c r="I45" s="923"/>
      <c r="J45" s="1388"/>
      <c r="Q45" s="942">
        <v>0</v>
      </c>
    </row>
    <row s="46783" customFormat="1" customHeight="1" ht="24.75" hidden="1">
      <c r="A46" s="1296"/>
      <c r="B46" s="938"/>
      <c r="C46" s="939"/>
      <c r="D46" s="940"/>
      <c r="E46" s="1677" t="s">
        <v>61</v>
      </c>
      <c r="F46" s="1222" t="s">
        <v>19</v>
      </c>
      <c r="G46" s="585"/>
      <c r="H46" s="921"/>
      <c r="I46" s="923"/>
      <c r="J46" s="1388"/>
      <c r="Q46" s="942">
        <v>0</v>
      </c>
    </row>
    <row s="46808" customFormat="1" customHeight="1" ht="24.75" hidden="1">
      <c r="A47" s="1296"/>
      <c r="B47" s="925"/>
      <c r="C47" s="920"/>
      <c r="D47" s="922"/>
      <c r="E47" s="1677" t="s">
        <v>62</v>
      </c>
      <c r="F47" s="1222" t="s">
        <v>19</v>
      </c>
      <c r="G47" s="585"/>
      <c r="I47" s="923"/>
      <c r="J47" s="1388"/>
      <c r="Q47" s="921">
        <v>0</v>
      </c>
    </row>
    <row s="46783" customFormat="1" customHeight="1" ht="6">
      <c r="A48" s="1296"/>
      <c r="B48" s="744"/>
      <c r="C48" s="745"/>
      <c r="D48" s="746"/>
      <c r="E48" s="747"/>
      <c r="F48" s="1565"/>
      <c r="G48" s="585"/>
      <c r="H48" s="921"/>
      <c r="I48" s="923"/>
      <c r="J48" s="1388"/>
      <c r="Q48" s="748">
        <v>0</v>
      </c>
    </row>
    <row customHeight="1" ht="29.25">
      <c r="B49" s="660"/>
      <c r="D49" s="587"/>
      <c r="E49" s="903"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водоотведения</v>
      </c>
      <c r="F49" s="1222" t="s">
        <v>63</v>
      </c>
      <c r="G49" s="585"/>
      <c r="Q49" s="586">
        <v>0</v>
      </c>
    </row>
    <row s="46783" customFormat="1" customHeight="1" ht="6" hidden="1">
      <c r="A50" s="1297"/>
      <c r="B50" s="938"/>
      <c r="C50" s="939"/>
      <c r="D50" s="751"/>
      <c r="E50" s="749"/>
      <c r="F50" s="752"/>
      <c r="G50" s="589"/>
      <c r="H50" s="921"/>
      <c r="I50" s="923"/>
      <c r="J50" s="1388"/>
      <c r="Q50" s="942">
        <v>0</v>
      </c>
    </row>
    <row s="46808" customFormat="1" customHeight="1" ht="28.5" hidden="1">
      <c r="A51" s="1298"/>
      <c r="B51" s="925"/>
      <c r="C51" s="1042"/>
      <c r="D51" s="1043"/>
      <c r="E51" s="903" t="s">
        <v>64</v>
      </c>
      <c r="F51" s="1222" t="s">
        <v>19</v>
      </c>
      <c r="G51" s="1044"/>
      <c r="I51" s="1046"/>
      <c r="J51" s="1390"/>
      <c r="P51" s="1047"/>
      <c r="Q51" s="1045">
        <v>0</v>
      </c>
    </row>
    <row s="46783" customFormat="1" customHeight="1" ht="6" hidden="1">
      <c r="A52" s="1297"/>
      <c r="B52" s="938"/>
      <c r="C52" s="939"/>
      <c r="D52" s="751"/>
      <c r="E52" s="749"/>
      <c r="F52" s="752"/>
      <c r="G52" s="589"/>
      <c r="H52" s="921"/>
      <c r="I52" s="923"/>
      <c r="J52" s="1386"/>
      <c r="Q52" s="942">
        <v>0</v>
      </c>
    </row>
    <row s="46808" customFormat="1" customHeight="1" ht="27" hidden="1">
      <c r="A53" s="1298"/>
      <c r="B53" s="925"/>
      <c r="C53" s="1042"/>
      <c r="D53" s="1043"/>
      <c r="E53" s="903" t="s">
        <v>65</v>
      </c>
      <c r="F53" s="1560" t="s">
        <v>19</v>
      </c>
      <c r="G53" s="1044"/>
      <c r="I53" s="1046"/>
      <c r="J53" s="1390"/>
      <c r="P53" s="1047"/>
      <c r="Q53" s="1045">
        <v>0</v>
      </c>
    </row>
    <row s="46808" customFormat="1" customHeight="1" ht="27" hidden="1">
      <c r="A54" s="1298"/>
      <c r="B54" s="925"/>
      <c r="C54" s="1042"/>
      <c r="D54" s="1043"/>
      <c r="E54" s="903" t="s">
        <v>66</v>
      </c>
      <c r="F54" s="2286"/>
      <c r="G54" s="1044"/>
      <c r="I54" s="1046"/>
      <c r="J54" s="1390"/>
      <c r="P54" s="1047"/>
      <c r="Q54" s="1045">
        <v>0</v>
      </c>
    </row>
    <row s="46783" customFormat="1" customHeight="1" ht="6" hidden="1">
      <c r="A55" s="1297"/>
      <c r="B55" s="938"/>
      <c r="C55" s="939"/>
      <c r="D55" s="751"/>
      <c r="E55" s="749"/>
      <c r="F55" s="752"/>
      <c r="G55" s="589"/>
      <c r="H55" s="921"/>
      <c r="I55" s="923"/>
      <c r="J55" s="1386"/>
      <c r="Q55" s="942">
        <v>0</v>
      </c>
    </row>
    <row s="46808" customFormat="1" customHeight="1" ht="25.5" hidden="1">
      <c r="A56" s="1298"/>
      <c r="B56" s="925"/>
      <c r="C56" s="1042"/>
      <c r="D56" s="1043"/>
      <c r="E56" s="903" t="s">
        <v>67</v>
      </c>
      <c r="F56" s="1560" t="s">
        <v>19</v>
      </c>
      <c r="G56" s="1044"/>
      <c r="I56" s="1046"/>
      <c r="J56" s="1390"/>
      <c r="P56" s="1047"/>
      <c r="Q56" s="1045">
        <v>0</v>
      </c>
    </row>
    <row s="46783" customFormat="1" customHeight="1" ht="6" hidden="1">
      <c r="A57" s="1297"/>
      <c r="B57" s="938"/>
      <c r="C57" s="939"/>
      <c r="D57" s="751"/>
      <c r="E57" s="749"/>
      <c r="F57" s="752"/>
      <c r="G57" s="589"/>
      <c r="H57" s="921"/>
      <c r="I57" s="923"/>
      <c r="J57" s="1386"/>
      <c r="Q57" s="942">
        <v>0</v>
      </c>
    </row>
    <row s="46808" customFormat="1" customHeight="1" ht="15" hidden="1">
      <c r="A58" s="1298"/>
      <c r="B58" s="925"/>
      <c r="C58" s="1042"/>
      <c r="D58" s="1043"/>
      <c r="E58" s="903" t="s">
        <v>68</v>
      </c>
      <c r="F58" s="1560" t="s">
        <v>63</v>
      </c>
      <c r="G58" s="1044"/>
      <c r="I58" s="1046"/>
      <c r="J58" s="1390"/>
      <c r="P58" s="1047"/>
      <c r="Q58" s="1045">
        <v>0</v>
      </c>
    </row>
    <row s="46808" customFormat="1" customHeight="1" ht="75" hidden="1">
      <c r="A59" s="1298"/>
      <c r="B59" s="925"/>
      <c r="C59" s="1042"/>
      <c r="D59" s="1043"/>
      <c r="E59" s="903"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водоотведения осуществляются по регулируемым ценам (тарифам) (за исключением деятельности по подключению (технологическому присоединению) к системе  водоотведения)</v>
      </c>
      <c r="F59" s="1701"/>
      <c r="G59" s="1044"/>
      <c r="I59" s="1046"/>
      <c r="J59" s="1390"/>
      <c r="P59" s="1047"/>
      <c r="Q59" s="1045">
        <v>0</v>
      </c>
    </row>
    <row s="46808" customFormat="1" customHeight="1" ht="15" hidden="1">
      <c r="A60" s="1298"/>
      <c r="B60" s="925"/>
      <c r="C60" s="1042"/>
      <c r="D60" s="1043"/>
      <c r="E60" s="1677" t="s">
        <v>69</v>
      </c>
      <c r="F60" s="1663"/>
      <c r="G60" s="1044"/>
      <c r="I60" s="1046"/>
      <c r="J60" s="1390"/>
      <c r="P60" s="1047"/>
      <c r="Q60" s="1045">
        <v>0</v>
      </c>
    </row>
    <row s="46783" customFormat="1" customHeight="1" ht="6" hidden="1">
      <c r="A61" s="1297"/>
      <c r="B61" s="938"/>
      <c r="C61" s="939"/>
      <c r="D61" s="940"/>
      <c r="E61" s="941"/>
      <c r="F61" s="1565"/>
      <c r="G61" s="585"/>
      <c r="H61" s="921"/>
      <c r="I61" s="923"/>
      <c r="J61" s="1388"/>
      <c r="Q61" s="942">
        <v>0</v>
      </c>
    </row>
    <row s="46808" customFormat="1" customHeight="1" ht="33.75" hidden="1">
      <c r="A62" s="1297"/>
      <c r="B62" s="610"/>
      <c r="C62" s="920"/>
      <c r="D62" s="922"/>
      <c r="E62" s="1677" t="s">
        <v>70</v>
      </c>
      <c r="F62" s="2183" t="s">
        <v>63</v>
      </c>
      <c r="G62" s="585"/>
      <c r="H62" s="1285" t="s">
        <v>22</v>
      </c>
      <c r="I62" s="923"/>
      <c r="J62" s="1388"/>
      <c r="Q62" s="921">
        <v>0</v>
      </c>
    </row>
    <row s="46783" customFormat="1" customHeight="1" ht="6.3">
      <c r="A63" s="1297"/>
      <c r="B63" s="744"/>
      <c r="C63" s="745"/>
      <c r="D63" s="751"/>
      <c r="E63" s="749"/>
      <c r="F63" s="752"/>
      <c r="G63" s="589"/>
      <c r="H63" s="921"/>
      <c r="I63" s="923"/>
      <c r="J63" s="1386"/>
      <c r="Q63" s="748">
        <v>6</v>
      </c>
    </row>
    <row customHeight="1" ht="21">
      <c r="A64" s="1299"/>
      <c r="B64" s="611"/>
      <c r="D64" s="594"/>
      <c r="E64" s="903" t="s">
        <v>71</v>
      </c>
      <c r="F64" s="728" t="s">
        <v>72</v>
      </c>
      <c r="G64" s="589"/>
      <c r="Q64" s="586">
        <v>20</v>
      </c>
    </row>
    <row customHeight="1" ht="21">
      <c r="A65" s="1299"/>
      <c r="B65" s="611"/>
      <c r="D65" s="594"/>
      <c r="E65" s="903" t="s">
        <v>73</v>
      </c>
      <c r="F65" s="728" t="s">
        <v>74</v>
      </c>
      <c r="G65" s="589"/>
      <c r="Q65" s="586">
        <v>20</v>
      </c>
    </row>
    <row customHeight="1" ht="36.75">
      <c r="D66" s="587"/>
      <c r="E66" s="905" t="s">
        <v>75</v>
      </c>
      <c r="F66" s="1566"/>
      <c r="G66" s="585"/>
      <c r="Q66" s="586">
        <v>35</v>
      </c>
    </row>
    <row customHeight="1" ht="21">
      <c r="A67" s="1299"/>
      <c r="D67" s="922"/>
      <c r="E67" s="903" t="s">
        <v>76</v>
      </c>
      <c r="F67" s="783" t="s">
        <v>77</v>
      </c>
      <c r="G67" s="589"/>
      <c r="Q67" s="586">
        <v>20</v>
      </c>
    </row>
    <row customHeight="1" ht="21">
      <c r="A68" s="1299"/>
      <c r="B68" s="611"/>
      <c r="D68" s="594"/>
      <c r="E68" s="903" t="s">
        <v>78</v>
      </c>
      <c r="F68" s="783" t="s">
        <v>79</v>
      </c>
      <c r="G68" s="589"/>
      <c r="Q68" s="586">
        <v>20</v>
      </c>
    </row>
    <row customHeight="1" ht="21">
      <c r="A69" s="1299"/>
      <c r="B69" s="611"/>
      <c r="D69" s="594"/>
      <c r="E69" s="903" t="s">
        <v>80</v>
      </c>
      <c r="F69" s="783" t="s">
        <v>81</v>
      </c>
      <c r="G69" s="589"/>
      <c r="Q69" s="586">
        <v>20</v>
      </c>
    </row>
    <row customHeight="1" ht="21">
      <c r="D70" s="922"/>
      <c r="E70" s="903" t="s">
        <v>82</v>
      </c>
      <c r="F70" s="5848" t="s">
        <v>83</v>
      </c>
      <c r="G70" s="585"/>
      <c r="Q70" s="586">
        <v>20</v>
      </c>
    </row>
    <row customHeight="1" ht="21">
      <c r="A71" s="1299"/>
      <c r="D71" s="585"/>
      <c r="F71" s="645"/>
      <c r="G71" s="589"/>
      <c r="Q71" s="586">
        <v>20</v>
      </c>
    </row>
    <row customHeight="1" ht="21">
      <c r="A72" s="1299"/>
      <c r="B72" s="611"/>
      <c r="D72" s="594"/>
      <c r="E72" s="593"/>
      <c r="F72" s="1545" t="s">
        <v>13</v>
      </c>
      <c r="G72" s="589"/>
      <c r="Q72" s="586">
        <v>20</v>
      </c>
    </row>
    <row customHeight="1" ht="21">
      <c r="A73" s="1299"/>
      <c r="B73" s="611"/>
      <c r="D73" s="594"/>
      <c r="E73" s="593"/>
      <c r="F73" s="646"/>
      <c r="G73" s="589"/>
      <c r="Q73" s="586">
        <v>20</v>
      </c>
    </row>
    <row customHeight="1" ht="21">
      <c r="A74" s="1299"/>
      <c r="B74" s="611"/>
      <c r="D74" s="594"/>
      <c r="E74" s="598"/>
      <c r="F74" s="646"/>
      <c r="G74" s="589"/>
      <c r="Q74" s="586">
        <v>20</v>
      </c>
    </row>
    <row customHeight="1" ht="21">
      <c r="A75" s="1299"/>
      <c r="B75" s="611"/>
      <c r="D75" s="594"/>
      <c r="E75" s="593"/>
      <c r="F75" s="646"/>
      <c r="G75" s="589"/>
      <c r="Q75" s="586">
        <v>20</v>
      </c>
    </row>
    <row customHeight="1" ht="11.549999999999999">
      <c r="Q76" s="586">
        <v>11</v>
      </c>
    </row>
    <row customHeight="1" ht="11.549999999999999">
      <c r="Q77" s="586">
        <v>11</v>
      </c>
    </row>
    <row customHeight="1" ht="11.549999999999999">
      <c r="E78" s="902"/>
      <c r="F78" s="902"/>
      <c r="G78" s="902"/>
      <c r="H78" s="902"/>
      <c r="I78" s="902"/>
      <c r="Q78" s="586">
        <v>11</v>
      </c>
    </row>
    <row customHeight="1" ht="11.25" hidden="1">
      <c r="A79" s="1296" t="s">
        <v>84</v>
      </c>
      <c r="B79" s="610">
        <v>0</v>
      </c>
      <c r="C79" s="584">
        <v>3</v>
      </c>
      <c r="D79" s="586">
        <v>1</v>
      </c>
      <c r="E79" s="586">
        <v>55</v>
      </c>
      <c r="F79" s="586">
        <v>54</v>
      </c>
      <c r="G79" s="1283">
        <v>1</v>
      </c>
      <c r="H79" s="921">
        <v>0</v>
      </c>
      <c r="I79" s="923">
        <v>59</v>
      </c>
      <c r="J79" s="1388">
        <v>0</v>
      </c>
      <c r="K79" s="586">
        <v>8</v>
      </c>
      <c r="L79" s="586">
        <v>77</v>
      </c>
      <c r="M79" s="586">
        <v>8</v>
      </c>
      <c r="N79" s="586">
        <v>8</v>
      </c>
      <c r="O79" s="586">
        <v>8</v>
      </c>
      <c r="P79" s="586">
        <v>8</v>
      </c>
      <c r="Q79" s="586">
        <v>11</v>
      </c>
    </row>
  </sheetData>
  <sheetProtection formatColumns="0" formatRows="0" sort="0" autoFilter="0" insertRows="0" insertColumns="1" deleteRows="0" deleteColumns="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display="Как заполнить?" tooltip="Помощь по работе с полями отчётной формы" xr:uid="{A12A5926-F402-895D-D9FD-9D1C00A51842}"/>
    <hyperlink ref="H17" location="Титульный!H9" display="Как заполнить?" tooltip="Помощь по работе с полями отчётной формы" xr:uid="{71ACAAF2-A846-EFFA-F764-2D556A289BFE}"/>
    <hyperlink ref="F24" r:id="rId4" xr:uid="{9E7FE83F-8E77-EF7F-A2B1-2319959ABAD1}"/>
    <hyperlink ref="F29" r:id="rId5" xr:uid="{C0AACA77-B948-D3B7-B7AF-F6D8D79C5A8B}"/>
    <hyperlink ref="H39" location="Титульный!H9" display="Как заполнить?" tooltip="Помощь по работе с полями отчётной формы" xr:uid="{B5B8A162-4083-1F14-CC47-3F5517CC7D89}"/>
    <hyperlink ref="H62" location="Титульный!H9" display="Как заполнить?" tooltip="Помощь по работе с полями отчётной формы" xr:uid="{66AA5B13-5FAA-53CA-FC56-28DCC2F40F4D}"/>
    <hyperlink ref="F70" r:id="rId6" xr:uid="{2146178C-6F33-DD0D-EC84-B4C32682A1DF}"/>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3E5D7AE-E17A-F1B8-36DE-14B24F1250B8}" mc:Ignorable="x14ac xr xr2 xr3">
  <sheetPr>
    <tabColor theme="6" tint="0.4"/>
  </sheetPr>
  <dimension ref="A1:BA70"/>
  <sheetViews>
    <sheetView topLeftCell="A1" showGridLines="0" zoomScale="90" workbookViewId="0">
      <selection activeCell="A1" sqref="A1"/>
    </sheetView>
  </sheetViews>
  <sheetFormatPr defaultColWidth="10.57421875" customHeight="1" defaultRowHeight="14.25"/>
  <cols>
    <col min="1" max="1" style="46889" width="10.57421875" hidden="1"/>
    <col min="2" max="2" style="46889" width="11.00390625" hidden="1" customWidth="1"/>
    <col min="3" max="3" style="46889" width="10.57421875" hidden="1"/>
    <col min="4" max="4" style="46889" width="11.8515625" hidden="1" customWidth="1"/>
    <col min="5" max="5" style="46889" width="10.00390625" hidden="1" customWidth="1"/>
    <col min="6" max="6" style="46889" width="8.7109375" hidden="1" customWidth="1"/>
    <col min="7" max="7" style="46889" width="7.57421875" hidden="1" customWidth="1"/>
    <col min="8" max="8" style="46889" width="11.421875" hidden="1" customWidth="1"/>
    <col min="9" max="9" style="46889" width="12.00390625" hidden="1" customWidth="1"/>
    <col min="10" max="10" style="46889" width="9.8515625" hidden="1" customWidth="1"/>
    <col min="11" max="11" style="46889" width="11.421875" hidden="1" customWidth="1"/>
    <col min="12" max="12" style="47738" width="19.140625" hidden="1" customWidth="1"/>
    <col min="13" max="14" style="47739" width="12.28125" hidden="1" customWidth="1"/>
    <col min="15" max="15" style="47739" width="23.421875" hidden="1" customWidth="1"/>
    <col min="16" max="16" style="47739" width="3.00390625" customWidth="1"/>
    <col min="17" max="17" style="47924" width="3.00390625" customWidth="1"/>
    <col min="18" max="18" style="47741" width="3.00390625" customWidth="1"/>
    <col min="19" max="19" style="47742" width="12.00390625" customWidth="1"/>
    <col min="20" max="20" style="46808" width="31.00390625" customWidth="1"/>
    <col min="21" max="21" style="46808" width="0.140625" customWidth="1"/>
    <col min="22" max="23" style="46808" width="21.7109375" hidden="1" customWidth="1"/>
    <col min="24" max="24" style="46808" width="11.7109375" hidden="1" customWidth="1"/>
    <col min="25" max="25" style="46808" width="3.7109375" hidden="1" customWidth="1"/>
    <col min="26" max="26" style="46808" width="11.7109375" hidden="1" customWidth="1"/>
    <col min="27" max="27" style="46808" width="8.57421875" hidden="1" customWidth="1"/>
    <col min="28" max="28" style="46808" width="5.421875" customWidth="1"/>
    <col min="29" max="30" style="46808" width="3.00390625" customWidth="1"/>
    <col min="31" max="31" style="46808" width="24.00390625" customWidth="1"/>
    <col min="32" max="32" style="46808" width="3.7109375" customWidth="1"/>
    <col min="33" max="34" style="46808" width="3.00390625" customWidth="1"/>
    <col min="35" max="35" style="46808" width="24.00390625" customWidth="1"/>
    <col min="36" max="36" style="46808" width="3.7109375" customWidth="1"/>
    <col min="37" max="38" style="46808" width="3.00390625" customWidth="1"/>
    <col min="39" max="39" style="46808" width="18.00390625" customWidth="1"/>
    <col min="40" max="41" style="46808" width="21.00390625" customWidth="1"/>
    <col min="42" max="42" style="46808" width="11.00390625" customWidth="1"/>
    <col min="43" max="43" style="46808" width="3.7109375" customWidth="1"/>
    <col min="44" max="44" style="46808" width="11.00390625" customWidth="1"/>
    <col min="45" max="45" style="46808" width="8.57421875" hidden="1" customWidth="1"/>
    <col min="46" max="46" style="46808" width="4.00390625" customWidth="1"/>
    <col min="47" max="47" style="46808" width="115.00390625" customWidth="1"/>
    <col min="48" max="52" style="46890" width="10.00390625" customWidth="1"/>
    <col min="53" max="53" style="46808" width="10.57421875" hidden="1"/>
  </cols>
  <sheetData>
    <row customHeight="1" ht="22.5" hidden="1">
      <c r="W1" s="839"/>
      <c r="X1" s="839"/>
      <c r="AO1" s="839"/>
      <c r="AP1" s="839"/>
      <c r="BA1" s="1667" t="s">
        <v>14</v>
      </c>
    </row>
    <row customHeight="1" ht="21" hidden="1">
      <c r="A2" s="1875"/>
      <c r="B2" s="1875"/>
      <c r="C2" s="1875"/>
      <c r="D2" s="1875"/>
      <c r="E2" s="2770">
        <v>1</v>
      </c>
      <c r="F2" s="1875"/>
      <c r="G2" s="1875"/>
      <c r="H2" s="1875"/>
      <c r="I2" s="1875"/>
      <c r="J2" s="1875"/>
      <c r="K2" s="1875"/>
      <c r="L2" s="1876"/>
      <c r="M2" s="1877"/>
      <c r="N2" s="1877"/>
      <c r="O2" s="1877"/>
      <c r="P2" s="1921"/>
      <c r="Q2" s="1385"/>
      <c r="R2" s="867"/>
      <c r="S2" s="1848">
        <f>INDEX(PT_DIFFERENTIATION_NUM_NTAR,MATCH(A2,PT_DIFFERENTIATION_NTAR_ID,0))</f>
      </c>
      <c r="T2" s="810" t="s">
        <v>179</v>
      </c>
      <c r="U2" s="812"/>
      <c r="V2" s="2755"/>
      <c r="W2" s="2755"/>
      <c r="X2" s="2755"/>
      <c r="Y2" s="2755"/>
      <c r="Z2" s="2755"/>
      <c r="AA2" s="2756"/>
      <c r="AB2" s="2754">
        <f>INDEX(PT_DIFFERENTIATION_NTAR,MATCH(A2,PT_DIFFERENTIATION_NTAR_ID,0))</f>
      </c>
      <c r="AC2" s="2755"/>
      <c r="AD2" s="2755"/>
      <c r="AE2" s="2755"/>
      <c r="AF2" s="2755"/>
      <c r="AG2" s="2755"/>
      <c r="AH2" s="2755"/>
      <c r="AI2" s="2755"/>
      <c r="AJ2" s="2755"/>
      <c r="AK2" s="2755"/>
      <c r="AL2" s="2755"/>
      <c r="AM2" s="2755"/>
      <c r="AN2" s="2755"/>
      <c r="AO2" s="2755"/>
      <c r="AP2" s="2755"/>
      <c r="AQ2" s="2755"/>
      <c r="AR2" s="2755"/>
      <c r="AS2" s="2755"/>
      <c r="AT2" s="2756"/>
      <c r="AU2" s="1770" t="s">
        <v>514</v>
      </c>
      <c r="AW2" s="1012"/>
      <c r="AX2" s="1012" t="str">
        <f>IF(T2="","",T2)</f>
        <v>Наименование тарифа</v>
      </c>
      <c r="AY2" s="1012"/>
      <c r="AZ2" s="1012"/>
      <c r="BA2" s="1667">
        <v>0</v>
      </c>
    </row>
    <row customHeight="1" ht="21" hidden="1">
      <c r="A3" s="1875"/>
      <c r="B3" s="1875"/>
      <c r="C3" s="1875"/>
      <c r="D3" s="1875"/>
      <c r="E3" s="2771"/>
      <c r="F3" s="2770">
        <v>1</v>
      </c>
      <c r="G3" s="1875"/>
      <c r="H3" s="1875"/>
      <c r="I3" s="1875"/>
      <c r="J3" s="1875"/>
      <c r="K3" s="1875"/>
      <c r="L3" s="1876"/>
      <c r="M3" s="1877"/>
      <c r="N3" s="1877"/>
      <c r="O3" s="1877"/>
      <c r="P3" s="1922"/>
      <c r="Q3" s="1923"/>
      <c r="R3" s="865"/>
      <c r="S3" s="1848">
        <f>INDEX(PT_DIFFERENTIATION_NUM_TER,MATCH(B3,PT_DIFFERENTIATION_TER_ID,0))</f>
      </c>
      <c r="T3" s="820" t="s">
        <v>515</v>
      </c>
      <c r="U3" s="812"/>
      <c r="V3" s="2755"/>
      <c r="W3" s="2755"/>
      <c r="X3" s="2755"/>
      <c r="Y3" s="2755"/>
      <c r="Z3" s="2755"/>
      <c r="AA3" s="2756"/>
      <c r="AB3" s="2754">
        <f>INDEX(PT_DIFFERENTIATION_TER,MATCH(B3,PT_DIFFERENTIATION_TER_ID,0))</f>
      </c>
      <c r="AC3" s="2755"/>
      <c r="AD3" s="2755"/>
      <c r="AE3" s="2755"/>
      <c r="AF3" s="2755"/>
      <c r="AG3" s="2755"/>
      <c r="AH3" s="2755"/>
      <c r="AI3" s="2755"/>
      <c r="AJ3" s="2755"/>
      <c r="AK3" s="2755"/>
      <c r="AL3" s="2755"/>
      <c r="AM3" s="2755"/>
      <c r="AN3" s="2755"/>
      <c r="AO3" s="2755"/>
      <c r="AP3" s="2755"/>
      <c r="AQ3" s="2755"/>
      <c r="AR3" s="2755"/>
      <c r="AS3" s="2755"/>
      <c r="AT3" s="2756"/>
      <c r="AU3" s="1770" t="s">
        <v>516</v>
      </c>
      <c r="AW3" s="1012"/>
      <c r="AX3" s="1012" t="str">
        <f>IF(T3="","",T3)</f>
        <v>Территория действия тарифа</v>
      </c>
      <c r="AY3" s="1012"/>
      <c r="AZ3" s="1012"/>
      <c r="BA3" s="1667">
        <v>0</v>
      </c>
    </row>
    <row customHeight="1" ht="22.5" hidden="1">
      <c r="A4" s="1875"/>
      <c r="B4" s="1875"/>
      <c r="C4" s="1875"/>
      <c r="D4" s="1875"/>
      <c r="E4" s="2771"/>
      <c r="F4" s="2771"/>
      <c r="G4" s="2770">
        <v>1</v>
      </c>
      <c r="H4" s="1875"/>
      <c r="I4" s="1875"/>
      <c r="J4" s="1875"/>
      <c r="K4" s="1875"/>
      <c r="L4" s="1876"/>
      <c r="M4" s="1877"/>
      <c r="N4" s="1877"/>
      <c r="O4" s="1877"/>
      <c r="P4" s="1924"/>
      <c r="Q4" s="1923"/>
      <c r="R4" s="865"/>
      <c r="S4" s="1848">
        <f>INDEX(PT_DIFFERENTIATION_NUM_CS,MATCH(C4,PT_DIFFERENTIATION_CS_ID,0))</f>
      </c>
      <c r="T4" s="821" t="s">
        <v>517</v>
      </c>
      <c r="U4" s="812"/>
      <c r="V4" s="2755"/>
      <c r="W4" s="2755"/>
      <c r="X4" s="2755"/>
      <c r="Y4" s="2755"/>
      <c r="Z4" s="2755"/>
      <c r="AA4" s="2756"/>
      <c r="AB4" s="2754">
        <f>INDEX(PT_DIFFERENTIATION_CS,MATCH(C4,PT_DIFFERENTIATION_CS_ID,0))</f>
      </c>
      <c r="AC4" s="2755"/>
      <c r="AD4" s="2755"/>
      <c r="AE4" s="2755"/>
      <c r="AF4" s="2755"/>
      <c r="AG4" s="2755"/>
      <c r="AH4" s="2755"/>
      <c r="AI4" s="2755"/>
      <c r="AJ4" s="2755"/>
      <c r="AK4" s="2755"/>
      <c r="AL4" s="2755"/>
      <c r="AM4" s="2755"/>
      <c r="AN4" s="2755"/>
      <c r="AO4" s="2755"/>
      <c r="AP4" s="2755"/>
      <c r="AQ4" s="2755"/>
      <c r="AR4" s="2755"/>
      <c r="AS4" s="2755"/>
      <c r="AT4" s="2756"/>
      <c r="AU4" s="1770" t="s">
        <v>518</v>
      </c>
      <c r="AW4" s="1012"/>
      <c r="AX4" s="1012" t="str">
        <f>IF(T4="","",T4)</f>
        <v>Наименование системы теплоснабжения </v>
      </c>
      <c r="AY4" s="1012"/>
      <c r="AZ4" s="1012"/>
      <c r="BA4" s="1667">
        <v>0</v>
      </c>
    </row>
    <row customHeight="1" ht="21" hidden="1">
      <c r="A5" s="1875"/>
      <c r="B5" s="1875"/>
      <c r="C5" s="1875"/>
      <c r="D5" s="1875"/>
      <c r="E5" s="2771"/>
      <c r="F5" s="2771"/>
      <c r="G5" s="2771"/>
      <c r="H5" s="2770">
        <v>1</v>
      </c>
      <c r="I5" s="1875"/>
      <c r="J5" s="1875"/>
      <c r="K5" s="1875"/>
      <c r="L5" s="1876"/>
      <c r="M5" s="1877"/>
      <c r="N5" s="1877"/>
      <c r="O5" s="1877"/>
      <c r="P5" s="1924"/>
      <c r="Q5" s="1923"/>
      <c r="R5" s="865"/>
      <c r="S5" s="1848">
        <f>INDEX(PT_DIFFERENTIATION_NUM_IST_TE,MATCH(D5,PT_DIFFERENTIATION_IST_TE_ID,0))</f>
      </c>
      <c r="T5" s="822" t="s">
        <v>519</v>
      </c>
      <c r="U5" s="812"/>
      <c r="V5" s="2755"/>
      <c r="W5" s="2755"/>
      <c r="X5" s="2755"/>
      <c r="Y5" s="2755"/>
      <c r="Z5" s="2755"/>
      <c r="AA5" s="2756"/>
      <c r="AB5" s="2754">
        <f>INDEX(PT_DIFFERENTIATION_IST_TE,MATCH(D5,PT_DIFFERENTIATION_IST_TE_ID,0))</f>
      </c>
      <c r="AC5" s="2755"/>
      <c r="AD5" s="2755"/>
      <c r="AE5" s="2755"/>
      <c r="AF5" s="2755"/>
      <c r="AG5" s="2755"/>
      <c r="AH5" s="2755"/>
      <c r="AI5" s="2755"/>
      <c r="AJ5" s="2755"/>
      <c r="AK5" s="2755"/>
      <c r="AL5" s="2755"/>
      <c r="AM5" s="2755"/>
      <c r="AN5" s="2755"/>
      <c r="AO5" s="2755"/>
      <c r="AP5" s="2755"/>
      <c r="AQ5" s="2755"/>
      <c r="AR5" s="2755"/>
      <c r="AS5" s="2755"/>
      <c r="AT5" s="2756"/>
      <c r="AU5" s="1770" t="s">
        <v>520</v>
      </c>
      <c r="AW5" s="1012"/>
      <c r="AX5" s="1012" t="str">
        <f>IF(T5="","",T5)</f>
        <v>Источник тепловой энергии  </v>
      </c>
      <c r="AY5" s="1012"/>
      <c r="AZ5" s="1012"/>
      <c r="BA5" s="1667">
        <v>0</v>
      </c>
    </row>
    <row s="46890" customFormat="1" customHeight="1" ht="0.75" hidden="1">
      <c r="A6" s="1855"/>
      <c r="B6" s="1855"/>
      <c r="C6" s="1855"/>
      <c r="D6" s="1855"/>
      <c r="E6" s="2771"/>
      <c r="F6" s="2771"/>
      <c r="G6" s="2771"/>
      <c r="H6" s="2771"/>
      <c r="I6" s="2768">
        <f>S5&amp;".1"</f>
      </c>
      <c r="J6" s="1855"/>
      <c r="K6" s="1855"/>
      <c r="L6" s="1858" t="s">
        <v>521</v>
      </c>
      <c r="M6" s="1022"/>
      <c r="N6" s="1022"/>
      <c r="O6" s="1022"/>
      <c r="P6" s="2769">
        <v>1</v>
      </c>
      <c r="Q6" s="1843"/>
      <c r="R6" s="868"/>
      <c r="S6" s="1554"/>
      <c r="T6" s="1895"/>
      <c r="U6" s="1896"/>
      <c r="V6" s="2809"/>
      <c r="W6" s="2809"/>
      <c r="X6" s="2809"/>
      <c r="Y6" s="2809"/>
      <c r="Z6" s="2809"/>
      <c r="AA6" s="2810"/>
      <c r="AB6" s="2808"/>
      <c r="AC6" s="2809"/>
      <c r="AD6" s="2809"/>
      <c r="AE6" s="2809"/>
      <c r="AF6" s="2809"/>
      <c r="AG6" s="2809"/>
      <c r="AH6" s="2809"/>
      <c r="AI6" s="2809"/>
      <c r="AJ6" s="2809"/>
      <c r="AK6" s="2809"/>
      <c r="AL6" s="2809"/>
      <c r="AM6" s="2809"/>
      <c r="AN6" s="2809"/>
      <c r="AO6" s="2809"/>
      <c r="AP6" s="2809"/>
      <c r="AQ6" s="2809"/>
      <c r="AR6" s="2809"/>
      <c r="AS6" s="2809"/>
      <c r="AT6" s="2810"/>
      <c r="AU6" s="1897"/>
      <c r="AW6" s="1012"/>
      <c r="AX6" s="1012" t="str">
        <f>IF(T6="","",T6)</f>
        <v/>
      </c>
      <c r="AY6" s="1012"/>
      <c r="AZ6" s="1012"/>
      <c r="BA6" s="1023">
        <v>0</v>
      </c>
    </row>
    <row s="46890" customFormat="1" customHeight="1" ht="0.75" hidden="1">
      <c r="A7" s="1855"/>
      <c r="B7" s="1855"/>
      <c r="C7" s="1855"/>
      <c r="D7" s="1855"/>
      <c r="E7" s="2771"/>
      <c r="F7" s="2771"/>
      <c r="G7" s="2771"/>
      <c r="H7" s="2771"/>
      <c r="I7" s="2798"/>
      <c r="J7" s="2768">
        <f>S5&amp;".1"</f>
      </c>
      <c r="K7" s="1855"/>
      <c r="L7" s="1858"/>
      <c r="M7" s="1022"/>
      <c r="N7" s="1022"/>
      <c r="O7" s="1022"/>
      <c r="P7" s="2769"/>
      <c r="Q7" s="2769">
        <v>1</v>
      </c>
      <c r="R7" s="869"/>
      <c r="S7" s="1554"/>
      <c r="T7" s="1911"/>
      <c r="U7" s="1896"/>
      <c r="V7" s="2809"/>
      <c r="W7" s="2809"/>
      <c r="X7" s="2809"/>
      <c r="Y7" s="2809"/>
      <c r="Z7" s="2809"/>
      <c r="AA7" s="2810"/>
      <c r="AB7" s="2808"/>
      <c r="AC7" s="2809"/>
      <c r="AD7" s="2809"/>
      <c r="AE7" s="2809"/>
      <c r="AF7" s="2809"/>
      <c r="AG7" s="2809"/>
      <c r="AH7" s="2809"/>
      <c r="AI7" s="2809"/>
      <c r="AJ7" s="2809"/>
      <c r="AK7" s="2809"/>
      <c r="AL7" s="2809"/>
      <c r="AM7" s="2809"/>
      <c r="AN7" s="2809"/>
      <c r="AO7" s="2809"/>
      <c r="AP7" s="2809"/>
      <c r="AQ7" s="2809"/>
      <c r="AR7" s="2809"/>
      <c r="AS7" s="2809"/>
      <c r="AT7" s="2810"/>
      <c r="AU7" s="1897"/>
      <c r="AW7" s="1012"/>
      <c r="AX7" s="1012" t="str">
        <f>IF(T7="","",T7)</f>
        <v/>
      </c>
      <c r="AY7" s="1012"/>
      <c r="AZ7" s="1012"/>
      <c r="BA7" s="1023">
        <v>0</v>
      </c>
    </row>
    <row customHeight="1" ht="21" hidden="1">
      <c r="A8" s="1875"/>
      <c r="B8" s="1875"/>
      <c r="C8" s="1875"/>
      <c r="D8" s="1875"/>
      <c r="E8" s="2771"/>
      <c r="F8" s="2771"/>
      <c r="G8" s="2771"/>
      <c r="H8" s="2771"/>
      <c r="I8" s="2798"/>
      <c r="J8" s="2798"/>
      <c r="K8" s="2768">
        <f>S5&amp;".1"</f>
      </c>
      <c r="L8" s="1876"/>
      <c r="P8" s="2769"/>
      <c r="Q8" s="2769"/>
      <c r="R8" s="2859">
        <v>1</v>
      </c>
      <c r="S8" s="2853">
        <f>$K8</f>
      </c>
      <c r="T8" s="2856"/>
      <c r="U8" s="812"/>
      <c r="V8" s="1263"/>
      <c r="W8" s="1769"/>
      <c r="X8" s="2777"/>
      <c r="Y8" s="2619" t="s">
        <v>63</v>
      </c>
      <c r="Z8" s="2777"/>
      <c r="AA8" s="2619" t="s">
        <v>63</v>
      </c>
      <c r="AB8" s="2619" t="s">
        <v>19</v>
      </c>
      <c r="AC8" s="2838"/>
      <c r="AD8" s="2717">
        <v>1</v>
      </c>
      <c r="AE8" s="2839"/>
      <c r="AF8" s="2619" t="s">
        <v>19</v>
      </c>
      <c r="AG8" s="2838"/>
      <c r="AH8" s="2717">
        <v>1</v>
      </c>
      <c r="AI8" s="2839"/>
      <c r="AJ8" s="2619" t="s">
        <v>19</v>
      </c>
      <c r="AK8" s="823"/>
      <c r="AL8" s="1849">
        <v>1</v>
      </c>
      <c r="AM8" s="1910"/>
      <c r="AN8" s="1263"/>
      <c r="AO8" s="1769"/>
      <c r="AP8" s="2246"/>
      <c r="AQ8" s="1971" t="s">
        <v>63</v>
      </c>
      <c r="AR8" s="2246"/>
      <c r="AS8" s="1971" t="s">
        <v>63</v>
      </c>
      <c r="AT8" s="1860"/>
      <c r="AU8" s="2765" t="s">
        <v>579</v>
      </c>
      <c r="AV8" s="1023">
        <f>STRCHECKDATE(V11:AT11)</f>
      </c>
      <c r="AW8" s="1012"/>
      <c r="AX8" s="1012" t="str">
        <f>IF(T8="","",T8)</f>
        <v/>
      </c>
      <c r="AY8" s="1012"/>
      <c r="AZ8" s="1012"/>
      <c r="BA8" s="1667">
        <v>0</v>
      </c>
    </row>
    <row customHeight="1" ht="11.25" hidden="1">
      <c r="A9" s="1875"/>
      <c r="B9" s="1875"/>
      <c r="C9" s="1875"/>
      <c r="D9" s="1875"/>
      <c r="E9" s="2771"/>
      <c r="F9" s="2771"/>
      <c r="G9" s="2771"/>
      <c r="H9" s="2771"/>
      <c r="I9" s="2798"/>
      <c r="J9" s="2798"/>
      <c r="K9" s="2768"/>
      <c r="L9" s="1876"/>
      <c r="P9" s="2769"/>
      <c r="Q9" s="2769"/>
      <c r="R9" s="2859"/>
      <c r="S9" s="2854"/>
      <c r="T9" s="2857"/>
      <c r="U9" s="812"/>
      <c r="V9" s="1905"/>
      <c r="W9" s="1909"/>
      <c r="X9" s="2777"/>
      <c r="Y9" s="2619"/>
      <c r="Z9" s="2777"/>
      <c r="AA9" s="2619"/>
      <c r="AB9" s="2619"/>
      <c r="AC9" s="2838"/>
      <c r="AD9" s="2717"/>
      <c r="AE9" s="2839"/>
      <c r="AF9" s="2619"/>
      <c r="AG9" s="2838"/>
      <c r="AH9" s="2717"/>
      <c r="AI9" s="2839"/>
      <c r="AJ9" s="2619"/>
      <c r="AK9" s="828"/>
      <c r="AL9" s="928"/>
      <c r="AM9" s="927" t="s">
        <v>580</v>
      </c>
      <c r="AN9" s="1905"/>
      <c r="AO9" s="2008"/>
      <c r="AP9" s="1905"/>
      <c r="AQ9" s="1905"/>
      <c r="AR9" s="1905"/>
      <c r="AS9" s="1905"/>
      <c r="AT9" s="1902"/>
      <c r="AU9" s="2766"/>
      <c r="AW9" s="1012"/>
      <c r="AX9" s="1012"/>
      <c r="AY9" s="1012"/>
      <c r="AZ9" s="1012"/>
      <c r="BA9" s="1667">
        <v>0</v>
      </c>
    </row>
    <row customHeight="1" ht="11.25" hidden="1">
      <c r="A10" s="1875"/>
      <c r="B10" s="1875"/>
      <c r="C10" s="1875"/>
      <c r="D10" s="1875"/>
      <c r="E10" s="2771"/>
      <c r="F10" s="2771"/>
      <c r="G10" s="2771"/>
      <c r="H10" s="2771"/>
      <c r="I10" s="2798"/>
      <c r="J10" s="2798"/>
      <c r="K10" s="2768"/>
      <c r="L10" s="1876"/>
      <c r="P10" s="2769"/>
      <c r="Q10" s="2769"/>
      <c r="R10" s="2859"/>
      <c r="S10" s="2854"/>
      <c r="T10" s="2857"/>
      <c r="U10" s="812"/>
      <c r="V10" s="1905"/>
      <c r="W10" s="1909"/>
      <c r="X10" s="2777"/>
      <c r="Y10" s="2619"/>
      <c r="Z10" s="2777"/>
      <c r="AA10" s="2619"/>
      <c r="AB10" s="2619"/>
      <c r="AC10" s="2838"/>
      <c r="AD10" s="2717"/>
      <c r="AE10" s="2839"/>
      <c r="AF10" s="2619"/>
      <c r="AG10" s="806"/>
      <c r="AH10" s="927"/>
      <c r="AI10" s="927" t="s">
        <v>581</v>
      </c>
      <c r="AJ10" s="1905"/>
      <c r="AK10" s="1905"/>
      <c r="AL10" s="1905"/>
      <c r="AM10" s="1905"/>
      <c r="AN10" s="1905"/>
      <c r="AO10" s="2008"/>
      <c r="AP10" s="1905"/>
      <c r="AQ10" s="1905"/>
      <c r="AR10" s="1905"/>
      <c r="AS10" s="1905"/>
      <c r="AT10" s="1902"/>
      <c r="AU10" s="2766"/>
      <c r="AW10" s="1012"/>
      <c r="AX10" s="1012"/>
      <c r="AY10" s="1012"/>
      <c r="AZ10" s="1012"/>
      <c r="BA10" s="1667">
        <v>0</v>
      </c>
    </row>
    <row customHeight="1" ht="11.25" hidden="1">
      <c r="A11" s="1875"/>
      <c r="B11" s="1875"/>
      <c r="C11" s="1875"/>
      <c r="D11" s="1875"/>
      <c r="E11" s="2771"/>
      <c r="F11" s="2771"/>
      <c r="G11" s="2771"/>
      <c r="H11" s="2771"/>
      <c r="I11" s="2798"/>
      <c r="J11" s="2798"/>
      <c r="K11" s="2768"/>
      <c r="L11" s="1876"/>
      <c r="P11" s="2769"/>
      <c r="Q11" s="2769"/>
      <c r="R11" s="2859"/>
      <c r="S11" s="2855"/>
      <c r="T11" s="2858"/>
      <c r="U11" s="812"/>
      <c r="V11" s="1905"/>
      <c r="W11" s="1908" t="str">
        <f>X8&amp;"-"&amp;Z8</f>
        <v>-</v>
      </c>
      <c r="X11" s="2778"/>
      <c r="Y11" s="2619"/>
      <c r="Z11" s="2778"/>
      <c r="AA11" s="2619"/>
      <c r="AB11" s="2619"/>
      <c r="AC11" s="824"/>
      <c r="AD11" s="826"/>
      <c r="AE11" s="927" t="s">
        <v>582</v>
      </c>
      <c r="AF11" s="1905"/>
      <c r="AG11" s="1905"/>
      <c r="AH11" s="1905"/>
      <c r="AI11" s="1905"/>
      <c r="AJ11" s="1905"/>
      <c r="AK11" s="1905"/>
      <c r="AL11" s="1905"/>
      <c r="AM11" s="1905"/>
      <c r="AN11" s="1905"/>
      <c r="AO11" s="1906" t="str">
        <f>AP8&amp;"-"&amp;AR8</f>
        <v>-</v>
      </c>
      <c r="AP11" s="1905"/>
      <c r="AQ11" s="1905"/>
      <c r="AR11" s="1905"/>
      <c r="AS11" s="1905"/>
      <c r="AT11" s="1861"/>
      <c r="AU11" s="2766"/>
      <c r="AW11" s="1012"/>
      <c r="AX11" s="1012" t="str">
        <f>IF(T11="","",T11)</f>
        <v/>
      </c>
      <c r="AY11" s="1012"/>
      <c r="AZ11" s="1012"/>
      <c r="BA11" s="1667">
        <v>0</v>
      </c>
    </row>
    <row customHeight="1" ht="11.25" hidden="1">
      <c r="A12" s="1875"/>
      <c r="B12" s="1875"/>
      <c r="C12" s="1875"/>
      <c r="D12" s="1875"/>
      <c r="E12" s="2771"/>
      <c r="F12" s="2771"/>
      <c r="G12" s="2771"/>
      <c r="H12" s="2771"/>
      <c r="I12" s="2798"/>
      <c r="J12" s="2768"/>
      <c r="K12" s="1875"/>
      <c r="L12" s="1876"/>
      <c r="P12" s="2769"/>
      <c r="Q12" s="2769"/>
      <c r="R12" s="868"/>
      <c r="S12" s="1790"/>
      <c r="T12" s="799" t="s">
        <v>583</v>
      </c>
      <c r="U12" s="879"/>
      <c r="V12" s="879"/>
      <c r="W12" s="879"/>
      <c r="X12" s="879"/>
      <c r="Y12" s="879"/>
      <c r="Z12" s="879"/>
      <c r="AA12" s="879"/>
      <c r="AB12" s="879"/>
      <c r="AC12" s="879"/>
      <c r="AD12" s="879"/>
      <c r="AE12" s="879"/>
      <c r="AF12" s="879"/>
      <c r="AG12" s="879"/>
      <c r="AH12" s="879"/>
      <c r="AI12" s="879"/>
      <c r="AJ12" s="879"/>
      <c r="AK12" s="879"/>
      <c r="AL12" s="879"/>
      <c r="AM12" s="879"/>
      <c r="AN12" s="879"/>
      <c r="AO12" s="879"/>
      <c r="AP12" s="879"/>
      <c r="AQ12" s="879"/>
      <c r="AR12" s="879"/>
      <c r="AS12" s="879"/>
      <c r="AT12" s="836"/>
      <c r="AU12" s="2767"/>
      <c r="AW12" s="1012"/>
      <c r="AX12" s="1012" t="str">
        <f>IF(T12="","",T12)</f>
        <v>Добавить строку</v>
      </c>
      <c r="AY12" s="1012"/>
      <c r="AZ12" s="1012"/>
      <c r="BA12" s="1667">
        <v>0</v>
      </c>
    </row>
    <row s="46890" customFormat="1" customHeight="1" ht="0.75" hidden="1">
      <c r="A13" s="1855"/>
      <c r="B13" s="1855"/>
      <c r="C13" s="1855"/>
      <c r="D13" s="1855"/>
      <c r="E13" s="2771"/>
      <c r="F13" s="2771"/>
      <c r="G13" s="2771"/>
      <c r="H13" s="2771"/>
      <c r="I13" s="2768"/>
      <c r="J13" s="1855"/>
      <c r="K13" s="1855"/>
      <c r="L13" s="1858"/>
      <c r="M13" s="1022"/>
      <c r="N13" s="1022"/>
      <c r="O13" s="1022"/>
      <c r="P13" s="2769"/>
      <c r="Q13" s="1843"/>
      <c r="R13" s="868"/>
      <c r="S13" s="1898"/>
      <c r="T13" s="1899"/>
      <c r="U13" s="1900"/>
      <c r="V13" s="1900"/>
      <c r="W13" s="1900"/>
      <c r="X13" s="1900"/>
      <c r="Y13" s="1900"/>
      <c r="Z13" s="1900"/>
      <c r="AA13" s="1900"/>
      <c r="AB13" s="1900"/>
      <c r="AC13" s="1900"/>
      <c r="AD13" s="1900"/>
      <c r="AE13" s="1900"/>
      <c r="AF13" s="1900"/>
      <c r="AG13" s="1900"/>
      <c r="AH13" s="1900"/>
      <c r="AI13" s="1900"/>
      <c r="AJ13" s="1900"/>
      <c r="AK13" s="1900"/>
      <c r="AL13" s="1900"/>
      <c r="AM13" s="1900"/>
      <c r="AN13" s="1900"/>
      <c r="AO13" s="1900"/>
      <c r="AP13" s="1900"/>
      <c r="AQ13" s="1900"/>
      <c r="AR13" s="1900"/>
      <c r="AS13" s="1900"/>
      <c r="AT13" s="1900"/>
      <c r="AU13" s="1901"/>
      <c r="AW13" s="1012"/>
      <c r="AX13" s="1012" t="str">
        <f>IF(T13="","",T13)</f>
        <v/>
      </c>
      <c r="AY13" s="1012"/>
      <c r="AZ13" s="1012"/>
      <c r="BA13" s="1023">
        <v>0</v>
      </c>
    </row>
    <row s="46890" customFormat="1" customHeight="1" ht="0.75" hidden="1">
      <c r="A14" s="1855"/>
      <c r="B14" s="1855"/>
      <c r="C14" s="1855"/>
      <c r="D14" s="1855"/>
      <c r="E14" s="2771"/>
      <c r="F14" s="2771"/>
      <c r="G14" s="2771"/>
      <c r="H14" s="2770"/>
      <c r="I14" s="1855"/>
      <c r="J14" s="1855"/>
      <c r="K14" s="1855"/>
      <c r="L14" s="1858"/>
      <c r="M14" s="1827"/>
      <c r="N14" s="1827"/>
      <c r="O14" s="1030"/>
      <c r="P14" s="892"/>
      <c r="Q14" s="1856"/>
      <c r="R14" s="1913"/>
      <c r="S14" s="1898"/>
      <c r="T14" s="1899"/>
      <c r="U14" s="1900"/>
      <c r="V14" s="1900"/>
      <c r="W14" s="1900"/>
      <c r="X14" s="1900"/>
      <c r="Y14" s="1900"/>
      <c r="Z14" s="1900"/>
      <c r="AA14" s="1900"/>
      <c r="AB14" s="1900"/>
      <c r="AC14" s="1900"/>
      <c r="AD14" s="1900"/>
      <c r="AE14" s="1900"/>
      <c r="AF14" s="1900"/>
      <c r="AG14" s="1900"/>
      <c r="AH14" s="1900"/>
      <c r="AI14" s="1900"/>
      <c r="AJ14" s="1900"/>
      <c r="AK14" s="1900"/>
      <c r="AL14" s="1900"/>
      <c r="AM14" s="1900"/>
      <c r="AN14" s="1900"/>
      <c r="AO14" s="1900"/>
      <c r="AP14" s="1900"/>
      <c r="AQ14" s="1900"/>
      <c r="AR14" s="1900"/>
      <c r="AS14" s="1900"/>
      <c r="AT14" s="1900"/>
      <c r="AU14" s="1901"/>
      <c r="AW14" s="1012"/>
      <c r="AX14" s="1012" t="str">
        <f>IF(T14="","",T14)</f>
        <v/>
      </c>
      <c r="AY14" s="1012"/>
      <c r="AZ14" s="1012"/>
      <c r="BA14" s="1023">
        <v>0</v>
      </c>
    </row>
    <row s="46890" customFormat="1" customHeight="1" ht="0.75" hidden="1">
      <c r="A15" s="1855"/>
      <c r="B15" s="1855"/>
      <c r="C15" s="1855"/>
      <c r="D15" s="1826"/>
      <c r="E15" s="2771"/>
      <c r="F15" s="2771"/>
      <c r="G15" s="2770"/>
      <c r="H15" s="1826"/>
      <c r="I15" s="1826"/>
      <c r="J15" s="1826"/>
      <c r="K15" s="1826"/>
      <c r="L15" s="1851"/>
      <c r="M15" s="1827"/>
      <c r="N15" s="1827"/>
      <c r="P15" s="1828"/>
      <c r="Q15" s="1829"/>
      <c r="R15" s="1828"/>
      <c r="S15" s="1834"/>
      <c r="T15" s="1837" t="s">
        <v>532</v>
      </c>
      <c r="U15" s="1836"/>
      <c r="V15" s="1836"/>
      <c r="W15" s="1836"/>
      <c r="X15" s="1836"/>
      <c r="Y15" s="1836"/>
      <c r="Z15" s="1836"/>
      <c r="AA15" s="1836"/>
      <c r="AB15" s="1836"/>
      <c r="AC15" s="1836"/>
      <c r="AD15" s="1836"/>
      <c r="AE15" s="1836"/>
      <c r="AF15" s="1836"/>
      <c r="AG15" s="1836"/>
      <c r="AH15" s="1836"/>
      <c r="AI15" s="1836"/>
      <c r="AJ15" s="1836"/>
      <c r="AK15" s="1836"/>
      <c r="AL15" s="1836"/>
      <c r="AM15" s="1836"/>
      <c r="AN15" s="1836"/>
      <c r="AO15" s="1836"/>
      <c r="AP15" s="1836"/>
      <c r="AQ15" s="1836"/>
      <c r="AR15" s="1836"/>
      <c r="AS15" s="1836"/>
      <c r="AT15" s="1836"/>
      <c r="AU15" s="1836"/>
      <c r="AW15" s="1301"/>
      <c r="AX15" s="1301" t="str">
        <f>IF(T15="","",T15)</f>
        <v>Добавить источник для дифференциации</v>
      </c>
      <c r="AY15" s="1301"/>
      <c r="AZ15" s="1301"/>
      <c r="BA15" s="1030">
        <v>0</v>
      </c>
    </row>
    <row s="46890" customFormat="1" customHeight="1" ht="0.75" hidden="1">
      <c r="A16" s="1855"/>
      <c r="B16" s="1855"/>
      <c r="C16" s="1826"/>
      <c r="D16" s="1826"/>
      <c r="E16" s="2771"/>
      <c r="F16" s="2770"/>
      <c r="G16" s="1826"/>
      <c r="H16" s="1826"/>
      <c r="I16" s="1826"/>
      <c r="J16" s="1826"/>
      <c r="K16" s="1826"/>
      <c r="L16" s="1851"/>
      <c r="M16" s="1833"/>
      <c r="N16" s="1833"/>
      <c r="P16" s="1828"/>
      <c r="Q16" s="1829"/>
      <c r="R16" s="1828"/>
      <c r="S16" s="1834"/>
      <c r="T16" s="1837" t="s">
        <v>321</v>
      </c>
      <c r="U16" s="1836"/>
      <c r="V16" s="1836"/>
      <c r="W16" s="1836"/>
      <c r="X16" s="1836"/>
      <c r="Y16" s="1836"/>
      <c r="Z16" s="1836"/>
      <c r="AA16" s="1836"/>
      <c r="AB16" s="1836"/>
      <c r="AC16" s="1836"/>
      <c r="AD16" s="1836"/>
      <c r="AE16" s="1836"/>
      <c r="AF16" s="1836"/>
      <c r="AG16" s="1836"/>
      <c r="AH16" s="1836"/>
      <c r="AI16" s="1836"/>
      <c r="AJ16" s="1836"/>
      <c r="AK16" s="1836"/>
      <c r="AL16" s="1836"/>
      <c r="AM16" s="1836"/>
      <c r="AN16" s="1836"/>
      <c r="AO16" s="1836"/>
      <c r="AP16" s="1836"/>
      <c r="AQ16" s="1836"/>
      <c r="AR16" s="1836"/>
      <c r="AS16" s="1836"/>
      <c r="AT16" s="1836"/>
      <c r="AU16" s="1836"/>
      <c r="AW16" s="1301"/>
      <c r="AX16" s="1301" t="str">
        <f>IF(T16="","",T16)</f>
        <v>Добавить централизованную систему для дифференциации</v>
      </c>
      <c r="AY16" s="1301"/>
      <c r="AZ16" s="1301"/>
      <c r="BA16" s="1030">
        <v>0</v>
      </c>
    </row>
    <row s="46890" customFormat="1" customHeight="1" ht="0.75" hidden="1">
      <c r="A17" s="1855"/>
      <c r="B17" s="1855"/>
      <c r="C17" s="1855"/>
      <c r="D17" s="1855"/>
      <c r="E17" s="2770"/>
      <c r="F17" s="1855"/>
      <c r="G17" s="1855"/>
      <c r="H17" s="1855"/>
      <c r="I17" s="1855"/>
      <c r="J17" s="1855"/>
      <c r="K17" s="1855"/>
      <c r="L17" s="1858"/>
      <c r="M17" s="1833"/>
      <c r="N17" s="1833"/>
      <c r="O17" s="1030"/>
      <c r="P17" s="892"/>
      <c r="Q17" s="1856"/>
      <c r="R17" s="892"/>
      <c r="S17" s="1834"/>
      <c r="T17" s="1837" t="s">
        <v>385</v>
      </c>
      <c r="U17" s="1836"/>
      <c r="V17" s="1836"/>
      <c r="W17" s="1836"/>
      <c r="X17" s="1836"/>
      <c r="Y17" s="1836"/>
      <c r="Z17" s="1836"/>
      <c r="AA17" s="1836"/>
      <c r="AB17" s="1836"/>
      <c r="AC17" s="1836"/>
      <c r="AD17" s="1836"/>
      <c r="AE17" s="1836"/>
      <c r="AF17" s="1836"/>
      <c r="AG17" s="1836"/>
      <c r="AH17" s="1836"/>
      <c r="AI17" s="1836"/>
      <c r="AJ17" s="1836"/>
      <c r="AK17" s="1836"/>
      <c r="AL17" s="1836"/>
      <c r="AM17" s="1836"/>
      <c r="AN17" s="1836"/>
      <c r="AO17" s="1836"/>
      <c r="AP17" s="1836"/>
      <c r="AQ17" s="1836"/>
      <c r="AR17" s="1836"/>
      <c r="AS17" s="1836"/>
      <c r="AT17" s="1836"/>
      <c r="AU17" s="1836"/>
      <c r="AW17" s="1012"/>
      <c r="AX17" s="1012" t="str">
        <f>IF(T17="","",T17)</f>
        <v>Добавить территорию для дифференциации</v>
      </c>
      <c r="AY17" s="1012"/>
      <c r="AZ17" s="1012"/>
      <c r="BA17" s="1023">
        <v>0</v>
      </c>
    </row>
    <row customHeight="1" ht="14.25" hidden="1">
      <c r="AA18" s="839"/>
      <c r="AS18" s="839"/>
      <c r="BA18" s="1667">
        <v>0</v>
      </c>
    </row>
    <row customHeight="1" ht="14.25" hidden="1">
      <c r="AB19" s="1836" t="s">
        <v>19</v>
      </c>
      <c r="AC19" s="2013"/>
      <c r="AD19" s="1060">
        <v>1</v>
      </c>
      <c r="AE19" s="2014"/>
      <c r="AF19" s="1836" t="s">
        <v>19</v>
      </c>
      <c r="AG19" s="2013"/>
      <c r="AH19" s="1060">
        <v>1</v>
      </c>
      <c r="AI19" s="2014"/>
      <c r="AJ19" s="1836" t="s">
        <v>19</v>
      </c>
      <c r="AK19" s="2015"/>
      <c r="AL19" s="1060">
        <v>1</v>
      </c>
      <c r="AM19" s="2018"/>
      <c r="AN19" s="1915"/>
      <c r="AO19" s="1916"/>
      <c r="AP19" s="2248"/>
      <c r="AQ19" s="1972" t="s">
        <v>63</v>
      </c>
      <c r="AR19" s="2248"/>
      <c r="AS19" s="1972" t="s">
        <v>63</v>
      </c>
      <c r="BA19" s="1667">
        <v>0</v>
      </c>
    </row>
    <row customHeight="1" ht="14.25" hidden="1">
      <c r="AV20" s="1008"/>
      <c r="AW20" s="1008"/>
      <c r="AX20" s="1008"/>
      <c r="AY20" s="1008"/>
      <c r="AZ20" s="1008"/>
      <c r="BA20" s="1667">
        <v>0</v>
      </c>
    </row>
    <row customHeight="1" ht="14.25" hidden="1">
      <c r="O21" s="1879" t="s">
        <v>533</v>
      </c>
      <c r="X21" s="1857"/>
      <c r="Z21" s="1857"/>
      <c r="AA21" s="839"/>
      <c r="AP21" s="1857"/>
      <c r="AR21" s="1857"/>
      <c r="AS21" s="839"/>
      <c r="AV21" s="1008"/>
      <c r="AW21" s="1008"/>
      <c r="AX21" s="1008"/>
      <c r="AY21" s="1008"/>
      <c r="AZ21" s="1008"/>
      <c r="BA21" s="1667">
        <v>0</v>
      </c>
    </row>
    <row customHeight="1" ht="14.25" hidden="1">
      <c r="AA22" s="839"/>
      <c r="AS22" s="839"/>
      <c r="AV22" s="1008"/>
      <c r="AW22" s="1008"/>
      <c r="AX22" s="1008"/>
      <c r="AY22" s="1008"/>
      <c r="AZ22" s="1008"/>
      <c r="BA22" s="1667">
        <v>0</v>
      </c>
    </row>
    <row s="47895" customFormat="1" customHeight="1" ht="14.25" hidden="1">
      <c r="M23" s="2020"/>
      <c r="N23" s="2020"/>
      <c r="O23" s="2021" t="s">
        <v>534</v>
      </c>
      <c r="P23" s="2020"/>
      <c r="Q23" s="2022"/>
      <c r="R23" s="2022"/>
      <c r="Y23" s="2019" t="s">
        <v>536</v>
      </c>
      <c r="AA23" s="2019" t="s">
        <v>537</v>
      </c>
      <c r="AB23" s="2019" t="s">
        <v>584</v>
      </c>
      <c r="AE23" s="2019" t="s">
        <v>585</v>
      </c>
      <c r="AF23" s="2019" t="s">
        <v>584</v>
      </c>
      <c r="AI23" s="2019" t="s">
        <v>586</v>
      </c>
      <c r="AJ23" s="2019" t="s">
        <v>584</v>
      </c>
      <c r="AM23" s="2019" t="s">
        <v>587</v>
      </c>
      <c r="AQ23" s="2019" t="s">
        <v>536</v>
      </c>
      <c r="AS23" s="2019" t="s">
        <v>537</v>
      </c>
      <c r="AV23" s="2023"/>
      <c r="AW23" s="2023"/>
      <c r="AX23" s="2023"/>
      <c r="AY23" s="2023"/>
      <c r="AZ23" s="2023"/>
      <c r="BA23" s="2019">
        <v>0</v>
      </c>
    </row>
    <row customHeight="1" ht="14.25" hidden="1">
      <c r="O24" s="1876"/>
      <c r="AV24" s="1008"/>
      <c r="AW24" s="1008"/>
      <c r="AX24" s="1008"/>
      <c r="AY24" s="1008"/>
      <c r="AZ24" s="1008"/>
      <c r="BA24" s="1667">
        <v>0</v>
      </c>
    </row>
    <row customHeight="1" ht="14.25" hidden="1">
      <c r="O25" s="1876"/>
      <c r="AV25" s="1008"/>
      <c r="AW25" s="1008"/>
      <c r="AX25" s="1008"/>
      <c r="AY25" s="1008"/>
      <c r="AZ25" s="1008"/>
      <c r="BA25" s="1667">
        <v>0</v>
      </c>
    </row>
    <row customHeight="1" ht="14.699999999999998">
      <c r="Q26" s="803"/>
      <c r="R26" s="888"/>
      <c r="S26" s="1787"/>
      <c r="T26" s="875"/>
      <c r="U26" s="875"/>
      <c r="V26" s="1021"/>
      <c r="W26" s="1021"/>
      <c r="X26" s="1021"/>
      <c r="Y26" s="1021"/>
      <c r="Z26" s="1021"/>
      <c r="AA26" s="1021"/>
      <c r="AB26" s="1021"/>
      <c r="AC26" s="1021"/>
      <c r="AD26" s="1021"/>
      <c r="AE26" s="1021"/>
      <c r="AF26" s="1021"/>
      <c r="AG26" s="1021"/>
      <c r="AH26" s="1021"/>
      <c r="AI26" s="1021"/>
      <c r="AJ26" s="1021"/>
      <c r="AK26" s="1021"/>
      <c r="AL26" s="1021"/>
      <c r="AM26" s="1021"/>
      <c r="AN26" s="1021"/>
      <c r="AO26" s="1021"/>
      <c r="AP26" s="1021"/>
      <c r="AQ26" s="1021"/>
      <c r="AR26" s="1021"/>
      <c r="AS26" s="1021"/>
      <c r="BA26" s="1667">
        <v>14</v>
      </c>
    </row>
    <row customHeight="1" ht="27.299999999999997">
      <c r="Q27" s="803"/>
      <c r="R27" s="888"/>
      <c r="S27" s="2760"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760"/>
      <c r="U27" s="2760"/>
      <c r="V27" s="2760"/>
      <c r="W27" s="2760"/>
      <c r="X27" s="2760"/>
      <c r="Y27" s="2760"/>
      <c r="Z27" s="2760"/>
      <c r="AA27" s="2760"/>
      <c r="AB27" s="2760"/>
      <c r="AC27" s="2760"/>
      <c r="AD27" s="2760"/>
      <c r="AE27" s="2760"/>
      <c r="AF27" s="2760"/>
      <c r="AG27" s="2760"/>
      <c r="AH27" s="2760"/>
      <c r="AI27" s="2760"/>
      <c r="AJ27" s="2760"/>
      <c r="AK27" s="2760"/>
      <c r="AL27" s="2760"/>
      <c r="AM27" s="2760"/>
      <c r="AN27" s="2760"/>
      <c r="AO27" s="2760"/>
      <c r="AP27" s="2760"/>
      <c r="AQ27" s="2760"/>
      <c r="AR27" s="2760"/>
      <c r="AS27" s="1755"/>
      <c r="BA27" s="1667">
        <v>26</v>
      </c>
    </row>
    <row customHeight="1" ht="14.699999999999998">
      <c r="Q28" s="803"/>
      <c r="R28" s="888"/>
      <c r="S28" s="2761" t="str">
        <f>IF(org=0,"Не определено",org)</f>
        <v>КГУП "Примтеплоэнерго"</v>
      </c>
      <c r="T28" s="2761"/>
      <c r="U28" s="2761"/>
      <c r="V28" s="2761"/>
      <c r="W28" s="2761"/>
      <c r="X28" s="2761"/>
      <c r="Y28" s="2761"/>
      <c r="Z28" s="2761"/>
      <c r="AA28" s="2761"/>
      <c r="AB28" s="2761"/>
      <c r="AC28" s="2761"/>
      <c r="AD28" s="2761"/>
      <c r="AE28" s="2761"/>
      <c r="AF28" s="2761"/>
      <c r="AG28" s="2761"/>
      <c r="AH28" s="2761"/>
      <c r="AI28" s="2761"/>
      <c r="AJ28" s="2761"/>
      <c r="AK28" s="2761"/>
      <c r="AL28" s="2761"/>
      <c r="AM28" s="2761"/>
      <c r="AN28" s="2761"/>
      <c r="AO28" s="2761"/>
      <c r="AP28" s="2761"/>
      <c r="AQ28" s="2761"/>
      <c r="AR28" s="2761"/>
      <c r="AS28" s="1755"/>
      <c r="BA28" s="1667">
        <v>14</v>
      </c>
    </row>
    <row customHeight="1" ht="14.25">
      <c r="Q29" s="803"/>
      <c r="R29" s="888"/>
      <c r="S29" s="1787"/>
      <c r="T29" s="875"/>
      <c r="U29" s="875"/>
      <c r="V29" s="834"/>
      <c r="W29" s="834"/>
      <c r="X29" s="834"/>
      <c r="Y29" s="834"/>
      <c r="Z29" s="834"/>
      <c r="AA29" s="834"/>
      <c r="AB29" s="834"/>
      <c r="AC29" s="834"/>
      <c r="AD29" s="834"/>
      <c r="AE29" s="834"/>
      <c r="AF29" s="834"/>
      <c r="AG29" s="834"/>
      <c r="AH29" s="834"/>
      <c r="AI29" s="834"/>
      <c r="AJ29" s="834"/>
      <c r="AK29" s="834"/>
      <c r="AL29" s="834"/>
      <c r="AM29" s="834"/>
      <c r="AN29" s="834"/>
      <c r="AO29" s="834"/>
      <c r="AP29" s="834"/>
      <c r="AQ29" s="834"/>
      <c r="AR29" s="834"/>
      <c r="AS29" s="834"/>
      <c r="AT29" s="1021"/>
      <c r="BA29" s="1667">
        <v>0</v>
      </c>
    </row>
    <row s="47026" customFormat="1" customHeight="1" ht="25.5">
      <c r="A30" s="1880"/>
      <c r="B30" s="1880"/>
      <c r="C30" s="1880"/>
      <c r="D30" s="1880"/>
      <c r="E30" s="1880"/>
      <c r="F30" s="1880"/>
      <c r="G30" s="1880"/>
      <c r="H30" s="1880"/>
      <c r="I30" s="1880"/>
      <c r="J30" s="1880"/>
      <c r="K30" s="1880"/>
      <c r="L30" s="1881"/>
      <c r="M30" s="1880"/>
      <c r="N30" s="1880"/>
      <c r="O30" s="1880"/>
      <c r="P30" s="1880"/>
      <c r="Q30" s="1880"/>
      <c r="S30" s="2762" t="s">
        <v>42</v>
      </c>
      <c r="T30" s="2762"/>
      <c r="U30" s="1884"/>
      <c r="V30" s="2763" t="str">
        <f>IF(TITLE_NAME_OR_PR_CHANGE="",IF(TITLE_NAME_OR_PR="","",TITLE_NAME_OR_PR),TITLE_NAME_OR_PR_CHANGE)</f>
        <v>Агентство по тарифам Приморского края</v>
      </c>
      <c r="W30" s="2763"/>
      <c r="X30" s="2763"/>
      <c r="Y30" s="2763"/>
      <c r="Z30" s="2763"/>
      <c r="AA30" s="838"/>
      <c r="AB30" s="2763" t="str">
        <f>IF(TITLE_NAME_OR_PR_CHANGE="",IF(TITLE_NAME_OR_PR="","",TITLE_NAME_OR_PR),TITLE_NAME_OR_PR_CHANGE)</f>
        <v>Агентство по тарифам Приморского края</v>
      </c>
      <c r="AC30" s="2763"/>
      <c r="AD30" s="2763"/>
      <c r="AE30" s="2763"/>
      <c r="AF30" s="2763"/>
      <c r="AG30" s="2763"/>
      <c r="AH30" s="2763"/>
      <c r="AI30" s="2763"/>
      <c r="AJ30" s="2763"/>
      <c r="AK30" s="2763"/>
      <c r="AL30" s="2763"/>
      <c r="AM30" s="2763"/>
      <c r="AN30" s="2763"/>
      <c r="AO30" s="2763"/>
      <c r="AP30" s="2763"/>
      <c r="AQ30" s="2763"/>
      <c r="AR30" s="2763"/>
      <c r="AS30" s="838"/>
      <c r="AT30" s="838"/>
      <c r="AU30" s="792"/>
      <c r="AV30" s="880"/>
      <c r="AW30" s="880"/>
      <c r="AX30" s="880"/>
      <c r="AY30" s="880"/>
      <c r="AZ30" s="880"/>
      <c r="BA30" s="930">
        <v>0</v>
      </c>
    </row>
    <row s="47026" customFormat="1" customHeight="1" ht="18.75">
      <c r="A31" s="1880"/>
      <c r="B31" s="1880"/>
      <c r="C31" s="1880"/>
      <c r="D31" s="1880"/>
      <c r="E31" s="1880"/>
      <c r="F31" s="1880"/>
      <c r="G31" s="1880"/>
      <c r="H31" s="1880"/>
      <c r="I31" s="1880"/>
      <c r="J31" s="1880"/>
      <c r="K31" s="1880"/>
      <c r="L31" s="1881"/>
      <c r="M31" s="1880"/>
      <c r="N31" s="1880"/>
      <c r="O31" s="1880"/>
      <c r="P31" s="1880"/>
      <c r="Q31" s="1880"/>
      <c r="S31" s="2762" t="s">
        <v>539</v>
      </c>
      <c r="T31" s="2762"/>
      <c r="U31" s="1884"/>
      <c r="V31" s="2776" t="str">
        <f>IF(TITLE_DATE_PR_CHANGE="",IF(TITLE_DATE_PR="","",TITLE_DATE_PR),TITLE_DATE_PR_CHANGE)</f>
        <v>45631.495844907404</v>
      </c>
      <c r="W31" s="2776"/>
      <c r="X31" s="2776"/>
      <c r="Y31" s="2776"/>
      <c r="Z31" s="2776"/>
      <c r="AA31" s="838"/>
      <c r="AB31" s="2776" t="str">
        <f>IF(TITLE_DATE_PR_CHANGE="",IF(TITLE_DATE_PR="","",TITLE_DATE_PR),TITLE_DATE_PR_CHANGE)</f>
        <v>45631.495844907404</v>
      </c>
      <c r="AC31" s="2776"/>
      <c r="AD31" s="2776"/>
      <c r="AE31" s="2776"/>
      <c r="AF31" s="2776"/>
      <c r="AG31" s="2776"/>
      <c r="AH31" s="2776"/>
      <c r="AI31" s="2776"/>
      <c r="AJ31" s="2776"/>
      <c r="AK31" s="2776"/>
      <c r="AL31" s="2776"/>
      <c r="AM31" s="2776"/>
      <c r="AN31" s="2776"/>
      <c r="AO31" s="2776"/>
      <c r="AP31" s="2776"/>
      <c r="AQ31" s="2776"/>
      <c r="AR31" s="2776"/>
      <c r="AS31" s="838"/>
      <c r="AT31" s="838"/>
      <c r="AU31" s="792"/>
      <c r="AV31" s="880"/>
      <c r="AW31" s="880"/>
      <c r="AX31" s="880"/>
      <c r="AY31" s="880"/>
      <c r="AZ31" s="880"/>
      <c r="BA31" s="930">
        <v>0</v>
      </c>
    </row>
    <row s="47026" customFormat="1" customHeight="1" ht="18.75">
      <c r="A32" s="1880"/>
      <c r="B32" s="1880"/>
      <c r="C32" s="1880"/>
      <c r="D32" s="1880"/>
      <c r="E32" s="1880"/>
      <c r="F32" s="1880"/>
      <c r="G32" s="1880"/>
      <c r="H32" s="1880"/>
      <c r="I32" s="1880"/>
      <c r="J32" s="1880"/>
      <c r="K32" s="1880"/>
      <c r="L32" s="1881"/>
      <c r="M32" s="1880"/>
      <c r="N32" s="1880"/>
      <c r="O32" s="1880"/>
      <c r="P32" s="1880"/>
      <c r="Q32" s="1880"/>
      <c r="S32" s="2762" t="s">
        <v>540</v>
      </c>
      <c r="T32" s="2762"/>
      <c r="U32" s="1884"/>
      <c r="V32" s="2763" t="str">
        <f>IF(TITLE_NUMBER_PR_CHANGE="",IF(TITLE_NUMBER_PR="","",TITLE_NUMBER_PR),TITLE_NUMBER_PR_CHANGE)</f>
        <v>53/9</v>
      </c>
      <c r="W32" s="2763"/>
      <c r="X32" s="2763"/>
      <c r="Y32" s="2763"/>
      <c r="Z32" s="2763"/>
      <c r="AA32" s="838"/>
      <c r="AB32" s="2763" t="str">
        <f>IF(TITLE_NUMBER_PR_CHANGE="",IF(TITLE_NUMBER_PR="","",TITLE_NUMBER_PR),TITLE_NUMBER_PR_CHANGE)</f>
        <v>53/9</v>
      </c>
      <c r="AC32" s="2763"/>
      <c r="AD32" s="2763"/>
      <c r="AE32" s="2763"/>
      <c r="AF32" s="2763"/>
      <c r="AG32" s="2763"/>
      <c r="AH32" s="2763"/>
      <c r="AI32" s="2763"/>
      <c r="AJ32" s="2763"/>
      <c r="AK32" s="2763"/>
      <c r="AL32" s="2763"/>
      <c r="AM32" s="2763"/>
      <c r="AN32" s="2763"/>
      <c r="AO32" s="2763"/>
      <c r="AP32" s="2763"/>
      <c r="AQ32" s="2763"/>
      <c r="AR32" s="2763"/>
      <c r="AS32" s="838"/>
      <c r="AT32" s="838"/>
      <c r="AU32" s="792"/>
      <c r="AV32" s="880"/>
      <c r="AW32" s="880"/>
      <c r="AX32" s="880"/>
      <c r="AY32" s="880"/>
      <c r="AZ32" s="880"/>
      <c r="BA32" s="930">
        <v>0</v>
      </c>
    </row>
    <row s="47026" customFormat="1" customHeight="1" ht="18.75">
      <c r="A33" s="1880"/>
      <c r="B33" s="1880"/>
      <c r="C33" s="1880"/>
      <c r="D33" s="1880"/>
      <c r="E33" s="1880"/>
      <c r="F33" s="1880"/>
      <c r="G33" s="1880"/>
      <c r="H33" s="1880"/>
      <c r="I33" s="1880"/>
      <c r="J33" s="1880"/>
      <c r="K33" s="1880"/>
      <c r="L33" s="1881"/>
      <c r="M33" s="1880"/>
      <c r="N33" s="1880"/>
      <c r="O33" s="1880"/>
      <c r="P33" s="1880"/>
      <c r="Q33" s="1880"/>
      <c r="S33" s="2762" t="s">
        <v>44</v>
      </c>
      <c r="T33" s="2762"/>
      <c r="U33" s="1884"/>
      <c r="V33" s="2763" t="str">
        <f>IF(TITLE_IST_PUB_CHANGE="",IF(TITLE_IST_PUB="","",TITLE_IST_PUB),TITLE_IST_PUB_CHANGE)</f>
        <v>http://pravo.gov.ru</v>
      </c>
      <c r="W33" s="2763"/>
      <c r="X33" s="2763"/>
      <c r="Y33" s="2763"/>
      <c r="Z33" s="2763"/>
      <c r="AA33" s="838"/>
      <c r="AB33" s="2763" t="str">
        <f>IF(TITLE_IST_PUB_CHANGE="",IF(TITLE_IST_PUB="","",TITLE_IST_PUB),TITLE_IST_PUB_CHANGE)</f>
        <v>http://pravo.gov.ru</v>
      </c>
      <c r="AC33" s="2763"/>
      <c r="AD33" s="2763"/>
      <c r="AE33" s="2763"/>
      <c r="AF33" s="2763"/>
      <c r="AG33" s="2763"/>
      <c r="AH33" s="2763"/>
      <c r="AI33" s="2763"/>
      <c r="AJ33" s="2763"/>
      <c r="AK33" s="2763"/>
      <c r="AL33" s="2763"/>
      <c r="AM33" s="2763"/>
      <c r="AN33" s="2763"/>
      <c r="AO33" s="2763"/>
      <c r="AP33" s="2763"/>
      <c r="AQ33" s="2763"/>
      <c r="AR33" s="2763"/>
      <c r="AS33" s="838"/>
      <c r="AT33" s="838"/>
      <c r="AU33" s="792"/>
      <c r="AV33" s="880"/>
      <c r="AW33" s="880"/>
      <c r="AX33" s="880"/>
      <c r="AY33" s="880"/>
      <c r="AZ33" s="880"/>
      <c r="BA33" s="930">
        <v>0</v>
      </c>
    </row>
    <row customHeight="1" ht="14.25" hidden="1">
      <c r="Q34" s="803"/>
      <c r="R34" s="888"/>
      <c r="S34" s="1787"/>
      <c r="T34" s="875"/>
      <c r="U34" s="875"/>
      <c r="V34" s="834"/>
      <c r="W34" s="834"/>
      <c r="X34" s="834"/>
      <c r="Y34" s="834"/>
      <c r="Z34" s="834"/>
      <c r="AA34" s="834"/>
      <c r="AB34" s="834"/>
      <c r="AC34" s="834"/>
      <c r="AD34" s="834"/>
      <c r="AE34" s="834"/>
      <c r="AF34" s="834"/>
      <c r="AG34" s="834"/>
      <c r="AH34" s="834"/>
      <c r="AI34" s="834"/>
      <c r="AJ34" s="834"/>
      <c r="AK34" s="834"/>
      <c r="AL34" s="834"/>
      <c r="AM34" s="834"/>
      <c r="AN34" s="834"/>
      <c r="AO34" s="834"/>
      <c r="AP34" s="834"/>
      <c r="AQ34" s="834"/>
      <c r="AR34" s="834"/>
      <c r="AS34" s="834"/>
      <c r="AT34" s="1021"/>
      <c r="BA34" s="1667">
        <v>0</v>
      </c>
    </row>
    <row s="47026" customFormat="1" customHeight="1" ht="18.75" hidden="1">
      <c r="A35" s="1880"/>
      <c r="B35" s="1880"/>
      <c r="C35" s="1880"/>
      <c r="D35" s="1880"/>
      <c r="E35" s="1880"/>
      <c r="F35" s="1880"/>
      <c r="G35" s="1880"/>
      <c r="H35" s="1880"/>
      <c r="I35" s="1880"/>
      <c r="J35" s="1880"/>
      <c r="K35" s="1880"/>
      <c r="L35" s="1881"/>
      <c r="M35" s="1880"/>
      <c r="N35" s="1880"/>
      <c r="O35" s="1880"/>
      <c r="P35" s="1880"/>
      <c r="Q35" s="1880"/>
      <c r="S35" s="2762" t="s">
        <v>539</v>
      </c>
      <c r="T35" s="2762"/>
      <c r="U35" s="1884"/>
      <c r="V35" s="2776" t="str">
        <f>IF(TITLE_DATE_PR_CHANGE="",IF(TITLE_DATE_PR="","",TITLE_DATE_PR),TITLE_DATE_PR_CHANGE)</f>
        <v>45631.495844907404</v>
      </c>
      <c r="W35" s="2776"/>
      <c r="X35" s="2776"/>
      <c r="Y35" s="2776"/>
      <c r="Z35" s="2776"/>
      <c r="AA35" s="838"/>
      <c r="AB35" s="2776" t="str">
        <f>IF(TITLE_DATE_PR_CHANGE="",IF(TITLE_DATE_PR="","",TITLE_DATE_PR),TITLE_DATE_PR_CHANGE)</f>
        <v>45631.495844907404</v>
      </c>
      <c r="AC35" s="2776"/>
      <c r="AD35" s="2776"/>
      <c r="AE35" s="2776"/>
      <c r="AF35" s="2776"/>
      <c r="AG35" s="2776"/>
      <c r="AH35" s="2776"/>
      <c r="AI35" s="2776"/>
      <c r="AJ35" s="2776"/>
      <c r="AK35" s="2776"/>
      <c r="AL35" s="2776"/>
      <c r="AM35" s="2776"/>
      <c r="AN35" s="2776"/>
      <c r="AO35" s="2776"/>
      <c r="AP35" s="2776"/>
      <c r="AQ35" s="2776"/>
      <c r="AR35" s="2776"/>
      <c r="AS35" s="838"/>
      <c r="AT35" s="838"/>
      <c r="AU35" s="792"/>
      <c r="AV35" s="880"/>
      <c r="AW35" s="880"/>
      <c r="AX35" s="880"/>
      <c r="AY35" s="880"/>
      <c r="AZ35" s="880"/>
      <c r="BA35" s="930">
        <v>0</v>
      </c>
    </row>
    <row s="47026" customFormat="1" customHeight="1" ht="18" hidden="1">
      <c r="A36" s="1880"/>
      <c r="B36" s="1880"/>
      <c r="C36" s="1880"/>
      <c r="D36" s="1880"/>
      <c r="E36" s="1880"/>
      <c r="F36" s="1880"/>
      <c r="G36" s="1880"/>
      <c r="H36" s="1880"/>
      <c r="I36" s="1880"/>
      <c r="J36" s="1880"/>
      <c r="K36" s="1880"/>
      <c r="L36" s="1881"/>
      <c r="M36" s="1880"/>
      <c r="N36" s="1880"/>
      <c r="O36" s="1880"/>
      <c r="P36" s="1880"/>
      <c r="Q36" s="1880"/>
      <c r="S36" s="2762" t="s">
        <v>540</v>
      </c>
      <c r="T36" s="2762"/>
      <c r="U36" s="1884"/>
      <c r="V36" s="2763" t="str">
        <f>IF(TITLE_NUMBER_PR_CHANGE="",IF(TITLE_NUMBER_PR="","",TITLE_NUMBER_PR),TITLE_NUMBER_PR_CHANGE)</f>
        <v>53/9</v>
      </c>
      <c r="W36" s="2763"/>
      <c r="X36" s="2763"/>
      <c r="Y36" s="2763"/>
      <c r="Z36" s="2763"/>
      <c r="AA36" s="838"/>
      <c r="AB36" s="2763" t="str">
        <f>IF(TITLE_NUMBER_PR_CHANGE="",IF(TITLE_NUMBER_PR="","",TITLE_NUMBER_PR),TITLE_NUMBER_PR_CHANGE)</f>
        <v>53/9</v>
      </c>
      <c r="AC36" s="2763"/>
      <c r="AD36" s="2763"/>
      <c r="AE36" s="2763"/>
      <c r="AF36" s="2763"/>
      <c r="AG36" s="2763"/>
      <c r="AH36" s="2763"/>
      <c r="AI36" s="2763"/>
      <c r="AJ36" s="2763"/>
      <c r="AK36" s="2763"/>
      <c r="AL36" s="2763"/>
      <c r="AM36" s="2763"/>
      <c r="AN36" s="2763"/>
      <c r="AO36" s="2763"/>
      <c r="AP36" s="2763"/>
      <c r="AQ36" s="2763"/>
      <c r="AR36" s="2763"/>
      <c r="AS36" s="838"/>
      <c r="AT36" s="838"/>
      <c r="AU36" s="792"/>
      <c r="AV36" s="880"/>
      <c r="AW36" s="880"/>
      <c r="AX36" s="880"/>
      <c r="AY36" s="880"/>
      <c r="AZ36" s="880"/>
      <c r="BA36" s="930">
        <v>0</v>
      </c>
    </row>
    <row s="47026" customFormat="1" customHeight="1" ht="1.05">
      <c r="A37" s="1880"/>
      <c r="B37" s="1880"/>
      <c r="C37" s="1880"/>
      <c r="D37" s="1880"/>
      <c r="E37" s="1880"/>
      <c r="F37" s="1880"/>
      <c r="G37" s="1880"/>
      <c r="H37" s="1880"/>
      <c r="I37" s="1880"/>
      <c r="J37" s="1880"/>
      <c r="K37" s="1880"/>
      <c r="L37" s="1881"/>
      <c r="M37" s="1880"/>
      <c r="N37" s="1880"/>
      <c r="O37" s="1880"/>
      <c r="P37" s="1880"/>
      <c r="Q37" s="1880"/>
      <c r="S37" s="835"/>
      <c r="T37" s="835"/>
      <c r="U37" s="1852"/>
      <c r="V37" s="838"/>
      <c r="W37" s="838"/>
      <c r="X37" s="838"/>
      <c r="Y37" s="838"/>
      <c r="Z37" s="838"/>
      <c r="AA37" s="790" t="s">
        <v>543</v>
      </c>
      <c r="AB37" s="838"/>
      <c r="AC37" s="838"/>
      <c r="AD37" s="838"/>
      <c r="AE37" s="838"/>
      <c r="AF37" s="838"/>
      <c r="AG37" s="838"/>
      <c r="AH37" s="838"/>
      <c r="AI37" s="838"/>
      <c r="AJ37" s="838"/>
      <c r="AK37" s="838"/>
      <c r="AL37" s="838"/>
      <c r="AM37" s="838"/>
      <c r="AN37" s="838"/>
      <c r="AO37" s="838"/>
      <c r="AP37" s="838"/>
      <c r="AQ37" s="838"/>
      <c r="AR37" s="838"/>
      <c r="AS37" s="790" t="s">
        <v>543</v>
      </c>
      <c r="AV37" s="880"/>
      <c r="AW37" s="880"/>
      <c r="AX37" s="880"/>
      <c r="AY37" s="880"/>
      <c r="AZ37" s="880"/>
      <c r="BA37" s="930">
        <v>1</v>
      </c>
    </row>
    <row customHeight="1" ht="14.699999999999998">
      <c r="Q38" s="803"/>
      <c r="R38" s="888"/>
      <c r="S38" s="1787"/>
      <c r="T38" s="875"/>
      <c r="U38" s="1756"/>
      <c r="V38" s="2764"/>
      <c r="W38" s="2764"/>
      <c r="X38" s="2764"/>
      <c r="Y38" s="2764"/>
      <c r="Z38" s="2764"/>
      <c r="AA38" s="2764"/>
      <c r="AB38" s="2764"/>
      <c r="AC38" s="2764"/>
      <c r="AD38" s="2764"/>
      <c r="AE38" s="2764"/>
      <c r="AF38" s="2764"/>
      <c r="AG38" s="2764"/>
      <c r="AH38" s="2764"/>
      <c r="AI38" s="2764"/>
      <c r="AJ38" s="2764"/>
      <c r="AK38" s="2764"/>
      <c r="AL38" s="2764"/>
      <c r="AM38" s="2764"/>
      <c r="AN38" s="2764"/>
      <c r="AO38" s="2764"/>
      <c r="AP38" s="2764"/>
      <c r="AQ38" s="2764"/>
      <c r="AR38" s="2764"/>
      <c r="AS38" s="2764"/>
      <c r="BA38" s="1667">
        <v>14</v>
      </c>
    </row>
    <row customHeight="1" ht="14.699999999999998">
      <c r="Q39" s="803"/>
      <c r="R39" s="888"/>
      <c r="S39" s="2639" t="s">
        <v>418</v>
      </c>
      <c r="T39" s="2639"/>
      <c r="U39" s="2639"/>
      <c r="V39" s="2639"/>
      <c r="W39" s="2639"/>
      <c r="X39" s="2639"/>
      <c r="Y39" s="2639"/>
      <c r="Z39" s="2639"/>
      <c r="AA39" s="2639"/>
      <c r="AB39" s="2687"/>
      <c r="AC39" s="2687"/>
      <c r="AD39" s="2687"/>
      <c r="AE39" s="2687"/>
      <c r="AF39" s="2639"/>
      <c r="AG39" s="2639"/>
      <c r="AH39" s="2639"/>
      <c r="AI39" s="2639"/>
      <c r="AJ39" s="2639"/>
      <c r="AK39" s="2639"/>
      <c r="AL39" s="2639"/>
      <c r="AM39" s="2639"/>
      <c r="AN39" s="2639"/>
      <c r="AO39" s="2639"/>
      <c r="AP39" s="2639"/>
      <c r="AQ39" s="2639"/>
      <c r="AR39" s="2639"/>
      <c r="AS39" s="2639"/>
      <c r="AT39" s="2639"/>
      <c r="AU39" s="2639" t="s">
        <v>419</v>
      </c>
      <c r="BA39" s="1667">
        <v>14</v>
      </c>
    </row>
    <row customHeight="1" ht="14.699999999999998">
      <c r="Q40" s="803"/>
      <c r="R40" s="888"/>
      <c r="S40" s="2785" t="s">
        <v>90</v>
      </c>
      <c r="T40" s="2721" t="s">
        <v>588</v>
      </c>
      <c r="U40" s="813"/>
      <c r="V40" s="2787"/>
      <c r="W40" s="2787"/>
      <c r="X40" s="2787"/>
      <c r="Y40" s="2787"/>
      <c r="Z40" s="2788"/>
      <c r="AA40" s="2848" t="s">
        <v>546</v>
      </c>
      <c r="AB40" s="2840" t="s">
        <v>589</v>
      </c>
      <c r="AC40" s="2803"/>
      <c r="AD40" s="2803"/>
      <c r="AE40" s="2841"/>
      <c r="AF40" s="2803" t="s">
        <v>590</v>
      </c>
      <c r="AG40" s="2803"/>
      <c r="AH40" s="2803"/>
      <c r="AI40" s="2841"/>
      <c r="AJ40" s="2840" t="s">
        <v>591</v>
      </c>
      <c r="AK40" s="2803"/>
      <c r="AL40" s="2803"/>
      <c r="AM40" s="2841"/>
      <c r="AN40" s="2840" t="s">
        <v>545</v>
      </c>
      <c r="AO40" s="2803"/>
      <c r="AP40" s="2787"/>
      <c r="AQ40" s="2787"/>
      <c r="AR40" s="2788"/>
      <c r="AS40" s="2789" t="s">
        <v>546</v>
      </c>
      <c r="AT40" s="2792" t="s">
        <v>548</v>
      </c>
      <c r="AU40" s="2639"/>
      <c r="BA40" s="1667">
        <v>14</v>
      </c>
    </row>
    <row customHeight="1" ht="35.699999999999996">
      <c r="Q41" s="803"/>
      <c r="R41" s="888"/>
      <c r="S41" s="2785"/>
      <c r="T41" s="2721"/>
      <c r="U41" s="1543"/>
      <c r="V41" s="2639" t="s">
        <v>592</v>
      </c>
      <c r="W41" s="2639"/>
      <c r="X41" s="2806" t="s">
        <v>552</v>
      </c>
      <c r="Y41" s="2825"/>
      <c r="Z41" s="2826"/>
      <c r="AA41" s="2849"/>
      <c r="AB41" s="2842"/>
      <c r="AC41" s="2843"/>
      <c r="AD41" s="2843"/>
      <c r="AE41" s="2844"/>
      <c r="AF41" s="2843"/>
      <c r="AG41" s="2843"/>
      <c r="AH41" s="2843"/>
      <c r="AI41" s="2844"/>
      <c r="AJ41" s="2842"/>
      <c r="AK41" s="2843"/>
      <c r="AL41" s="2843"/>
      <c r="AM41" s="2843"/>
      <c r="AN41" s="2639" t="s">
        <v>592</v>
      </c>
      <c r="AO41" s="2639"/>
      <c r="AP41" s="2825" t="s">
        <v>552</v>
      </c>
      <c r="AQ41" s="2825"/>
      <c r="AR41" s="2826"/>
      <c r="AS41" s="2790"/>
      <c r="AT41" s="2793"/>
      <c r="AU41" s="2639"/>
      <c r="BA41" s="1667">
        <v>34</v>
      </c>
    </row>
    <row customHeight="1" ht="14.699999999999998">
      <c r="Q42" s="803"/>
      <c r="R42" s="888"/>
      <c r="S42" s="2785"/>
      <c r="T42" s="2721"/>
      <c r="U42" s="1543"/>
      <c r="V42" s="2852" t="str">
        <f>IF($AN$42&lt;&gt;"",$AN$42,"")</f>
        <v/>
      </c>
      <c r="W42" s="2852"/>
      <c r="X42" s="2807"/>
      <c r="Y42" s="2827"/>
      <c r="Z42" s="2828"/>
      <c r="AA42" s="2849"/>
      <c r="AB42" s="2842"/>
      <c r="AC42" s="2843"/>
      <c r="AD42" s="2843"/>
      <c r="AE42" s="2844"/>
      <c r="AF42" s="2843"/>
      <c r="AG42" s="2843"/>
      <c r="AH42" s="2843"/>
      <c r="AI42" s="2844"/>
      <c r="AJ42" s="2842"/>
      <c r="AK42" s="2843"/>
      <c r="AL42" s="2843"/>
      <c r="AM42" s="2843"/>
      <c r="AN42" s="2851"/>
      <c r="AO42" s="2851"/>
      <c r="AP42" s="2827"/>
      <c r="AQ42" s="2827"/>
      <c r="AR42" s="2828"/>
      <c r="AS42" s="2790"/>
      <c r="AT42" s="2793"/>
      <c r="AU42" s="2639"/>
      <c r="BA42" s="1667">
        <v>14</v>
      </c>
    </row>
    <row customHeight="1" ht="14.699999999999998">
      <c r="A43" s="1882"/>
      <c r="B43" s="1882" t="s">
        <v>191</v>
      </c>
      <c r="C43" s="1882" t="s">
        <v>192</v>
      </c>
      <c r="D43" s="1882" t="s">
        <v>193</v>
      </c>
      <c r="E43" s="1876" t="s">
        <v>553</v>
      </c>
      <c r="F43" s="1876" t="s">
        <v>554</v>
      </c>
      <c r="G43" s="1876" t="s">
        <v>555</v>
      </c>
      <c r="H43" s="1876" t="s">
        <v>556</v>
      </c>
      <c r="I43" s="1876" t="s">
        <v>557</v>
      </c>
      <c r="J43" s="1876" t="s">
        <v>558</v>
      </c>
      <c r="K43" s="1876" t="s">
        <v>559</v>
      </c>
      <c r="L43" s="1876" t="s">
        <v>534</v>
      </c>
      <c r="Q43" s="803"/>
      <c r="R43" s="888"/>
      <c r="S43" s="2785"/>
      <c r="T43" s="2721"/>
      <c r="U43" s="814"/>
      <c r="V43" s="1842" t="s">
        <v>593</v>
      </c>
      <c r="W43" s="1842" t="s">
        <v>594</v>
      </c>
      <c r="X43" s="1850" t="s">
        <v>562</v>
      </c>
      <c r="Y43" s="2782" t="s">
        <v>563</v>
      </c>
      <c r="Z43" s="2783"/>
      <c r="AA43" s="2850"/>
      <c r="AB43" s="2845"/>
      <c r="AC43" s="2846"/>
      <c r="AD43" s="2846"/>
      <c r="AE43" s="2847"/>
      <c r="AF43" s="2846"/>
      <c r="AG43" s="2846"/>
      <c r="AH43" s="2846"/>
      <c r="AI43" s="2847"/>
      <c r="AJ43" s="2845"/>
      <c r="AK43" s="2846"/>
      <c r="AL43" s="2846"/>
      <c r="AM43" s="2847"/>
      <c r="AN43" s="2372" t="s">
        <v>593</v>
      </c>
      <c r="AO43" s="2372" t="s">
        <v>594</v>
      </c>
      <c r="AP43" s="1850" t="s">
        <v>562</v>
      </c>
      <c r="AQ43" s="2782" t="s">
        <v>563</v>
      </c>
      <c r="AR43" s="2783"/>
      <c r="AS43" s="2791"/>
      <c r="AT43" s="2794"/>
      <c r="AU43" s="2639"/>
      <c r="BA43" s="1667">
        <v>14</v>
      </c>
    </row>
    <row s="47496" customFormat="1" customHeight="1" ht="11.25" hidden="1">
      <c r="A44" s="1882"/>
      <c r="B44" s="1882"/>
      <c r="C44" s="1882"/>
      <c r="D44" s="1882"/>
      <c r="E44" s="1882"/>
      <c r="F44" s="1882"/>
      <c r="G44" s="1882"/>
      <c r="H44" s="1882"/>
      <c r="I44" s="1882"/>
      <c r="J44" s="1882"/>
      <c r="K44" s="1882"/>
      <c r="L44" s="1876"/>
      <c r="M44" s="1874"/>
      <c r="N44" s="1874"/>
      <c r="O44" s="1874"/>
      <c r="P44" s="1022"/>
      <c r="Q44" s="1766"/>
      <c r="R44" s="1766">
        <v>1</v>
      </c>
      <c r="S44" s="1789" t="s">
        <v>101</v>
      </c>
      <c r="T44" s="1767" t="s">
        <v>105</v>
      </c>
      <c r="U44" s="1757" t="str">
        <f>OFFSET(U44,0,-1)</f>
        <v>2</v>
      </c>
      <c r="V44" s="1847">
        <f>OFFSET(V44,0,-1)+1</f>
        <v>3</v>
      </c>
      <c r="W44" s="1847">
        <f>OFFSET(W44,0,-1)+1</f>
        <v>4</v>
      </c>
      <c r="X44" s="1847">
        <f>OFFSET(X44,0,-1)+1</f>
        <v>5</v>
      </c>
      <c r="Y44" s="2784">
        <f>OFFSET(Y44,0,-1)+1</f>
        <v>6</v>
      </c>
      <c r="Z44" s="2784"/>
      <c r="AA44" s="1847">
        <f>OFFSET(AA44,0,-2)+1</f>
        <v>7</v>
      </c>
      <c r="AB44" s="1853">
        <f>OFFSET(AB44,0,-1)+1</f>
        <v>8</v>
      </c>
      <c r="AC44" s="1853"/>
      <c r="AD44" s="1853"/>
      <c r="AE44" s="1853"/>
      <c r="AF44" s="1847"/>
      <c r="AG44" s="1847"/>
      <c r="AH44" s="1847"/>
      <c r="AI44" s="1847"/>
      <c r="AJ44" s="1847"/>
      <c r="AK44" s="1847"/>
      <c r="AL44" s="1847"/>
      <c r="AM44" s="1847"/>
      <c r="AN44" s="1847">
        <f>OFFSET(AN44,0,-1)+1</f>
        <v>1</v>
      </c>
      <c r="AO44" s="1847">
        <f>OFFSET(AO44,0,-1)+1</f>
        <v>2</v>
      </c>
      <c r="AP44" s="1847">
        <f>OFFSET(AP44,0,-1)+1</f>
        <v>3</v>
      </c>
      <c r="AQ44" s="2784">
        <f>OFFSET(AQ44,0,-1)+1</f>
        <v>4</v>
      </c>
      <c r="AR44" s="2784"/>
      <c r="AS44" s="1847">
        <f>OFFSET(AS44,0,-2)+1</f>
        <v>5</v>
      </c>
      <c r="AT44" s="1757">
        <f>OFFSET(AT44,0,-1)</f>
        <v>5</v>
      </c>
      <c r="AU44" s="1847">
        <f>OFFSET(AU44,0,-1)+1</f>
        <v>6</v>
      </c>
      <c r="AV44" s="1023"/>
      <c r="AW44" s="1023"/>
      <c r="AX44" s="1023"/>
      <c r="AY44" s="1023"/>
      <c r="AZ44" s="1023"/>
      <c r="BA44" s="1008">
        <v>0</v>
      </c>
    </row>
    <row customHeight="1" ht="107.25">
      <c r="A45" s="1875" t="s">
        <v>249</v>
      </c>
      <c r="B45" s="1875"/>
      <c r="C45" s="1875"/>
      <c r="D45" s="1875"/>
      <c r="E45" s="2770">
        <v>1</v>
      </c>
      <c r="F45" s="1875"/>
      <c r="G45" s="1875"/>
      <c r="H45" s="1875"/>
      <c r="I45" s="1875"/>
      <c r="J45" s="1875"/>
      <c r="K45" s="1875"/>
      <c r="L45" s="1876"/>
      <c r="M45" s="1877"/>
      <c r="N45" s="1877"/>
      <c r="O45" s="1877"/>
      <c r="P45" s="1921"/>
      <c r="Q45" s="1385"/>
      <c r="R45" s="867"/>
      <c r="S45" s="1848">
        <f>INDEX(PT_DIFFERENTIATION_NUM_NTAR,MATCH(A45,PT_DIFFERENTIATION_NTAR_ID,0))</f>
        <v>0</v>
      </c>
      <c r="T45" s="810" t="s">
        <v>179</v>
      </c>
      <c r="U45" s="812"/>
      <c r="V45" s="2755"/>
      <c r="W45" s="2755"/>
      <c r="X45" s="2755"/>
      <c r="Y45" s="2755"/>
      <c r="Z45" s="2755"/>
      <c r="AA45" s="2756"/>
      <c r="AB45" s="2754" t="str">
        <f>INDEX(PT_DIFFERENTIATION_NTAR,MATCH(A45,PT_DIFFERENTIATION_NTAR_ID,0))</f>
        <v/>
      </c>
      <c r="AC45" s="2755"/>
      <c r="AD45" s="2755"/>
      <c r="AE45" s="2755"/>
      <c r="AF45" s="2755"/>
      <c r="AG45" s="2755"/>
      <c r="AH45" s="2755"/>
      <c r="AI45" s="2755"/>
      <c r="AJ45" s="2755"/>
      <c r="AK45" s="2755"/>
      <c r="AL45" s="2755"/>
      <c r="AM45" s="2755"/>
      <c r="AN45" s="2755"/>
      <c r="AO45" s="2755"/>
      <c r="AP45" s="2755"/>
      <c r="AQ45" s="2755"/>
      <c r="AR45" s="2755"/>
      <c r="AS45" s="2755"/>
      <c r="AT45" s="2756"/>
      <c r="AU45" s="1770"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1012"/>
      <c r="AX45" s="1012" t="str">
        <f>IF(T45="","",T45)</f>
        <v>Наименование тарифа</v>
      </c>
      <c r="AY45" s="1012"/>
      <c r="AZ45" s="1012"/>
      <c r="BA45" s="1667">
        <v>102</v>
      </c>
    </row>
    <row customHeight="1" ht="22.049999999999997">
      <c r="A46" s="1875" t="s">
        <v>249</v>
      </c>
      <c r="B46" s="1875" t="s">
        <v>250</v>
      </c>
      <c r="C46" s="1875"/>
      <c r="D46" s="1875"/>
      <c r="E46" s="2771"/>
      <c r="F46" s="2770">
        <v>1</v>
      </c>
      <c r="G46" s="1875"/>
      <c r="H46" s="1875"/>
      <c r="I46" s="1875"/>
      <c r="J46" s="1875"/>
      <c r="K46" s="1875"/>
      <c r="L46" s="1876"/>
      <c r="M46" s="1877"/>
      <c r="N46" s="1877"/>
      <c r="O46" s="1877"/>
      <c r="P46" s="1922"/>
      <c r="Q46" s="1923"/>
      <c r="R46" s="865"/>
      <c r="S46" s="1848" t="str">
        <f>INDEX(PT_DIFFERENTIATION_NUM_TER,MATCH(B46,PT_DIFFERENTIATION_TER_ID,0))</f>
        <v>.</v>
      </c>
      <c r="T46" s="820" t="s">
        <v>515</v>
      </c>
      <c r="U46" s="812"/>
      <c r="V46" s="2755"/>
      <c r="W46" s="2755"/>
      <c r="X46" s="2755"/>
      <c r="Y46" s="2755"/>
      <c r="Z46" s="2755"/>
      <c r="AA46" s="2756"/>
      <c r="AB46" s="2754" t="str">
        <f>INDEX(PT_DIFFERENTIATION_TER,MATCH(B46,PT_DIFFERENTIATION_TER_ID,0))</f>
        <v/>
      </c>
      <c r="AC46" s="2755"/>
      <c r="AD46" s="2755"/>
      <c r="AE46" s="2755"/>
      <c r="AF46" s="2755"/>
      <c r="AG46" s="2755"/>
      <c r="AH46" s="2755"/>
      <c r="AI46" s="2755"/>
      <c r="AJ46" s="2755"/>
      <c r="AK46" s="2755"/>
      <c r="AL46" s="2755"/>
      <c r="AM46" s="2755"/>
      <c r="AN46" s="2755"/>
      <c r="AO46" s="2755"/>
      <c r="AP46" s="2755"/>
      <c r="AQ46" s="2755"/>
      <c r="AR46" s="2755"/>
      <c r="AS46" s="2755"/>
      <c r="AT46" s="2756"/>
      <c r="AU46" s="1770" t="s">
        <v>516</v>
      </c>
      <c r="AW46" s="1012"/>
      <c r="AX46" s="1012" t="str">
        <f>IF(T46="","",T46)</f>
        <v>Территория действия тарифа</v>
      </c>
      <c r="AY46" s="1012"/>
      <c r="AZ46" s="1012"/>
      <c r="BA46" s="1667">
        <v>21</v>
      </c>
    </row>
    <row customHeight="1" ht="24">
      <c r="A47" s="1875" t="s">
        <v>249</v>
      </c>
      <c r="B47" s="1875" t="s">
        <v>250</v>
      </c>
      <c r="C47" s="1875" t="s">
        <v>251</v>
      </c>
      <c r="D47" s="1875"/>
      <c r="E47" s="2771"/>
      <c r="F47" s="2771"/>
      <c r="G47" s="2770">
        <v>1</v>
      </c>
      <c r="H47" s="1875"/>
      <c r="I47" s="1875"/>
      <c r="J47" s="1875"/>
      <c r="K47" s="1875"/>
      <c r="L47" s="1876"/>
      <c r="M47" s="1877"/>
      <c r="N47" s="1877"/>
      <c r="O47" s="1877"/>
      <c r="P47" s="1924"/>
      <c r="Q47" s="1923"/>
      <c r="R47" s="865"/>
      <c r="S47" s="1848" t="str">
        <f>INDEX(PT_DIFFERENTIATION_NUM_CS,MATCH(C47,PT_DIFFERENTIATION_CS_ID,0))</f>
        <v>..</v>
      </c>
      <c r="T47" s="821" t="s">
        <v>517</v>
      </c>
      <c r="U47" s="812"/>
      <c r="V47" s="2755"/>
      <c r="W47" s="2755"/>
      <c r="X47" s="2755"/>
      <c r="Y47" s="2755"/>
      <c r="Z47" s="2755"/>
      <c r="AA47" s="2756"/>
      <c r="AB47" s="2754" t="str">
        <f>INDEX(PT_DIFFERENTIATION_CS,MATCH(C47,PT_DIFFERENTIATION_CS_ID,0))</f>
        <v/>
      </c>
      <c r="AC47" s="2755"/>
      <c r="AD47" s="2755"/>
      <c r="AE47" s="2755"/>
      <c r="AF47" s="2755"/>
      <c r="AG47" s="2755"/>
      <c r="AH47" s="2755"/>
      <c r="AI47" s="2755"/>
      <c r="AJ47" s="2755"/>
      <c r="AK47" s="2755"/>
      <c r="AL47" s="2755"/>
      <c r="AM47" s="2755"/>
      <c r="AN47" s="2755"/>
      <c r="AO47" s="2755"/>
      <c r="AP47" s="2755"/>
      <c r="AQ47" s="2755"/>
      <c r="AR47" s="2755"/>
      <c r="AS47" s="2755"/>
      <c r="AT47" s="2756"/>
      <c r="AU47" s="1770" t="s">
        <v>518</v>
      </c>
      <c r="AW47" s="1012"/>
      <c r="AX47" s="1012" t="str">
        <f>IF(T47="","",T47)</f>
        <v>Наименование системы теплоснабжения </v>
      </c>
      <c r="AY47" s="1012"/>
      <c r="AZ47" s="1012"/>
      <c r="BA47" s="1667">
        <v>23</v>
      </c>
    </row>
    <row customHeight="1" ht="21">
      <c r="A48" s="1875" t="s">
        <v>249</v>
      </c>
      <c r="B48" s="1875" t="s">
        <v>250</v>
      </c>
      <c r="C48" s="1875" t="s">
        <v>251</v>
      </c>
      <c r="D48" s="1875" t="s">
        <v>252</v>
      </c>
      <c r="E48" s="2771"/>
      <c r="F48" s="2771"/>
      <c r="G48" s="2771"/>
      <c r="H48" s="2770">
        <v>1</v>
      </c>
      <c r="I48" s="1875"/>
      <c r="J48" s="1875"/>
      <c r="K48" s="1875"/>
      <c r="L48" s="1876"/>
      <c r="M48" s="1877"/>
      <c r="N48" s="1877"/>
      <c r="O48" s="1877"/>
      <c r="P48" s="1924"/>
      <c r="Q48" s="1923"/>
      <c r="R48" s="865"/>
      <c r="S48" s="1848" t="str">
        <f>INDEX(PT_DIFFERENTIATION_NUM_IST_TE,MATCH(D48,PT_DIFFERENTIATION_IST_TE_ID,0))</f>
        <v>...</v>
      </c>
      <c r="T48" s="822" t="s">
        <v>519</v>
      </c>
      <c r="U48" s="812"/>
      <c r="V48" s="2755"/>
      <c r="W48" s="2755"/>
      <c r="X48" s="2755"/>
      <c r="Y48" s="2755"/>
      <c r="Z48" s="2755"/>
      <c r="AA48" s="2756"/>
      <c r="AB48" s="2754" t="str">
        <f>INDEX(PT_DIFFERENTIATION_IST_TE,MATCH(D48,PT_DIFFERENTIATION_IST_TE_ID,0))</f>
        <v/>
      </c>
      <c r="AC48" s="2755"/>
      <c r="AD48" s="2755"/>
      <c r="AE48" s="2755"/>
      <c r="AF48" s="2755"/>
      <c r="AG48" s="2755"/>
      <c r="AH48" s="2755"/>
      <c r="AI48" s="2755"/>
      <c r="AJ48" s="2755"/>
      <c r="AK48" s="2755"/>
      <c r="AL48" s="2755"/>
      <c r="AM48" s="2755"/>
      <c r="AN48" s="2755"/>
      <c r="AO48" s="2755"/>
      <c r="AP48" s="2755"/>
      <c r="AQ48" s="2755"/>
      <c r="AR48" s="2755"/>
      <c r="AS48" s="2755"/>
      <c r="AT48" s="2756"/>
      <c r="AU48" s="1770" t="s">
        <v>520</v>
      </c>
      <c r="AW48" s="1012"/>
      <c r="AX48" s="1012" t="str">
        <f>IF(T48="","",T48)</f>
        <v>Источник тепловой энергии  </v>
      </c>
      <c r="AY48" s="1012"/>
      <c r="AZ48" s="1012"/>
      <c r="BA48" s="1667">
        <v>20</v>
      </c>
    </row>
    <row s="46890" customFormat="1" customHeight="1" ht="1.05">
      <c r="A49" s="1855" t="s">
        <v>249</v>
      </c>
      <c r="B49" s="1855" t="s">
        <v>250</v>
      </c>
      <c r="C49" s="1855" t="s">
        <v>251</v>
      </c>
      <c r="D49" s="1855" t="s">
        <v>252</v>
      </c>
      <c r="E49" s="2771"/>
      <c r="F49" s="2771"/>
      <c r="G49" s="2771"/>
      <c r="H49" s="2771"/>
      <c r="I49" s="2768" t="str">
        <f>S48&amp;".1"</f>
        <v>....1</v>
      </c>
      <c r="J49" s="1855"/>
      <c r="K49" s="1855"/>
      <c r="L49" s="1858" t="s">
        <v>521</v>
      </c>
      <c r="M49" s="1022"/>
      <c r="N49" s="1022"/>
      <c r="O49" s="1022"/>
      <c r="P49" s="2769">
        <v>1</v>
      </c>
      <c r="Q49" s="1843"/>
      <c r="R49" s="868"/>
      <c r="S49" s="1554"/>
      <c r="T49" s="1895"/>
      <c r="U49" s="1896"/>
      <c r="V49" s="2809"/>
      <c r="W49" s="2809"/>
      <c r="X49" s="2809"/>
      <c r="Y49" s="2809"/>
      <c r="Z49" s="2809"/>
      <c r="AA49" s="2810"/>
      <c r="AB49" s="2808"/>
      <c r="AC49" s="2809"/>
      <c r="AD49" s="2809"/>
      <c r="AE49" s="2809"/>
      <c r="AF49" s="2809"/>
      <c r="AG49" s="2809"/>
      <c r="AH49" s="2809"/>
      <c r="AI49" s="2809"/>
      <c r="AJ49" s="2809"/>
      <c r="AK49" s="2809"/>
      <c r="AL49" s="2809"/>
      <c r="AM49" s="2809"/>
      <c r="AN49" s="2809"/>
      <c r="AO49" s="2809"/>
      <c r="AP49" s="2809"/>
      <c r="AQ49" s="2809"/>
      <c r="AR49" s="2809"/>
      <c r="AS49" s="2809"/>
      <c r="AT49" s="2810"/>
      <c r="AU49" s="1897"/>
      <c r="AW49" s="1012"/>
      <c r="AX49" s="1012" t="str">
        <f>IF(T49="","",T49)</f>
        <v/>
      </c>
      <c r="AY49" s="1012"/>
      <c r="AZ49" s="1012"/>
      <c r="BA49" s="1023">
        <v>1</v>
      </c>
    </row>
    <row s="46890" customFormat="1" customHeight="1" ht="1.05">
      <c r="A50" s="1855" t="s">
        <v>249</v>
      </c>
      <c r="B50" s="1855" t="s">
        <v>250</v>
      </c>
      <c r="C50" s="1855" t="s">
        <v>251</v>
      </c>
      <c r="D50" s="1855" t="s">
        <v>252</v>
      </c>
      <c r="E50" s="2771"/>
      <c r="F50" s="2771"/>
      <c r="G50" s="2771"/>
      <c r="H50" s="2771"/>
      <c r="I50" s="2798"/>
      <c r="J50" s="2768" t="str">
        <f>S48&amp;".1"</f>
        <v>....1</v>
      </c>
      <c r="K50" s="1855"/>
      <c r="L50" s="1858"/>
      <c r="M50" s="1022"/>
      <c r="N50" s="1022"/>
      <c r="O50" s="1022"/>
      <c r="P50" s="2769"/>
      <c r="Q50" s="2769">
        <v>1</v>
      </c>
      <c r="R50" s="869"/>
      <c r="S50" s="1554"/>
      <c r="T50" s="1911"/>
      <c r="U50" s="1896"/>
      <c r="V50" s="2809"/>
      <c r="W50" s="2809"/>
      <c r="X50" s="2809"/>
      <c r="Y50" s="2809"/>
      <c r="Z50" s="2809"/>
      <c r="AA50" s="2810"/>
      <c r="AB50" s="2808"/>
      <c r="AC50" s="2809"/>
      <c r="AD50" s="2809"/>
      <c r="AE50" s="2809"/>
      <c r="AF50" s="2809"/>
      <c r="AG50" s="2809"/>
      <c r="AH50" s="2809"/>
      <c r="AI50" s="2809"/>
      <c r="AJ50" s="2809"/>
      <c r="AK50" s="2809"/>
      <c r="AL50" s="2809"/>
      <c r="AM50" s="2809"/>
      <c r="AN50" s="2809"/>
      <c r="AO50" s="2809"/>
      <c r="AP50" s="2809"/>
      <c r="AQ50" s="2809"/>
      <c r="AR50" s="2809"/>
      <c r="AS50" s="2809"/>
      <c r="AT50" s="2810"/>
      <c r="AU50" s="1897"/>
      <c r="AW50" s="1012"/>
      <c r="AX50" s="1012" t="str">
        <f>IF(T50="","",T50)</f>
        <v/>
      </c>
      <c r="AY50" s="1012"/>
      <c r="AZ50" s="1012"/>
      <c r="BA50" s="1023">
        <v>1</v>
      </c>
    </row>
    <row customHeight="1" ht="22.049999999999997">
      <c r="A51" s="1875" t="s">
        <v>249</v>
      </c>
      <c r="B51" s="1875" t="s">
        <v>250</v>
      </c>
      <c r="C51" s="1875" t="s">
        <v>251</v>
      </c>
      <c r="D51" s="1875" t="s">
        <v>252</v>
      </c>
      <c r="E51" s="2771"/>
      <c r="F51" s="2771"/>
      <c r="G51" s="2771"/>
      <c r="H51" s="2771"/>
      <c r="I51" s="2798"/>
      <c r="J51" s="2798"/>
      <c r="K51" s="2768" t="str">
        <f>S48&amp;".1"</f>
        <v>....1</v>
      </c>
      <c r="L51" s="1876"/>
      <c r="P51" s="2769"/>
      <c r="Q51" s="2769"/>
      <c r="R51" s="869">
        <v>1</v>
      </c>
      <c r="S51" s="2853" t="str">
        <f>$K51</f>
        <v>....1</v>
      </c>
      <c r="T51" s="2856"/>
      <c r="U51" s="812"/>
      <c r="V51" s="1263"/>
      <c r="W51" s="1769"/>
      <c r="X51" s="2246"/>
      <c r="Y51" s="1971" t="s">
        <v>63</v>
      </c>
      <c r="Z51" s="2246"/>
      <c r="AA51" s="1971" t="s">
        <v>63</v>
      </c>
      <c r="AB51" s="2619" t="s">
        <v>19</v>
      </c>
      <c r="AC51" s="2838"/>
      <c r="AD51" s="2717">
        <v>1</v>
      </c>
      <c r="AE51" s="2860" t="s">
        <v>28</v>
      </c>
      <c r="AF51" s="2619" t="s">
        <v>19</v>
      </c>
      <c r="AG51" s="2838"/>
      <c r="AH51" s="2717">
        <v>1</v>
      </c>
      <c r="AI51" s="2860" t="s">
        <v>28</v>
      </c>
      <c r="AJ51" s="2619" t="s">
        <v>19</v>
      </c>
      <c r="AK51" s="823"/>
      <c r="AL51" s="1849">
        <v>1</v>
      </c>
      <c r="AM51" s="1914"/>
      <c r="AN51" s="1263"/>
      <c r="AO51" s="1769"/>
      <c r="AP51" s="2246"/>
      <c r="AQ51" s="1971" t="s">
        <v>63</v>
      </c>
      <c r="AR51" s="2246"/>
      <c r="AS51" s="1971" t="s">
        <v>63</v>
      </c>
      <c r="AT51" s="1860"/>
      <c r="AU51" s="2765" t="s">
        <v>595</v>
      </c>
      <c r="AV51" s="1023">
        <f>STRCHECKDATE(V54:AT54)</f>
      </c>
      <c r="AW51" s="1012"/>
      <c r="AX51" s="1012" t="str">
        <f>IF(T51="","",T51)</f>
        <v/>
      </c>
      <c r="AY51" s="1012"/>
      <c r="AZ51" s="1012"/>
      <c r="BA51" s="1667">
        <v>21</v>
      </c>
    </row>
    <row customHeight="1" ht="11.549999999999999">
      <c r="A52" s="1875" t="s">
        <v>249</v>
      </c>
      <c r="B52" s="1875"/>
      <c r="C52" s="1875"/>
      <c r="D52" s="1875"/>
      <c r="E52" s="2771"/>
      <c r="F52" s="2771"/>
      <c r="G52" s="2771"/>
      <c r="H52" s="2771"/>
      <c r="I52" s="2798"/>
      <c r="J52" s="2798"/>
      <c r="K52" s="2768"/>
      <c r="L52" s="1876"/>
      <c r="P52" s="2769"/>
      <c r="Q52" s="2769"/>
      <c r="R52" s="869"/>
      <c r="S52" s="2854"/>
      <c r="T52" s="2857"/>
      <c r="U52" s="812"/>
      <c r="V52" s="1905"/>
      <c r="W52" s="2008"/>
      <c r="X52" s="1905"/>
      <c r="Y52" s="1905"/>
      <c r="Z52" s="1905"/>
      <c r="AA52" s="1905"/>
      <c r="AB52" s="2619"/>
      <c r="AC52" s="2838"/>
      <c r="AD52" s="2717"/>
      <c r="AE52" s="2860"/>
      <c r="AF52" s="2619"/>
      <c r="AG52" s="2838"/>
      <c r="AH52" s="2717"/>
      <c r="AI52" s="2860"/>
      <c r="AJ52" s="2619"/>
      <c r="AK52" s="828"/>
      <c r="AL52" s="928"/>
      <c r="AM52" s="927" t="s">
        <v>580</v>
      </c>
      <c r="AN52" s="1905"/>
      <c r="AO52" s="2008"/>
      <c r="AP52" s="1905"/>
      <c r="AQ52" s="1905"/>
      <c r="AR52" s="1905"/>
      <c r="AS52" s="1905"/>
      <c r="AT52" s="1902"/>
      <c r="AU52" s="2766"/>
      <c r="AW52" s="1012"/>
      <c r="AX52" s="1012"/>
      <c r="AY52" s="1012"/>
      <c r="AZ52" s="1012"/>
      <c r="BA52" s="1667">
        <v>11</v>
      </c>
    </row>
    <row customHeight="1" ht="11.549999999999999">
      <c r="A53" s="1875" t="s">
        <v>249</v>
      </c>
      <c r="B53" s="1875"/>
      <c r="C53" s="1875"/>
      <c r="D53" s="1875"/>
      <c r="E53" s="2771"/>
      <c r="F53" s="2771"/>
      <c r="G53" s="2771"/>
      <c r="H53" s="2771"/>
      <c r="I53" s="2798"/>
      <c r="J53" s="2798"/>
      <c r="K53" s="2768"/>
      <c r="L53" s="1876"/>
      <c r="P53" s="2769"/>
      <c r="Q53" s="2769"/>
      <c r="R53" s="869"/>
      <c r="S53" s="2854"/>
      <c r="T53" s="2857"/>
      <c r="U53" s="812"/>
      <c r="V53" s="1905"/>
      <c r="W53" s="2008"/>
      <c r="X53" s="1905"/>
      <c r="Y53" s="1905"/>
      <c r="Z53" s="1905"/>
      <c r="AA53" s="1905"/>
      <c r="AB53" s="2619"/>
      <c r="AC53" s="2838"/>
      <c r="AD53" s="2717"/>
      <c r="AE53" s="2860"/>
      <c r="AF53" s="2619"/>
      <c r="AG53" s="806"/>
      <c r="AH53" s="927"/>
      <c r="AI53" s="927" t="s">
        <v>581</v>
      </c>
      <c r="AJ53" s="1905"/>
      <c r="AK53" s="1905"/>
      <c r="AL53" s="1905"/>
      <c r="AM53" s="1905"/>
      <c r="AN53" s="1905"/>
      <c r="AO53" s="2008"/>
      <c r="AP53" s="1905"/>
      <c r="AQ53" s="1905"/>
      <c r="AR53" s="1905"/>
      <c r="AS53" s="1905"/>
      <c r="AT53" s="1902"/>
      <c r="AU53" s="2766"/>
      <c r="AW53" s="1012"/>
      <c r="AX53" s="1012"/>
      <c r="AY53" s="1012"/>
      <c r="AZ53" s="1012"/>
      <c r="BA53" s="1667">
        <v>11</v>
      </c>
    </row>
    <row customHeight="1" ht="11.549999999999999">
      <c r="A54" s="1875" t="s">
        <v>249</v>
      </c>
      <c r="B54" s="1875" t="s">
        <v>250</v>
      </c>
      <c r="C54" s="1875" t="s">
        <v>251</v>
      </c>
      <c r="D54" s="1875" t="s">
        <v>252</v>
      </c>
      <c r="E54" s="2771"/>
      <c r="F54" s="2771"/>
      <c r="G54" s="2771"/>
      <c r="H54" s="2771"/>
      <c r="I54" s="2798"/>
      <c r="J54" s="2798"/>
      <c r="K54" s="2768"/>
      <c r="L54" s="1876"/>
      <c r="P54" s="2769"/>
      <c r="Q54" s="2769"/>
      <c r="R54" s="869"/>
      <c r="S54" s="2855"/>
      <c r="T54" s="2858"/>
      <c r="U54" s="812"/>
      <c r="V54" s="1905"/>
      <c r="W54" s="1906" t="str">
        <f>X51&amp;"-"&amp;Z51</f>
        <v>-</v>
      </c>
      <c r="X54" s="1905"/>
      <c r="Y54" s="1905"/>
      <c r="Z54" s="1905"/>
      <c r="AA54" s="1905"/>
      <c r="AB54" s="2619"/>
      <c r="AC54" s="824"/>
      <c r="AD54" s="826"/>
      <c r="AE54" s="927" t="s">
        <v>582</v>
      </c>
      <c r="AF54" s="1905"/>
      <c r="AG54" s="1905"/>
      <c r="AH54" s="1905"/>
      <c r="AI54" s="1905"/>
      <c r="AJ54" s="1905"/>
      <c r="AK54" s="1905"/>
      <c r="AL54" s="1905"/>
      <c r="AM54" s="1905"/>
      <c r="AN54" s="1905"/>
      <c r="AO54" s="1906" t="str">
        <f>AP51&amp;"-"&amp;AR51</f>
        <v>-</v>
      </c>
      <c r="AP54" s="1905"/>
      <c r="AQ54" s="1905"/>
      <c r="AR54" s="1905"/>
      <c r="AS54" s="1905"/>
      <c r="AT54" s="1861"/>
      <c r="AU54" s="2766"/>
      <c r="AW54" s="1012"/>
      <c r="AX54" s="1012" t="str">
        <f>IF(T54="","",T54)</f>
        <v/>
      </c>
      <c r="AY54" s="1012"/>
      <c r="AZ54" s="1012"/>
      <c r="BA54" s="1667">
        <v>11</v>
      </c>
    </row>
    <row customHeight="1" ht="11.549999999999999">
      <c r="A55" s="1875" t="s">
        <v>249</v>
      </c>
      <c r="B55" s="1875" t="s">
        <v>250</v>
      </c>
      <c r="C55" s="1875" t="s">
        <v>251</v>
      </c>
      <c r="D55" s="1875" t="s">
        <v>252</v>
      </c>
      <c r="E55" s="2771"/>
      <c r="F55" s="2771"/>
      <c r="G55" s="2771"/>
      <c r="H55" s="2771"/>
      <c r="I55" s="2798"/>
      <c r="J55" s="2768"/>
      <c r="K55" s="1875"/>
      <c r="L55" s="1876"/>
      <c r="P55" s="2769"/>
      <c r="Q55" s="2769"/>
      <c r="R55" s="868"/>
      <c r="S55" s="1790"/>
      <c r="T55" s="799" t="s">
        <v>583</v>
      </c>
      <c r="U55" s="879"/>
      <c r="V55" s="879"/>
      <c r="W55" s="879"/>
      <c r="X55" s="879"/>
      <c r="Y55" s="879"/>
      <c r="Z55" s="879"/>
      <c r="AA55" s="836"/>
      <c r="AB55" s="2017"/>
      <c r="AC55" s="879"/>
      <c r="AD55" s="879"/>
      <c r="AE55" s="879"/>
      <c r="AF55" s="879"/>
      <c r="AG55" s="879"/>
      <c r="AH55" s="879"/>
      <c r="AI55" s="879"/>
      <c r="AJ55" s="879"/>
      <c r="AK55" s="879"/>
      <c r="AL55" s="879"/>
      <c r="AM55" s="879"/>
      <c r="AN55" s="879"/>
      <c r="AO55" s="879"/>
      <c r="AP55" s="879"/>
      <c r="AQ55" s="879"/>
      <c r="AR55" s="879"/>
      <c r="AS55" s="879"/>
      <c r="AT55" s="836"/>
      <c r="AU55" s="2767"/>
      <c r="AW55" s="1012"/>
      <c r="AX55" s="1012" t="str">
        <f>IF(T55="","",T55)</f>
        <v>Добавить строку</v>
      </c>
      <c r="AY55" s="1012"/>
      <c r="AZ55" s="1012"/>
      <c r="BA55" s="1667">
        <v>11</v>
      </c>
    </row>
    <row s="46890" customFormat="1" customHeight="1" ht="1.05">
      <c r="A56" s="1855" t="s">
        <v>249</v>
      </c>
      <c r="B56" s="1855" t="s">
        <v>250</v>
      </c>
      <c r="C56" s="1855" t="s">
        <v>251</v>
      </c>
      <c r="D56" s="1855" t="s">
        <v>252</v>
      </c>
      <c r="E56" s="2771"/>
      <c r="F56" s="2771"/>
      <c r="G56" s="2771"/>
      <c r="H56" s="2771"/>
      <c r="I56" s="2768"/>
      <c r="J56" s="1855"/>
      <c r="K56" s="1855"/>
      <c r="L56" s="1858"/>
      <c r="M56" s="1022"/>
      <c r="N56" s="1022"/>
      <c r="O56" s="1022"/>
      <c r="P56" s="2769"/>
      <c r="Q56" s="1843"/>
      <c r="R56" s="868"/>
      <c r="S56" s="1898"/>
      <c r="T56" s="1899" t="s">
        <v>530</v>
      </c>
      <c r="U56" s="1900"/>
      <c r="V56" s="1900"/>
      <c r="W56" s="1900"/>
      <c r="X56" s="1900"/>
      <c r="Y56" s="1900"/>
      <c r="Z56" s="1900"/>
      <c r="AA56" s="1900"/>
      <c r="AB56" s="1900"/>
      <c r="AC56" s="1900"/>
      <c r="AD56" s="1900"/>
      <c r="AE56" s="1900"/>
      <c r="AF56" s="1900"/>
      <c r="AG56" s="1900"/>
      <c r="AH56" s="1900"/>
      <c r="AI56" s="1900"/>
      <c r="AJ56" s="1900"/>
      <c r="AK56" s="1900"/>
      <c r="AL56" s="1900"/>
      <c r="AM56" s="1900"/>
      <c r="AN56" s="1900"/>
      <c r="AO56" s="1900"/>
      <c r="AP56" s="1900"/>
      <c r="AQ56" s="1900"/>
      <c r="AR56" s="1900"/>
      <c r="AS56" s="1900"/>
      <c r="AT56" s="1900"/>
      <c r="AU56" s="1901"/>
      <c r="AW56" s="1012"/>
      <c r="AX56" s="1012" t="str">
        <f>IF(T56="","",T56)</f>
        <v>Добавить группу потребителей</v>
      </c>
      <c r="AY56" s="1012"/>
      <c r="AZ56" s="1012"/>
      <c r="BA56" s="1023">
        <v>1</v>
      </c>
    </row>
    <row s="47496" customFormat="1" customHeight="1" ht="1.05">
      <c r="A57" s="1855" t="s">
        <v>249</v>
      </c>
      <c r="B57" s="1855" t="s">
        <v>250</v>
      </c>
      <c r="C57" s="1855" t="s">
        <v>251</v>
      </c>
      <c r="D57" s="1855" t="s">
        <v>252</v>
      </c>
      <c r="E57" s="2771"/>
      <c r="F57" s="2771"/>
      <c r="G57" s="2771"/>
      <c r="H57" s="2770"/>
      <c r="I57" s="1855"/>
      <c r="J57" s="1855"/>
      <c r="K57" s="1855"/>
      <c r="L57" s="1858"/>
      <c r="M57" s="1827"/>
      <c r="N57" s="1827"/>
      <c r="O57" s="1030"/>
      <c r="P57" s="892"/>
      <c r="Q57" s="1856"/>
      <c r="R57" s="1912"/>
      <c r="S57" s="1898"/>
      <c r="T57" s="1899"/>
      <c r="U57" s="1900"/>
      <c r="V57" s="1900"/>
      <c r="W57" s="1900"/>
      <c r="X57" s="1900"/>
      <c r="Y57" s="1900"/>
      <c r="Z57" s="1900"/>
      <c r="AA57" s="1900"/>
      <c r="AB57" s="1900"/>
      <c r="AC57" s="1900"/>
      <c r="AD57" s="1900"/>
      <c r="AE57" s="1900"/>
      <c r="AF57" s="1900"/>
      <c r="AG57" s="1900"/>
      <c r="AH57" s="1900"/>
      <c r="AI57" s="1900"/>
      <c r="AJ57" s="1900"/>
      <c r="AK57" s="1900"/>
      <c r="AL57" s="1900"/>
      <c r="AM57" s="1900"/>
      <c r="AN57" s="1900"/>
      <c r="AO57" s="1900"/>
      <c r="AP57" s="1900"/>
      <c r="AQ57" s="1900"/>
      <c r="AR57" s="1900"/>
      <c r="AS57" s="1900"/>
      <c r="AT57" s="1900"/>
      <c r="AU57" s="1901"/>
      <c r="AV57" s="1023"/>
      <c r="AW57" s="1012"/>
      <c r="AX57" s="1012" t="str">
        <f>IF(T57="","",T57)</f>
        <v/>
      </c>
      <c r="AY57" s="1012"/>
      <c r="AZ57" s="1012"/>
      <c r="BA57" s="1008">
        <v>1</v>
      </c>
    </row>
    <row s="46890" customFormat="1" customHeight="1" ht="1.05">
      <c r="A58" s="1855" t="s">
        <v>249</v>
      </c>
      <c r="B58" s="1855" t="s">
        <v>250</v>
      </c>
      <c r="C58" s="1855" t="s">
        <v>251</v>
      </c>
      <c r="D58" s="1826"/>
      <c r="E58" s="2771"/>
      <c r="F58" s="2771"/>
      <c r="G58" s="2770"/>
      <c r="H58" s="1826"/>
      <c r="I58" s="1826"/>
      <c r="J58" s="1826"/>
      <c r="K58" s="1826"/>
      <c r="L58" s="1851"/>
      <c r="M58" s="1827"/>
      <c r="N58" s="1827"/>
      <c r="P58" s="1828"/>
      <c r="Q58" s="1829"/>
      <c r="R58" s="1828"/>
      <c r="S58" s="1834"/>
      <c r="T58" s="1837" t="s">
        <v>532</v>
      </c>
      <c r="U58" s="1836"/>
      <c r="V58" s="1836"/>
      <c r="W58" s="1836"/>
      <c r="X58" s="1836"/>
      <c r="Y58" s="1836"/>
      <c r="Z58" s="1836"/>
      <c r="AA58" s="1836"/>
      <c r="AB58" s="1836"/>
      <c r="AC58" s="1836"/>
      <c r="AD58" s="1836"/>
      <c r="AE58" s="1836"/>
      <c r="AF58" s="1836"/>
      <c r="AG58" s="1836"/>
      <c r="AH58" s="1836"/>
      <c r="AI58" s="1836"/>
      <c r="AJ58" s="1836"/>
      <c r="AK58" s="1836"/>
      <c r="AL58" s="1836"/>
      <c r="AM58" s="1836"/>
      <c r="AN58" s="1836"/>
      <c r="AO58" s="1836"/>
      <c r="AP58" s="1836"/>
      <c r="AQ58" s="1836"/>
      <c r="AR58" s="1836"/>
      <c r="AS58" s="1836"/>
      <c r="AT58" s="1836"/>
      <c r="AU58" s="1836"/>
      <c r="AW58" s="1301"/>
      <c r="AX58" s="1301" t="str">
        <f>IF(T58="","",T58)</f>
        <v>Добавить источник для дифференциации</v>
      </c>
      <c r="AY58" s="1301"/>
      <c r="AZ58" s="1301"/>
      <c r="BA58" s="1030">
        <v>1</v>
      </c>
    </row>
    <row s="46890" customFormat="1" customHeight="1" ht="1.05">
      <c r="A59" s="1855" t="s">
        <v>249</v>
      </c>
      <c r="B59" s="1855" t="s">
        <v>250</v>
      </c>
      <c r="C59" s="1826"/>
      <c r="D59" s="1826"/>
      <c r="E59" s="2771"/>
      <c r="F59" s="2770"/>
      <c r="G59" s="1826"/>
      <c r="H59" s="1826"/>
      <c r="I59" s="1826"/>
      <c r="J59" s="1826"/>
      <c r="K59" s="1826"/>
      <c r="L59" s="1851"/>
      <c r="M59" s="1833"/>
      <c r="N59" s="1833"/>
      <c r="P59" s="1828"/>
      <c r="Q59" s="1829"/>
      <c r="R59" s="1828"/>
      <c r="S59" s="1834"/>
      <c r="T59" s="1837" t="s">
        <v>321</v>
      </c>
      <c r="U59" s="1836"/>
      <c r="V59" s="1836"/>
      <c r="W59" s="1836"/>
      <c r="X59" s="1836"/>
      <c r="Y59" s="1836"/>
      <c r="Z59" s="1836"/>
      <c r="AA59" s="1836"/>
      <c r="AB59" s="1836"/>
      <c r="AC59" s="1836"/>
      <c r="AD59" s="1836"/>
      <c r="AE59" s="1836"/>
      <c r="AF59" s="1836"/>
      <c r="AG59" s="1836"/>
      <c r="AH59" s="1836"/>
      <c r="AI59" s="1836"/>
      <c r="AJ59" s="1836"/>
      <c r="AK59" s="1836"/>
      <c r="AL59" s="1836"/>
      <c r="AM59" s="1836"/>
      <c r="AN59" s="1836"/>
      <c r="AO59" s="1836"/>
      <c r="AP59" s="1836"/>
      <c r="AQ59" s="1836"/>
      <c r="AR59" s="1836"/>
      <c r="AS59" s="1836"/>
      <c r="AT59" s="1836"/>
      <c r="AU59" s="1836"/>
      <c r="AW59" s="1301"/>
      <c r="AX59" s="1301" t="str">
        <f>IF(T59="","",T59)</f>
        <v>Добавить централизованную систему для дифференциации</v>
      </c>
      <c r="AY59" s="1301"/>
      <c r="AZ59" s="1301"/>
      <c r="BA59" s="1030">
        <v>1</v>
      </c>
    </row>
    <row s="46890" customFormat="1" customHeight="1" ht="1.05">
      <c r="A60" s="1855" t="s">
        <v>249</v>
      </c>
      <c r="B60" s="1855"/>
      <c r="C60" s="1855"/>
      <c r="D60" s="1855"/>
      <c r="E60" s="2771"/>
      <c r="F60" s="1855"/>
      <c r="G60" s="1855"/>
      <c r="H60" s="1855"/>
      <c r="I60" s="1855"/>
      <c r="J60" s="1855"/>
      <c r="K60" s="1855"/>
      <c r="L60" s="1858"/>
      <c r="M60" s="1833"/>
      <c r="N60" s="1833"/>
      <c r="O60" s="1030"/>
      <c r="P60" s="892"/>
      <c r="Q60" s="1856"/>
      <c r="R60" s="892"/>
      <c r="S60" s="1834"/>
      <c r="T60" s="1837" t="s">
        <v>385</v>
      </c>
      <c r="U60" s="1836"/>
      <c r="V60" s="1836"/>
      <c r="W60" s="1836"/>
      <c r="X60" s="1836"/>
      <c r="Y60" s="1836"/>
      <c r="Z60" s="1836"/>
      <c r="AA60" s="1836"/>
      <c r="AB60" s="1836"/>
      <c r="AC60" s="1836"/>
      <c r="AD60" s="1836"/>
      <c r="AE60" s="1836"/>
      <c r="AF60" s="1836"/>
      <c r="AG60" s="1836"/>
      <c r="AH60" s="1836"/>
      <c r="AI60" s="1836"/>
      <c r="AJ60" s="1836"/>
      <c r="AK60" s="1836"/>
      <c r="AL60" s="1836"/>
      <c r="AM60" s="1836"/>
      <c r="AN60" s="1836"/>
      <c r="AO60" s="1836"/>
      <c r="AP60" s="1836"/>
      <c r="AQ60" s="1836"/>
      <c r="AR60" s="1836"/>
      <c r="AS60" s="1836"/>
      <c r="AT60" s="1836"/>
      <c r="AU60" s="1836"/>
      <c r="AW60" s="1012"/>
      <c r="AX60" s="1012" t="str">
        <f>IF(T60="","",T60)</f>
        <v>Добавить территорию для дифференциации</v>
      </c>
      <c r="AY60" s="1012"/>
      <c r="AZ60" s="1012"/>
      <c r="BA60" s="1023">
        <v>1</v>
      </c>
    </row>
    <row s="46890" customFormat="1" customHeight="1" ht="1.05">
      <c r="A61" s="1855" t="s">
        <v>249</v>
      </c>
      <c r="B61" s="1855"/>
      <c r="C61" s="1855"/>
      <c r="D61" s="1855"/>
      <c r="E61" s="2770"/>
      <c r="F61" s="1855"/>
      <c r="G61" s="1855"/>
      <c r="H61" s="1855"/>
      <c r="I61" s="1855"/>
      <c r="J61" s="1855"/>
      <c r="K61" s="1855"/>
      <c r="L61" s="1858"/>
      <c r="M61" s="1833"/>
      <c r="N61" s="1833"/>
      <c r="O61" s="1030"/>
      <c r="P61" s="892"/>
      <c r="Q61" s="1856"/>
      <c r="R61" s="892"/>
      <c r="S61" s="1834"/>
      <c r="T61" s="1837" t="s">
        <v>385</v>
      </c>
      <c r="U61" s="1836"/>
      <c r="V61" s="1836"/>
      <c r="W61" s="1836"/>
      <c r="X61" s="1836"/>
      <c r="Y61" s="1836"/>
      <c r="Z61" s="1836"/>
      <c r="AA61" s="1836"/>
      <c r="AB61" s="1836"/>
      <c r="AC61" s="1836"/>
      <c r="AD61" s="1836"/>
      <c r="AE61" s="1836"/>
      <c r="AF61" s="1836"/>
      <c r="AG61" s="1836"/>
      <c r="AH61" s="1836"/>
      <c r="AI61" s="1836"/>
      <c r="AJ61" s="1836"/>
      <c r="AK61" s="1836"/>
      <c r="AL61" s="1836"/>
      <c r="AM61" s="1836"/>
      <c r="AN61" s="1836"/>
      <c r="AO61" s="1836"/>
      <c r="AP61" s="1836"/>
      <c r="AQ61" s="1836"/>
      <c r="AR61" s="1836"/>
      <c r="AS61" s="1836"/>
      <c r="AT61" s="1836"/>
      <c r="AU61" s="1836"/>
      <c r="AW61" s="1012"/>
      <c r="AX61" s="1012" t="str">
        <f>IF(T61="","",T61)</f>
        <v>Добавить территорию для дифференциации</v>
      </c>
      <c r="AY61" s="1012"/>
      <c r="AZ61" s="1012"/>
      <c r="BA61" s="1023">
        <v>1</v>
      </c>
    </row>
    <row s="46890" customFormat="1" customHeight="1" ht="1.05">
      <c r="A62" s="1826"/>
      <c r="B62" s="1826"/>
      <c r="C62" s="1826"/>
      <c r="D62" s="1826"/>
      <c r="E62" s="1855"/>
      <c r="F62" s="1826"/>
      <c r="G62" s="1826"/>
      <c r="H62" s="1826"/>
      <c r="I62" s="1826"/>
      <c r="J62" s="1826"/>
      <c r="K62" s="1826"/>
      <c r="L62" s="1851"/>
      <c r="M62" s="1833"/>
      <c r="N62" s="1833"/>
      <c r="P62" s="1828"/>
      <c r="Q62" s="1829"/>
      <c r="R62" s="1828"/>
      <c r="S62" s="1834"/>
      <c r="T62" s="1837" t="s">
        <v>386</v>
      </c>
      <c r="U62" s="1836"/>
      <c r="V62" s="1836"/>
      <c r="W62" s="1836"/>
      <c r="X62" s="1836"/>
      <c r="Y62" s="1836"/>
      <c r="Z62" s="1836"/>
      <c r="AA62" s="1836"/>
      <c r="AB62" s="1836"/>
      <c r="AC62" s="1836"/>
      <c r="AD62" s="1836"/>
      <c r="AE62" s="1836"/>
      <c r="AF62" s="1836"/>
      <c r="AG62" s="1836"/>
      <c r="AH62" s="1836"/>
      <c r="AI62" s="1836"/>
      <c r="AJ62" s="1836"/>
      <c r="AK62" s="1836"/>
      <c r="AL62" s="1836"/>
      <c r="AM62" s="1836"/>
      <c r="AN62" s="1836"/>
      <c r="AO62" s="1836"/>
      <c r="AP62" s="1836"/>
      <c r="AQ62" s="1836"/>
      <c r="AR62" s="1836"/>
      <c r="AS62" s="1836"/>
      <c r="AT62" s="1836"/>
      <c r="AU62" s="1836"/>
      <c r="AW62" s="1301"/>
      <c r="AX62" s="1301" t="str">
        <f>IF(T62="","",T62)</f>
        <v>Добавить наименование тарифа</v>
      </c>
      <c r="AY62" s="1301"/>
      <c r="AZ62" s="1301"/>
      <c r="BA62" s="1030">
        <v>1</v>
      </c>
    </row>
    <row customHeight="1" ht="11.549999999999999">
      <c r="M63" s="1672"/>
      <c r="N63" s="1672"/>
      <c r="O63" s="1049"/>
      <c r="P63" s="1672"/>
      <c r="Q63" s="1672"/>
      <c r="R63" s="1667"/>
      <c r="S63" s="1667"/>
      <c r="AV63" s="1667"/>
      <c r="AW63" s="1667"/>
      <c r="AX63" s="1667"/>
      <c r="AY63" s="1667"/>
      <c r="AZ63" s="1667"/>
      <c r="BA63" s="1667">
        <v>11</v>
      </c>
    </row>
    <row customHeight="1" ht="19.95">
      <c r="O64" s="1049"/>
      <c r="S64" s="1765"/>
      <c r="T64" s="2797"/>
      <c r="U64" s="2797"/>
      <c r="V64" s="2797"/>
      <c r="W64" s="2797"/>
      <c r="X64" s="2797"/>
      <c r="Y64" s="2797"/>
      <c r="Z64" s="2797"/>
      <c r="AA64" s="2797"/>
      <c r="AB64" s="2797"/>
      <c r="AC64" s="2797"/>
      <c r="AD64" s="2797"/>
      <c r="AE64" s="2797"/>
      <c r="AF64" s="2797"/>
      <c r="AG64" s="2797"/>
      <c r="AH64" s="2797"/>
      <c r="AI64" s="2797"/>
      <c r="AJ64" s="2797"/>
      <c r="AK64" s="2797"/>
      <c r="AL64" s="2797"/>
      <c r="AM64" s="2797"/>
      <c r="AN64" s="2797"/>
      <c r="AO64" s="2797"/>
      <c r="AP64" s="2797"/>
      <c r="AQ64" s="2797"/>
      <c r="AR64" s="2797"/>
      <c r="AS64" s="2797"/>
      <c r="AT64" s="2797"/>
      <c r="AU64" s="2797"/>
      <c r="BA64" s="1667">
        <v>19</v>
      </c>
    </row>
    <row customHeight="1" ht="21">
      <c r="O65" s="1049"/>
      <c r="T65" s="2797"/>
      <c r="U65" s="2797"/>
      <c r="V65" s="2797"/>
      <c r="W65" s="2797"/>
      <c r="X65" s="2797"/>
      <c r="Y65" s="2797"/>
      <c r="Z65" s="2797"/>
      <c r="AA65" s="2797"/>
      <c r="AB65" s="2797"/>
      <c r="AC65" s="2797"/>
      <c r="AD65" s="2797"/>
      <c r="AE65" s="2797"/>
      <c r="AF65" s="2797"/>
      <c r="AG65" s="2797"/>
      <c r="AH65" s="2797"/>
      <c r="AI65" s="2797"/>
      <c r="AJ65" s="2797"/>
      <c r="AK65" s="2797"/>
      <c r="AL65" s="2797"/>
      <c r="AM65" s="2797"/>
      <c r="AN65" s="2797"/>
      <c r="AO65" s="2797"/>
      <c r="AP65" s="2797"/>
      <c r="AQ65" s="2797"/>
      <c r="AR65" s="2797"/>
      <c r="AS65" s="2797"/>
      <c r="AT65" s="2797"/>
      <c r="AU65" s="2797"/>
      <c r="BA65" s="1667">
        <v>20</v>
      </c>
    </row>
    <row customHeight="1" ht="14.699999999999998">
      <c r="O66" s="1049"/>
      <c r="T66" s="1845"/>
      <c r="U66" s="1845"/>
      <c r="V66" s="1845"/>
      <c r="W66" s="1845"/>
      <c r="X66" s="1845"/>
      <c r="Y66" s="1845"/>
      <c r="Z66" s="1845"/>
      <c r="AA66" s="1845"/>
      <c r="AB66" s="1845"/>
      <c r="AC66" s="1845"/>
      <c r="AD66" s="1845"/>
      <c r="AE66" s="1845"/>
      <c r="AF66" s="1845"/>
      <c r="AG66" s="1845"/>
      <c r="AH66" s="1845"/>
      <c r="AI66" s="1845"/>
      <c r="AJ66" s="1845"/>
      <c r="AK66" s="1845"/>
      <c r="AL66" s="1845"/>
      <c r="AM66" s="1845"/>
      <c r="AN66" s="1845"/>
      <c r="AO66" s="1845"/>
      <c r="AP66" s="1845"/>
      <c r="AQ66" s="1845"/>
      <c r="AR66" s="1845"/>
      <c r="AS66" s="1845"/>
      <c r="AT66" s="1845"/>
      <c r="AU66" s="1845"/>
      <c r="BA66" s="1667">
        <v>14</v>
      </c>
    </row>
    <row customHeight="1" ht="19.95">
      <c r="O67" s="1049"/>
      <c r="T67" s="2797"/>
      <c r="U67" s="2797"/>
      <c r="V67" s="2797"/>
      <c r="W67" s="2797"/>
      <c r="X67" s="2797"/>
      <c r="Y67" s="2797"/>
      <c r="Z67" s="2797"/>
      <c r="AA67" s="2797"/>
      <c r="AB67" s="2797"/>
      <c r="AC67" s="2797"/>
      <c r="AD67" s="2797"/>
      <c r="AE67" s="2797"/>
      <c r="AF67" s="2797"/>
      <c r="AG67" s="2797"/>
      <c r="AH67" s="2797"/>
      <c r="AI67" s="2797"/>
      <c r="AJ67" s="2797"/>
      <c r="AK67" s="2797"/>
      <c r="AL67" s="2797"/>
      <c r="AM67" s="2797"/>
      <c r="AN67" s="2797"/>
      <c r="AO67" s="2797"/>
      <c r="AP67" s="2797"/>
      <c r="AQ67" s="2797"/>
      <c r="AR67" s="2797"/>
      <c r="AS67" s="2797"/>
      <c r="AT67" s="2797"/>
      <c r="AU67" s="2797"/>
      <c r="BA67" s="1667">
        <v>19</v>
      </c>
    </row>
    <row customHeight="1" ht="16.8">
      <c r="O68" s="1049"/>
      <c r="T68" s="2797"/>
      <c r="U68" s="2797"/>
      <c r="V68" s="2797"/>
      <c r="W68" s="2797"/>
      <c r="X68" s="2797"/>
      <c r="Y68" s="2797"/>
      <c r="Z68" s="2797"/>
      <c r="AA68" s="2797"/>
      <c r="AB68" s="2797"/>
      <c r="AC68" s="2797"/>
      <c r="AD68" s="2797"/>
      <c r="AE68" s="2797"/>
      <c r="AF68" s="2797"/>
      <c r="AG68" s="2797"/>
      <c r="AH68" s="2797"/>
      <c r="AI68" s="2797"/>
      <c r="AJ68" s="2797"/>
      <c r="AK68" s="2797"/>
      <c r="AL68" s="2797"/>
      <c r="AM68" s="2797"/>
      <c r="AN68" s="2797"/>
      <c r="AO68" s="2797"/>
      <c r="AP68" s="2797"/>
      <c r="AQ68" s="2797"/>
      <c r="AR68" s="2797"/>
      <c r="AS68" s="2797"/>
      <c r="AT68" s="2797"/>
      <c r="AU68" s="2797"/>
      <c r="BA68" s="1667">
        <v>16</v>
      </c>
    </row>
    <row customHeight="1" ht="14.699999999999998">
      <c r="O69" s="1049"/>
      <c r="BA69" s="1667">
        <v>14</v>
      </c>
    </row>
    <row customHeight="1" ht="22.5" hidden="1">
      <c r="A70" s="1672" t="s">
        <v>84</v>
      </c>
      <c r="B70" s="1672">
        <v>0</v>
      </c>
      <c r="C70" s="1672">
        <v>0</v>
      </c>
      <c r="D70" s="1672">
        <v>0</v>
      </c>
      <c r="E70" s="1672">
        <v>0</v>
      </c>
      <c r="F70" s="1672">
        <v>0</v>
      </c>
      <c r="G70" s="1672">
        <v>0</v>
      </c>
      <c r="H70" s="1672">
        <v>0</v>
      </c>
      <c r="I70" s="1672">
        <v>0</v>
      </c>
      <c r="J70" s="1672">
        <v>0</v>
      </c>
      <c r="K70" s="1672">
        <v>0</v>
      </c>
      <c r="L70" s="1841">
        <v>0</v>
      </c>
      <c r="M70" s="1874">
        <v>0</v>
      </c>
      <c r="N70" s="1874">
        <v>0</v>
      </c>
      <c r="O70" s="1874">
        <v>0</v>
      </c>
      <c r="P70" s="1874">
        <v>3</v>
      </c>
      <c r="Q70" s="1883">
        <v>3</v>
      </c>
      <c r="R70" s="856">
        <v>3</v>
      </c>
      <c r="S70" s="1093">
        <v>12</v>
      </c>
      <c r="T70" s="1667">
        <v>31</v>
      </c>
      <c r="U70" s="1667">
        <v>0</v>
      </c>
      <c r="V70" s="1667">
        <v>0</v>
      </c>
      <c r="W70" s="1667">
        <v>0</v>
      </c>
      <c r="X70" s="1667">
        <v>0</v>
      </c>
      <c r="Y70" s="1667">
        <v>0</v>
      </c>
      <c r="Z70" s="1667">
        <v>0</v>
      </c>
      <c r="AA70" s="1667">
        <v>0</v>
      </c>
      <c r="AB70" s="1667">
        <v>5</v>
      </c>
      <c r="AC70" s="1667">
        <v>3</v>
      </c>
      <c r="AD70" s="1667">
        <v>3</v>
      </c>
      <c r="AE70" s="1667">
        <v>24</v>
      </c>
      <c r="AF70" s="1667">
        <v>3</v>
      </c>
      <c r="AG70" s="1667">
        <v>3</v>
      </c>
      <c r="AH70" s="1667">
        <v>3</v>
      </c>
      <c r="AI70" s="1667">
        <v>24</v>
      </c>
      <c r="AJ70" s="1667">
        <v>3</v>
      </c>
      <c r="AK70" s="1667">
        <v>3</v>
      </c>
      <c r="AL70" s="1667">
        <v>3</v>
      </c>
      <c r="AM70" s="1667">
        <v>18</v>
      </c>
      <c r="AN70" s="1667">
        <v>21</v>
      </c>
      <c r="AO70" s="1667">
        <v>21</v>
      </c>
      <c r="AP70" s="1667">
        <v>11</v>
      </c>
      <c r="AQ70" s="1667">
        <v>3</v>
      </c>
      <c r="AR70" s="1667">
        <v>11</v>
      </c>
      <c r="AS70" s="1667">
        <v>8</v>
      </c>
      <c r="AT70" s="1667">
        <v>4</v>
      </c>
      <c r="AU70" s="1667">
        <v>115</v>
      </c>
      <c r="AV70" s="1023">
        <v>10</v>
      </c>
      <c r="AW70" s="1023">
        <v>10</v>
      </c>
      <c r="AX70" s="1023">
        <v>10</v>
      </c>
      <c r="AY70" s="1023">
        <v>10</v>
      </c>
      <c r="AZ70" s="1023">
        <v>10</v>
      </c>
      <c r="BA70" s="1667">
        <v>23</v>
      </c>
    </row>
  </sheetData>
  <sheetProtection formatColumns="0" formatRows="0" autoFilter="0" sort="0" insertRows="0" insertColumns="1" deleteRows="0" deleteColumns="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7B63F43-F9DB-8D5C-A21E-1AC364D3D37C}"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46889" width="10.57421875" hidden="1"/>
    <col min="2" max="2" style="46889" width="11.00390625" hidden="1" customWidth="1"/>
    <col min="3" max="3" style="46889" width="10.57421875" hidden="1"/>
    <col min="4" max="4" style="46889" width="11.8515625" hidden="1" customWidth="1"/>
    <col min="5" max="5" style="46889" width="10.00390625" hidden="1" customWidth="1"/>
    <col min="6" max="6" style="46889" width="8.7109375" hidden="1" customWidth="1"/>
    <col min="7" max="7" style="46889" width="7.57421875" hidden="1" customWidth="1"/>
    <col min="8" max="8" style="46889" width="11.421875" hidden="1" customWidth="1"/>
    <col min="9" max="9" style="46889" width="14.140625" hidden="1" customWidth="1"/>
    <col min="10" max="10" style="46889" width="9.8515625" hidden="1" customWidth="1"/>
    <col min="11" max="11" style="46889" width="14.7109375" hidden="1" customWidth="1"/>
    <col min="12" max="12" style="47738" width="19.140625" hidden="1" customWidth="1"/>
    <col min="13" max="14" style="47739" width="12.28125" hidden="1" customWidth="1"/>
    <col min="15" max="15" style="47739" width="23.421875" hidden="1" customWidth="1"/>
    <col min="16" max="16" style="47740" width="3.00390625" customWidth="1"/>
    <col min="17" max="18" style="47741" width="3.00390625" customWidth="1"/>
    <col min="19" max="19" style="47742" width="12.00390625" customWidth="1"/>
    <col min="20" max="20" style="46808" width="35.00390625" customWidth="1"/>
    <col min="21" max="21" style="46808" width="0.140625" customWidth="1"/>
    <col min="22" max="24" style="46808" width="24.7109375" hidden="1" customWidth="1"/>
    <col min="25" max="25" style="46808" width="11.7109375" hidden="1" customWidth="1"/>
    <col min="26" max="26" style="46808" width="3.7109375" hidden="1" customWidth="1"/>
    <col min="27" max="27" style="46808" width="11.7109375" hidden="1" customWidth="1"/>
    <col min="28" max="28" style="46808" width="8.57421875" hidden="1" customWidth="1"/>
    <col min="29" max="29" style="46808" width="24.7109375" customWidth="1"/>
    <col min="30" max="31" style="46808" width="24.00390625" customWidth="1"/>
    <col min="32" max="32" style="46808" width="11.00390625" customWidth="1"/>
    <col min="33" max="33" style="46808" width="3.7109375" customWidth="1"/>
    <col min="34" max="34" style="46808" width="11.00390625" customWidth="1"/>
    <col min="35" max="35" style="46808" width="8.57421875" hidden="1" customWidth="1"/>
    <col min="36" max="36" style="46808" width="4.00390625" customWidth="1"/>
    <col min="37" max="37" style="46808" width="115.00390625" customWidth="1"/>
    <col min="38" max="42" style="46890" width="10.00390625" customWidth="1"/>
    <col min="43" max="43" style="46808" width="10.57421875" hidden="1"/>
  </cols>
  <sheetData>
    <row customHeight="1" ht="22.5" hidden="1">
      <c r="X1" s="839"/>
      <c r="Y1" s="839"/>
      <c r="AE1" s="839"/>
      <c r="AF1" s="839"/>
      <c r="AQ1" s="1667" t="s">
        <v>14</v>
      </c>
    </row>
    <row customHeight="1" ht="23.25" hidden="1">
      <c r="A2" s="1875"/>
      <c r="B2" s="1875"/>
      <c r="C2" s="1875"/>
      <c r="D2" s="1875"/>
      <c r="E2" s="2770">
        <v>1</v>
      </c>
      <c r="F2" s="1875"/>
      <c r="G2" s="1875"/>
      <c r="H2" s="1875"/>
      <c r="I2" s="1875"/>
      <c r="J2" s="1875"/>
      <c r="K2" s="1875"/>
      <c r="L2" s="1876"/>
      <c r="M2" s="1877"/>
      <c r="N2" s="1877"/>
      <c r="O2" s="1877"/>
      <c r="P2" s="873"/>
      <c r="Q2" s="872"/>
      <c r="R2" s="867"/>
      <c r="S2" s="1937">
        <f>INDEX(PT_DIFFERENTIATION_NUM_NTAR,MATCH(A2,PT_DIFFERENTIATION_NTAR_ID,0))</f>
      </c>
      <c r="T2" s="810" t="s">
        <v>179</v>
      </c>
      <c r="U2" s="812"/>
      <c r="V2" s="2754"/>
      <c r="W2" s="2755"/>
      <c r="X2" s="2755"/>
      <c r="Y2" s="2755"/>
      <c r="Z2" s="2755"/>
      <c r="AA2" s="2755"/>
      <c r="AB2" s="2756"/>
      <c r="AC2" s="2754">
        <f>INDEX(PT_DIFFERENTIATION_NTAR,MATCH(A2,PT_DIFFERENTIATION_NTAR_ID,0))</f>
      </c>
      <c r="AD2" s="2755"/>
      <c r="AE2" s="2755"/>
      <c r="AF2" s="2755"/>
      <c r="AG2" s="2755"/>
      <c r="AH2" s="2755"/>
      <c r="AI2" s="2755"/>
      <c r="AJ2" s="2756"/>
      <c r="AK2"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1012"/>
      <c r="AN2" s="1012" t="str">
        <f>IF(T2="","",T2)</f>
        <v>Наименование тарифа</v>
      </c>
      <c r="AO2" s="1012"/>
      <c r="AP2" s="1012"/>
      <c r="AQ2" s="1667">
        <v>0</v>
      </c>
    </row>
    <row customHeight="1" ht="23.25" hidden="1">
      <c r="A3" s="1875"/>
      <c r="B3" s="1875"/>
      <c r="C3" s="1875"/>
      <c r="D3" s="1875"/>
      <c r="E3" s="2771"/>
      <c r="F3" s="2770">
        <v>1</v>
      </c>
      <c r="G3" s="1875"/>
      <c r="H3" s="1875"/>
      <c r="I3" s="1875"/>
      <c r="J3" s="1875"/>
      <c r="K3" s="1875"/>
      <c r="L3" s="1876"/>
      <c r="M3" s="1877"/>
      <c r="N3" s="1877"/>
      <c r="O3" s="1877"/>
      <c r="P3" s="1935"/>
      <c r="Q3" s="864"/>
      <c r="R3" s="865"/>
      <c r="S3" s="1937">
        <f>INDEX(PT_DIFFERENTIATION_NUM_TER,MATCH(B3,PT_DIFFERENTIATION_TER_ID,0))</f>
      </c>
      <c r="T3" s="820" t="s">
        <v>515</v>
      </c>
      <c r="U3" s="812"/>
      <c r="V3" s="2754"/>
      <c r="W3" s="2755"/>
      <c r="X3" s="2755"/>
      <c r="Y3" s="2755"/>
      <c r="Z3" s="2755"/>
      <c r="AA3" s="2755"/>
      <c r="AB3" s="2756"/>
      <c r="AC3" s="2754">
        <f>INDEX(PT_DIFFERENTIATION_TER,MATCH(B3,PT_DIFFERENTIATION_TER_ID,0))</f>
      </c>
      <c r="AD3" s="2755"/>
      <c r="AE3" s="2755"/>
      <c r="AF3" s="2755"/>
      <c r="AG3" s="2755"/>
      <c r="AH3" s="2755"/>
      <c r="AI3" s="2755"/>
      <c r="AJ3" s="2756"/>
      <c r="AK3" s="1770" t="s">
        <v>516</v>
      </c>
      <c r="AM3" s="1012"/>
      <c r="AN3" s="1012" t="str">
        <f>IF(T3="","",T3)</f>
        <v>Территория действия тарифа</v>
      </c>
      <c r="AO3" s="1012"/>
      <c r="AP3" s="1012"/>
      <c r="AQ3" s="1667">
        <v>0</v>
      </c>
    </row>
    <row customHeight="1" ht="23.25" hidden="1">
      <c r="A4" s="1875"/>
      <c r="B4" s="1875"/>
      <c r="C4" s="1875"/>
      <c r="D4" s="1875"/>
      <c r="E4" s="2771"/>
      <c r="F4" s="2771"/>
      <c r="G4" s="2770">
        <v>1</v>
      </c>
      <c r="H4" s="1875"/>
      <c r="I4" s="1875"/>
      <c r="J4" s="1875"/>
      <c r="K4" s="1875"/>
      <c r="L4" s="1876"/>
      <c r="M4" s="1877"/>
      <c r="N4" s="1877"/>
      <c r="O4" s="1877"/>
      <c r="P4" s="866"/>
      <c r="Q4" s="864"/>
      <c r="R4" s="865"/>
      <c r="S4" s="1937">
        <f>INDEX(PT_DIFFERENTIATION_NUM_CS,MATCH(C4,PT_DIFFERENTIATION_CS_ID,0))</f>
      </c>
      <c r="T4" s="821" t="s">
        <v>596</v>
      </c>
      <c r="U4" s="812"/>
      <c r="V4" s="2754"/>
      <c r="W4" s="2755"/>
      <c r="X4" s="2755"/>
      <c r="Y4" s="2755"/>
      <c r="Z4" s="2755"/>
      <c r="AA4" s="2755"/>
      <c r="AB4" s="2756"/>
      <c r="AC4" s="2754">
        <f>INDEX(PT_DIFFERENTIATION_CS,MATCH(C4,PT_DIFFERENTIATION_CS_ID,0))</f>
      </c>
      <c r="AD4" s="2755"/>
      <c r="AE4" s="2755"/>
      <c r="AF4" s="2755"/>
      <c r="AG4" s="2755"/>
      <c r="AH4" s="2755"/>
      <c r="AI4" s="2755"/>
      <c r="AJ4" s="2756"/>
      <c r="AK4" s="1770" t="s">
        <v>597</v>
      </c>
      <c r="AM4" s="1012"/>
      <c r="AN4" s="1012" t="str">
        <f>IF(T4="","",T4)</f>
        <v>Наименование централизованной системы холодного водоснабжения</v>
      </c>
      <c r="AO4" s="1012"/>
      <c r="AP4" s="1012"/>
      <c r="AQ4" s="1667">
        <v>0</v>
      </c>
    </row>
    <row customHeight="1" ht="23.25" hidden="1">
      <c r="A5" s="1875"/>
      <c r="B5" s="1875"/>
      <c r="C5" s="1875"/>
      <c r="D5" s="1875"/>
      <c r="E5" s="2771"/>
      <c r="F5" s="2771"/>
      <c r="G5" s="2771"/>
      <c r="H5" s="2771"/>
      <c r="I5" s="2768">
        <f>S4&amp;".1"</f>
      </c>
      <c r="J5" s="1875"/>
      <c r="K5" s="1875"/>
      <c r="L5" s="1876"/>
      <c r="P5" s="2769">
        <v>1</v>
      </c>
      <c r="Q5" s="1934"/>
      <c r="R5" s="868"/>
      <c r="S5" s="1937">
        <f>$I5</f>
      </c>
      <c r="T5" s="797" t="s">
        <v>598</v>
      </c>
      <c r="U5" s="812"/>
      <c r="V5" s="2862"/>
      <c r="W5" s="2863"/>
      <c r="X5" s="2863"/>
      <c r="Y5" s="2863"/>
      <c r="Z5" s="2863"/>
      <c r="AA5" s="2863"/>
      <c r="AB5" s="2864"/>
      <c r="AC5" s="2865"/>
      <c r="AD5" s="2866"/>
      <c r="AE5" s="2866"/>
      <c r="AF5" s="2866"/>
      <c r="AG5" s="2866"/>
      <c r="AH5" s="2866"/>
      <c r="AI5" s="2866"/>
      <c r="AJ5" s="2867"/>
      <c r="AK5" s="1770" t="s">
        <v>599</v>
      </c>
      <c r="AM5" s="1012"/>
      <c r="AN5" s="1012" t="str">
        <f>IF(T5="","",T5)</f>
        <v>Наименование признака дифференциации</v>
      </c>
      <c r="AO5" s="1012"/>
      <c r="AP5" s="1012"/>
      <c r="AQ5" s="1667">
        <v>0</v>
      </c>
    </row>
    <row customHeight="1" ht="23.25" hidden="1">
      <c r="A6" s="1875"/>
      <c r="B6" s="1875"/>
      <c r="C6" s="1875"/>
      <c r="D6" s="1875"/>
      <c r="E6" s="2771"/>
      <c r="F6" s="2771"/>
      <c r="G6" s="2771"/>
      <c r="H6" s="2771"/>
      <c r="I6" s="2798"/>
      <c r="J6" s="2768">
        <f>I5&amp;".1"</f>
      </c>
      <c r="K6" s="1875"/>
      <c r="L6" s="1876" t="s">
        <v>524</v>
      </c>
      <c r="P6" s="2769"/>
      <c r="Q6" s="2769">
        <v>1</v>
      </c>
      <c r="R6" s="869"/>
      <c r="S6" s="1937">
        <f>$J6</f>
      </c>
      <c r="T6" s="798" t="s">
        <v>525</v>
      </c>
      <c r="U6" s="812"/>
      <c r="V6" s="2757"/>
      <c r="W6" s="2758"/>
      <c r="X6" s="2758"/>
      <c r="Y6" s="2758"/>
      <c r="Z6" s="2758"/>
      <c r="AA6" s="2758"/>
      <c r="AB6" s="2759"/>
      <c r="AC6" s="2757"/>
      <c r="AD6" s="2758"/>
      <c r="AE6" s="2758"/>
      <c r="AF6" s="2758"/>
      <c r="AG6" s="2758"/>
      <c r="AH6" s="2758"/>
      <c r="AI6" s="2758"/>
      <c r="AJ6" s="2759"/>
      <c r="AK6" s="1819" t="s">
        <v>600</v>
      </c>
      <c r="AM6" s="1012"/>
      <c r="AN6" s="1012" t="str">
        <f>IF(T6="","",T6)</f>
        <v>Группа потребителей</v>
      </c>
      <c r="AO6" s="1012"/>
      <c r="AP6" s="1012"/>
      <c r="AQ6" s="1667">
        <v>0</v>
      </c>
    </row>
    <row customHeight="1" ht="23.25" hidden="1">
      <c r="A7" s="1875"/>
      <c r="B7" s="1875"/>
      <c r="C7" s="1875"/>
      <c r="D7" s="1875"/>
      <c r="E7" s="2771"/>
      <c r="F7" s="2771"/>
      <c r="G7" s="2771"/>
      <c r="H7" s="2771"/>
      <c r="I7" s="2798"/>
      <c r="J7" s="2798"/>
      <c r="K7" s="2768">
        <f>J6&amp;".1"</f>
      </c>
      <c r="L7" s="1876"/>
      <c r="P7" s="2769"/>
      <c r="Q7" s="2769"/>
      <c r="R7" s="869">
        <v>1</v>
      </c>
      <c r="S7" s="1937">
        <f>$K7</f>
      </c>
      <c r="T7" s="1949"/>
      <c r="U7" s="812"/>
      <c r="V7" s="1263"/>
      <c r="W7" s="1263"/>
      <c r="X7" s="1769"/>
      <c r="Y7" s="2777"/>
      <c r="Z7" s="2619" t="s">
        <v>63</v>
      </c>
      <c r="AA7" s="2777"/>
      <c r="AB7" s="2619" t="s">
        <v>63</v>
      </c>
      <c r="AC7" s="1263"/>
      <c r="AD7" s="1263"/>
      <c r="AE7" s="1769"/>
      <c r="AF7" s="2777"/>
      <c r="AG7" s="2619" t="s">
        <v>63</v>
      </c>
      <c r="AH7" s="2799"/>
      <c r="AI7" s="2619" t="s">
        <v>63</v>
      </c>
      <c r="AJ7" s="1950"/>
      <c r="AK7" s="28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023">
        <f>STRCHECKDATE(V8:AJ8)</f>
      </c>
      <c r="AM7" s="1012"/>
      <c r="AN7" s="1012" t="str">
        <f>IF(T7="","",T7)</f>
        <v/>
      </c>
      <c r="AO7" s="1012"/>
      <c r="AP7" s="1012"/>
      <c r="AQ7" s="1667">
        <v>0</v>
      </c>
    </row>
    <row customHeight="1" ht="14.25" hidden="1">
      <c r="A8" s="1875"/>
      <c r="B8" s="1875"/>
      <c r="C8" s="1875"/>
      <c r="D8" s="1875"/>
      <c r="E8" s="2771"/>
      <c r="F8" s="2771"/>
      <c r="G8" s="2771"/>
      <c r="H8" s="2771"/>
      <c r="I8" s="2798"/>
      <c r="J8" s="2798"/>
      <c r="K8" s="2768"/>
      <c r="L8" s="1876"/>
      <c r="P8" s="2769"/>
      <c r="Q8" s="2769"/>
      <c r="R8" s="869"/>
      <c r="S8" s="1936"/>
      <c r="T8" s="812"/>
      <c r="U8" s="812"/>
      <c r="V8" s="837"/>
      <c r="W8" s="837"/>
      <c r="X8" s="840" t="str">
        <f>Y7&amp;"-"&amp;AA7</f>
        <v>-</v>
      </c>
      <c r="Y8" s="2778"/>
      <c r="Z8" s="2619"/>
      <c r="AA8" s="2778"/>
      <c r="AB8" s="2619"/>
      <c r="AC8" s="837"/>
      <c r="AD8" s="837"/>
      <c r="AE8" s="840" t="str">
        <f>AF7&amp;"-"&amp;AH7</f>
        <v>-</v>
      </c>
      <c r="AF8" s="2778"/>
      <c r="AG8" s="2619"/>
      <c r="AH8" s="2800"/>
      <c r="AI8" s="2619"/>
      <c r="AJ8" s="1951"/>
      <c r="AK8" s="2861"/>
      <c r="AM8" s="1012"/>
      <c r="AN8" s="1012" t="str">
        <f>IF(T8="","",T8)</f>
        <v/>
      </c>
      <c r="AO8" s="1012"/>
      <c r="AP8" s="1012"/>
      <c r="AQ8" s="1667">
        <v>0</v>
      </c>
    </row>
    <row customHeight="1" ht="21" hidden="1">
      <c r="A9" s="1875"/>
      <c r="B9" s="1875"/>
      <c r="C9" s="1875"/>
      <c r="D9" s="1875"/>
      <c r="E9" s="2771"/>
      <c r="F9" s="2771"/>
      <c r="G9" s="2771"/>
      <c r="H9" s="2771"/>
      <c r="I9" s="2798"/>
      <c r="J9" s="2768"/>
      <c r="K9" s="1875"/>
      <c r="L9" s="1876"/>
      <c r="P9" s="2769"/>
      <c r="Q9" s="2769"/>
      <c r="R9" s="868"/>
      <c r="S9" s="1790"/>
      <c r="T9" s="799" t="s">
        <v>601</v>
      </c>
      <c r="U9" s="879"/>
      <c r="V9" s="879"/>
      <c r="W9" s="879"/>
      <c r="X9" s="879"/>
      <c r="Y9" s="879"/>
      <c r="Z9" s="879"/>
      <c r="AA9" s="879"/>
      <c r="AB9" s="879"/>
      <c r="AC9" s="879"/>
      <c r="AD9" s="879"/>
      <c r="AE9" s="879"/>
      <c r="AF9" s="879"/>
      <c r="AG9" s="879"/>
      <c r="AH9" s="879"/>
      <c r="AI9" s="879"/>
      <c r="AJ9" s="879"/>
      <c r="AK9" s="1770" t="s">
        <v>602</v>
      </c>
      <c r="AM9" s="1012"/>
      <c r="AN9" s="1012" t="str">
        <f>IF(T9="","",T9)</f>
        <v>Добавить значение признака дифференциации</v>
      </c>
      <c r="AO9" s="1012"/>
      <c r="AP9" s="1012"/>
      <c r="AQ9" s="1667">
        <v>0</v>
      </c>
    </row>
    <row customHeight="1" ht="21" hidden="1">
      <c r="A10" s="1875"/>
      <c r="B10" s="1875"/>
      <c r="C10" s="1875"/>
      <c r="D10" s="1875"/>
      <c r="E10" s="2771"/>
      <c r="F10" s="2771"/>
      <c r="G10" s="2771"/>
      <c r="H10" s="2771"/>
      <c r="I10" s="2768"/>
      <c r="J10" s="1875"/>
      <c r="K10" s="1875"/>
      <c r="L10" s="1876"/>
      <c r="P10" s="2769"/>
      <c r="Q10" s="1934"/>
      <c r="R10" s="868"/>
      <c r="S10" s="1790"/>
      <c r="T10" s="877" t="s">
        <v>530</v>
      </c>
      <c r="U10" s="879"/>
      <c r="V10" s="879"/>
      <c r="W10" s="879"/>
      <c r="X10" s="879"/>
      <c r="Y10" s="879"/>
      <c r="Z10" s="879"/>
      <c r="AA10" s="879"/>
      <c r="AB10" s="878"/>
      <c r="AC10" s="879"/>
      <c r="AD10" s="879"/>
      <c r="AE10" s="879"/>
      <c r="AF10" s="879"/>
      <c r="AG10" s="879"/>
      <c r="AH10" s="879"/>
      <c r="AI10" s="878"/>
      <c r="AJ10" s="879"/>
      <c r="AK10" s="1952"/>
      <c r="AM10" s="1012"/>
      <c r="AN10" s="1012" t="str">
        <f>IF(T10="","",T10)</f>
        <v>Добавить группу потребителей</v>
      </c>
      <c r="AO10" s="1012"/>
      <c r="AP10" s="1012"/>
      <c r="AQ10" s="1667">
        <v>0</v>
      </c>
    </row>
    <row customHeight="1" ht="14.25" hidden="1">
      <c r="A11" s="1875"/>
      <c r="B11" s="1875"/>
      <c r="C11" s="1875"/>
      <c r="D11" s="1875"/>
      <c r="E11" s="2771"/>
      <c r="F11" s="2771"/>
      <c r="G11" s="2771"/>
      <c r="H11" s="2770"/>
      <c r="I11" s="1875"/>
      <c r="J11" s="1875"/>
      <c r="K11" s="1875"/>
      <c r="L11" s="1876"/>
      <c r="M11" s="1877"/>
      <c r="N11" s="1877"/>
      <c r="O11" s="1049"/>
      <c r="P11" s="872"/>
      <c r="Q11" s="887"/>
      <c r="R11" s="867"/>
      <c r="S11" s="1790"/>
      <c r="T11" s="884" t="s">
        <v>603</v>
      </c>
      <c r="U11" s="879"/>
      <c r="V11" s="879"/>
      <c r="W11" s="879"/>
      <c r="X11" s="879"/>
      <c r="Y11" s="879"/>
      <c r="Z11" s="879"/>
      <c r="AA11" s="879"/>
      <c r="AB11" s="878"/>
      <c r="AC11" s="879"/>
      <c r="AD11" s="879"/>
      <c r="AE11" s="879"/>
      <c r="AF11" s="879"/>
      <c r="AG11" s="879"/>
      <c r="AH11" s="879"/>
      <c r="AI11" s="878"/>
      <c r="AJ11" s="879"/>
      <c r="AK11" s="815"/>
      <c r="AM11" s="1012"/>
      <c r="AN11" s="1012" t="str">
        <f>IF(T11="","",T11)</f>
        <v>Добавить наименование признака дифференциации</v>
      </c>
      <c r="AO11" s="1012"/>
      <c r="AP11" s="1012"/>
      <c r="AQ11" s="1667">
        <v>0</v>
      </c>
    </row>
    <row s="46890" customFormat="1" customHeight="1" ht="14.25" hidden="1">
      <c r="A12" s="1855"/>
      <c r="B12" s="1855"/>
      <c r="C12" s="1826"/>
      <c r="D12" s="1826"/>
      <c r="E12" s="2771"/>
      <c r="F12" s="2770"/>
      <c r="G12" s="1826"/>
      <c r="H12" s="1826"/>
      <c r="I12" s="1826"/>
      <c r="J12" s="1826"/>
      <c r="K12" s="1826"/>
      <c r="L12" s="1938"/>
      <c r="M12" s="1833"/>
      <c r="N12" s="1833"/>
      <c r="P12" s="1828"/>
      <c r="Q12" s="1829"/>
      <c r="R12" s="1828"/>
      <c r="S12" s="1834"/>
      <c r="T12" s="1837" t="s">
        <v>321</v>
      </c>
      <c r="U12" s="1836"/>
      <c r="V12" s="1836"/>
      <c r="W12" s="1836"/>
      <c r="X12" s="1836"/>
      <c r="Y12" s="1836"/>
      <c r="Z12" s="1836"/>
      <c r="AA12" s="1836"/>
      <c r="AB12" s="1836"/>
      <c r="AC12" s="1836"/>
      <c r="AD12" s="1836"/>
      <c r="AE12" s="1836"/>
      <c r="AF12" s="1836"/>
      <c r="AG12" s="1836"/>
      <c r="AH12" s="1836"/>
      <c r="AI12" s="1836"/>
      <c r="AJ12" s="1836"/>
      <c r="AK12" s="1836"/>
      <c r="AM12" s="1301"/>
      <c r="AN12" s="1301" t="str">
        <f>IF(T12="","",T12)</f>
        <v>Добавить централизованную систему для дифференциации</v>
      </c>
      <c r="AO12" s="1301"/>
      <c r="AP12" s="1301"/>
      <c r="AQ12" s="1030">
        <v>0</v>
      </c>
    </row>
    <row s="46890" customFormat="1" customHeight="1" ht="14.25" hidden="1">
      <c r="A13" s="1855"/>
      <c r="B13" s="1855"/>
      <c r="C13" s="1855"/>
      <c r="D13" s="1855"/>
      <c r="E13" s="2770"/>
      <c r="F13" s="1855"/>
      <c r="G13" s="1855"/>
      <c r="H13" s="1855"/>
      <c r="I13" s="1855"/>
      <c r="J13" s="1855"/>
      <c r="K13" s="1855"/>
      <c r="L13" s="1858"/>
      <c r="M13" s="1833"/>
      <c r="N13" s="1833"/>
      <c r="O13" s="1030"/>
      <c r="P13" s="892"/>
      <c r="Q13" s="1856"/>
      <c r="R13" s="892"/>
      <c r="S13" s="1834"/>
      <c r="T13" s="1837" t="s">
        <v>385</v>
      </c>
      <c r="U13" s="1836"/>
      <c r="V13" s="1836"/>
      <c r="W13" s="1836"/>
      <c r="X13" s="1836"/>
      <c r="Y13" s="1836"/>
      <c r="Z13" s="1836"/>
      <c r="AA13" s="1836"/>
      <c r="AB13" s="1836"/>
      <c r="AC13" s="1836"/>
      <c r="AD13" s="1836"/>
      <c r="AE13" s="1836"/>
      <c r="AF13" s="1836"/>
      <c r="AG13" s="1836"/>
      <c r="AH13" s="1836"/>
      <c r="AI13" s="1836"/>
      <c r="AJ13" s="1836"/>
      <c r="AK13" s="1836"/>
      <c r="AM13" s="1012"/>
      <c r="AN13" s="1012" t="str">
        <f>IF(T13="","",T13)</f>
        <v>Добавить территорию для дифференциации</v>
      </c>
      <c r="AO13" s="1012"/>
      <c r="AP13" s="1012"/>
      <c r="AQ13" s="1023">
        <v>0</v>
      </c>
    </row>
    <row customHeight="1" ht="14.25" hidden="1">
      <c r="AB14" s="839"/>
      <c r="AI14" s="839"/>
      <c r="AQ14" s="1667">
        <v>0</v>
      </c>
    </row>
    <row customHeight="1" ht="14.25" hidden="1">
      <c r="AC15" s="1872"/>
      <c r="AD15" s="1872"/>
      <c r="AE15" s="1873"/>
      <c r="AF15" s="2779"/>
      <c r="AG15" s="2780" t="s">
        <v>63</v>
      </c>
      <c r="AH15" s="2779"/>
      <c r="AI15" s="2780" t="s">
        <v>63</v>
      </c>
      <c r="AQ15" s="1667">
        <v>0</v>
      </c>
    </row>
    <row customHeight="1" ht="14.25" hidden="1">
      <c r="AC16" s="1872"/>
      <c r="AD16" s="1872"/>
      <c r="AE16" s="840" t="str">
        <f>AF15&amp;"-"&amp;AH15</f>
        <v>-</v>
      </c>
      <c r="AF16" s="2780"/>
      <c r="AG16" s="2780"/>
      <c r="AH16" s="2780"/>
      <c r="AI16" s="2780"/>
      <c r="AQ16" s="1667">
        <v>0</v>
      </c>
    </row>
    <row customHeight="1" ht="14.25" hidden="1">
      <c r="AI17" s="839"/>
      <c r="AQ17" s="1667">
        <v>0</v>
      </c>
    </row>
    <row s="46889" customFormat="1" customHeight="1" ht="22.5" hidden="1">
      <c r="L18" s="1933"/>
      <c r="M18" s="1874"/>
      <c r="N18" s="1874"/>
      <c r="O18" s="1879" t="s">
        <v>533</v>
      </c>
      <c r="P18" s="1874"/>
      <c r="Q18" s="1883"/>
      <c r="R18" s="1883"/>
      <c r="S18" s="1241"/>
      <c r="Y18" s="1879"/>
      <c r="AA18" s="1879"/>
      <c r="AB18" s="1878"/>
      <c r="AF18" s="1879"/>
      <c r="AH18" s="1879"/>
      <c r="AI18" s="1878"/>
      <c r="AL18" s="1023"/>
      <c r="AM18" s="1023"/>
      <c r="AN18" s="1023"/>
      <c r="AO18" s="1023"/>
      <c r="AP18" s="1023"/>
      <c r="AQ18" s="1672">
        <v>0</v>
      </c>
    </row>
    <row s="46889" customFormat="1" customHeight="1" ht="14.25" hidden="1">
      <c r="L19" s="1933"/>
      <c r="M19" s="1874"/>
      <c r="N19" s="1874"/>
      <c r="O19" s="1874"/>
      <c r="P19" s="1874"/>
      <c r="Q19" s="1883"/>
      <c r="R19" s="1883"/>
      <c r="S19" s="1241"/>
      <c r="AB19" s="1878"/>
      <c r="AI19" s="1878"/>
      <c r="AL19" s="1023"/>
      <c r="AM19" s="1023"/>
      <c r="AN19" s="1023"/>
      <c r="AO19" s="1023"/>
      <c r="AP19" s="1023"/>
      <c r="AQ19" s="1672">
        <v>0</v>
      </c>
    </row>
    <row s="46889" customFormat="1" customHeight="1" ht="12" hidden="1">
      <c r="L20" s="1933"/>
      <c r="M20" s="1874"/>
      <c r="N20" s="1874"/>
      <c r="O20" s="1876" t="s">
        <v>534</v>
      </c>
      <c r="P20" s="1874"/>
      <c r="Q20" s="1954"/>
      <c r="R20" s="1954"/>
      <c r="S20" s="1241"/>
      <c r="T20" s="1672" t="s">
        <v>535</v>
      </c>
      <c r="Z20" s="698" t="s">
        <v>536</v>
      </c>
      <c r="AB20" s="698" t="s">
        <v>537</v>
      </c>
      <c r="AC20" s="1672" t="s">
        <v>535</v>
      </c>
      <c r="AG20" s="698" t="s">
        <v>538</v>
      </c>
      <c r="AI20" s="698" t="s">
        <v>537</v>
      </c>
      <c r="AQ20" s="1672">
        <v>0</v>
      </c>
    </row>
    <row customHeight="1" ht="14.25" hidden="1">
      <c r="O21" s="1876"/>
      <c r="AQ21" s="1667">
        <v>0</v>
      </c>
    </row>
    <row customHeight="1" ht="14.25" hidden="1">
      <c r="O22" s="1876"/>
      <c r="AQ22" s="1667">
        <v>0</v>
      </c>
    </row>
    <row customHeight="1" ht="14.699999999999998">
      <c r="Q23" s="888"/>
      <c r="R23" s="888"/>
      <c r="S23" s="1787"/>
      <c r="T23" s="875"/>
      <c r="U23" s="875"/>
      <c r="V23" s="1021"/>
      <c r="W23" s="1021"/>
      <c r="X23" s="1021"/>
      <c r="Y23" s="1021"/>
      <c r="Z23" s="1021"/>
      <c r="AA23" s="1021"/>
      <c r="AB23" s="1021"/>
      <c r="AC23" s="1021"/>
      <c r="AD23" s="1021"/>
      <c r="AE23" s="1021"/>
      <c r="AF23" s="1021"/>
      <c r="AG23" s="1021"/>
      <c r="AH23" s="1021"/>
      <c r="AI23" s="1021"/>
      <c r="AQ23" s="1667">
        <v>14</v>
      </c>
    </row>
    <row customHeight="1" ht="14.699999999999998">
      <c r="Q24" s="888"/>
      <c r="R24" s="888"/>
      <c r="S24" s="2760" t="str">
        <f>IF(TEMPLATE_GROUP="P",PT_P_FORM_COLDVSNA_4_NAME_FORM,PT_R_FORM_COLDVSNA_16_NAME_FORM)</f>
        <v>Форма 2. Информация
о тарифах в сфере холодного водоснабжения на товары (услуги) организации холодного водоснабжения, подлежащих регулированию</v>
      </c>
      <c r="T24" s="2760"/>
      <c r="U24" s="2760"/>
      <c r="V24" s="2760"/>
      <c r="W24" s="2760"/>
      <c r="X24" s="2760"/>
      <c r="Y24" s="2760"/>
      <c r="Z24" s="2760"/>
      <c r="AA24" s="2760"/>
      <c r="AB24" s="2760"/>
      <c r="AC24" s="2760"/>
      <c r="AD24" s="2760"/>
      <c r="AE24" s="2760"/>
      <c r="AF24" s="2760"/>
      <c r="AG24" s="2760"/>
      <c r="AH24" s="2760"/>
      <c r="AI24" s="1755"/>
      <c r="AQ24" s="1667">
        <v>14</v>
      </c>
    </row>
    <row customHeight="1" ht="14.699999999999998">
      <c r="Q25" s="888"/>
      <c r="R25" s="888"/>
      <c r="S25" s="2761" t="str">
        <f>IF(org=0,"Не определено",org)</f>
        <v>КГУП "Примтеплоэнерго"</v>
      </c>
      <c r="T25" s="2761"/>
      <c r="U25" s="2761"/>
      <c r="V25" s="2761"/>
      <c r="W25" s="2761"/>
      <c r="X25" s="2761"/>
      <c r="Y25" s="2761"/>
      <c r="Z25" s="2761"/>
      <c r="AA25" s="2761"/>
      <c r="AB25" s="2761"/>
      <c r="AC25" s="2761"/>
      <c r="AD25" s="2761"/>
      <c r="AE25" s="2761"/>
      <c r="AF25" s="2761"/>
      <c r="AG25" s="2761"/>
      <c r="AH25" s="2761"/>
      <c r="AI25" s="1755"/>
      <c r="AQ25" s="1667">
        <v>14</v>
      </c>
    </row>
    <row customHeight="1" ht="14.25">
      <c r="Q26" s="888"/>
      <c r="R26" s="888"/>
      <c r="S26" s="1787"/>
      <c r="T26" s="875"/>
      <c r="U26" s="875"/>
      <c r="V26" s="834"/>
      <c r="W26" s="834"/>
      <c r="X26" s="834"/>
      <c r="Y26" s="834"/>
      <c r="Z26" s="834"/>
      <c r="AA26" s="834"/>
      <c r="AB26" s="834"/>
      <c r="AC26" s="834"/>
      <c r="AD26" s="834"/>
      <c r="AE26" s="834"/>
      <c r="AF26" s="834"/>
      <c r="AG26" s="834"/>
      <c r="AH26" s="834"/>
      <c r="AI26" s="834"/>
      <c r="AJ26" s="1021"/>
      <c r="AQ26" s="1667">
        <v>0</v>
      </c>
    </row>
    <row s="47026" customFormat="1" customHeight="1" ht="25.5">
      <c r="A27" s="1880"/>
      <c r="B27" s="1880"/>
      <c r="C27" s="1880"/>
      <c r="D27" s="1880"/>
      <c r="E27" s="1880"/>
      <c r="F27" s="1880"/>
      <c r="G27" s="1880"/>
      <c r="H27" s="1880"/>
      <c r="I27" s="1880"/>
      <c r="J27" s="1880"/>
      <c r="K27" s="1880"/>
      <c r="L27" s="1881"/>
      <c r="M27" s="1880"/>
      <c r="N27" s="1880"/>
      <c r="O27" s="1880"/>
      <c r="S27" s="2762" t="s">
        <v>42</v>
      </c>
      <c r="T27" s="2762"/>
      <c r="U27" s="1884"/>
      <c r="V27" s="2763" t="str">
        <f>IF(TITLE_NAME_OR_PR_CHANGE="",IF(TITLE_NAME_OR_PR="","",TITLE_NAME_OR_PR),TITLE_NAME_OR_PR_CHANGE)</f>
        <v>Агентство по тарифам Приморского края</v>
      </c>
      <c r="W27" s="2763"/>
      <c r="X27" s="2763"/>
      <c r="Y27" s="2763"/>
      <c r="Z27" s="2763"/>
      <c r="AA27" s="2763"/>
      <c r="AB27" s="838"/>
      <c r="AC27" s="2763" t="str">
        <f>IF(TITLE_NAME_OR_PR_CHANGE="",IF(TITLE_NAME_OR_PR="","",TITLE_NAME_OR_PR),TITLE_NAME_OR_PR_CHANGE)</f>
        <v>Агентство по тарифам Приморского края</v>
      </c>
      <c r="AD27" s="2763"/>
      <c r="AE27" s="2763"/>
      <c r="AF27" s="2763"/>
      <c r="AG27" s="2763"/>
      <c r="AH27" s="2763"/>
      <c r="AI27" s="838"/>
      <c r="AJ27" s="838"/>
      <c r="AK27" s="792"/>
      <c r="AL27" s="880"/>
      <c r="AM27" s="880"/>
      <c r="AN27" s="880"/>
      <c r="AO27" s="880"/>
      <c r="AP27" s="880"/>
      <c r="AQ27" s="930">
        <v>0</v>
      </c>
    </row>
    <row s="47026" customFormat="1" customHeight="1" ht="18.75">
      <c r="A28" s="1880"/>
      <c r="B28" s="1880"/>
      <c r="C28" s="1880"/>
      <c r="D28" s="1880"/>
      <c r="E28" s="1880"/>
      <c r="F28" s="1880"/>
      <c r="G28" s="1880"/>
      <c r="H28" s="1880"/>
      <c r="I28" s="1880"/>
      <c r="J28" s="1880"/>
      <c r="K28" s="1880"/>
      <c r="L28" s="1881"/>
      <c r="M28" s="1880"/>
      <c r="N28" s="1880"/>
      <c r="O28" s="1880"/>
      <c r="S28" s="2762" t="s">
        <v>539</v>
      </c>
      <c r="T28" s="2762"/>
      <c r="U28" s="1884"/>
      <c r="V28" s="2776" t="str">
        <f>IF(TITLE_DATE_PR_CHANGE="",IF(TITLE_DATE_PR="","",TITLE_DATE_PR),TITLE_DATE_PR_CHANGE)</f>
        <v>45631.495844907404</v>
      </c>
      <c r="W28" s="2776"/>
      <c r="X28" s="2776"/>
      <c r="Y28" s="2776"/>
      <c r="Z28" s="2776"/>
      <c r="AA28" s="2776"/>
      <c r="AB28" s="838"/>
      <c r="AC28" s="2776" t="str">
        <f>IF(TITLE_DATE_PR_CHANGE="",IF(TITLE_DATE_PR="","",TITLE_DATE_PR),TITLE_DATE_PR_CHANGE)</f>
        <v>45631.495844907404</v>
      </c>
      <c r="AD28" s="2776"/>
      <c r="AE28" s="2776"/>
      <c r="AF28" s="2776"/>
      <c r="AG28" s="2776"/>
      <c r="AH28" s="2776"/>
      <c r="AI28" s="838"/>
      <c r="AJ28" s="838"/>
      <c r="AK28" s="792"/>
      <c r="AL28" s="880"/>
      <c r="AM28" s="880"/>
      <c r="AN28" s="880"/>
      <c r="AO28" s="880"/>
      <c r="AP28" s="880"/>
      <c r="AQ28" s="930">
        <v>0</v>
      </c>
    </row>
    <row s="47026" customFormat="1" customHeight="1" ht="18.75">
      <c r="A29" s="1880"/>
      <c r="B29" s="1880"/>
      <c r="C29" s="1880"/>
      <c r="D29" s="1880"/>
      <c r="E29" s="1880"/>
      <c r="F29" s="1880"/>
      <c r="G29" s="1880"/>
      <c r="H29" s="1880"/>
      <c r="I29" s="1880"/>
      <c r="J29" s="1880"/>
      <c r="K29" s="1880"/>
      <c r="L29" s="1881"/>
      <c r="M29" s="1880"/>
      <c r="N29" s="1880"/>
      <c r="O29" s="1880"/>
      <c r="S29" s="2762" t="s">
        <v>540</v>
      </c>
      <c r="T29" s="2762"/>
      <c r="U29" s="1884"/>
      <c r="V29" s="2763" t="str">
        <f>IF(TITLE_NUMBER_PR_CHANGE="",IF(TITLE_NUMBER_PR="","",TITLE_NUMBER_PR),TITLE_NUMBER_PR_CHANGE)</f>
        <v>53/9</v>
      </c>
      <c r="W29" s="2763"/>
      <c r="X29" s="2763"/>
      <c r="Y29" s="2763"/>
      <c r="Z29" s="2763"/>
      <c r="AA29" s="2763"/>
      <c r="AB29" s="838"/>
      <c r="AC29" s="2763" t="str">
        <f>IF(TITLE_NUMBER_PR_CHANGE="",IF(TITLE_NUMBER_PR="","",TITLE_NUMBER_PR),TITLE_NUMBER_PR_CHANGE)</f>
        <v>53/9</v>
      </c>
      <c r="AD29" s="2763"/>
      <c r="AE29" s="2763"/>
      <c r="AF29" s="2763"/>
      <c r="AG29" s="2763"/>
      <c r="AH29" s="2763"/>
      <c r="AI29" s="838"/>
      <c r="AJ29" s="838"/>
      <c r="AK29" s="792"/>
      <c r="AL29" s="880"/>
      <c r="AM29" s="880"/>
      <c r="AN29" s="880"/>
      <c r="AO29" s="880"/>
      <c r="AP29" s="880"/>
      <c r="AQ29" s="930">
        <v>0</v>
      </c>
    </row>
    <row s="47026" customFormat="1" customHeight="1" ht="18.75">
      <c r="A30" s="1880"/>
      <c r="B30" s="1880"/>
      <c r="C30" s="1880"/>
      <c r="D30" s="1880"/>
      <c r="E30" s="1880"/>
      <c r="F30" s="1880"/>
      <c r="G30" s="1880"/>
      <c r="H30" s="1880"/>
      <c r="I30" s="1880"/>
      <c r="J30" s="1880"/>
      <c r="K30" s="1880"/>
      <c r="L30" s="1881"/>
      <c r="M30" s="1880"/>
      <c r="N30" s="1880"/>
      <c r="O30" s="1880"/>
      <c r="S30" s="2762" t="s">
        <v>44</v>
      </c>
      <c r="T30" s="2762"/>
      <c r="U30" s="1884"/>
      <c r="V30" s="2763" t="str">
        <f>IF(TITLE_IST_PUB_CHANGE="",IF(TITLE_IST_PUB="","",TITLE_IST_PUB),TITLE_IST_PUB_CHANGE)</f>
        <v>http://pravo.gov.ru</v>
      </c>
      <c r="W30" s="2763"/>
      <c r="X30" s="2763"/>
      <c r="Y30" s="2763"/>
      <c r="Z30" s="2763"/>
      <c r="AA30" s="2763"/>
      <c r="AB30" s="838"/>
      <c r="AC30" s="2763" t="str">
        <f>IF(TITLE_IST_PUB_CHANGE="",IF(TITLE_IST_PUB="","",TITLE_IST_PUB),TITLE_IST_PUB_CHANGE)</f>
        <v>http://pravo.gov.ru</v>
      </c>
      <c r="AD30" s="2763"/>
      <c r="AE30" s="2763"/>
      <c r="AF30" s="2763"/>
      <c r="AG30" s="2763"/>
      <c r="AH30" s="2763"/>
      <c r="AI30" s="838"/>
      <c r="AJ30" s="838"/>
      <c r="AK30" s="792"/>
      <c r="AL30" s="880"/>
      <c r="AM30" s="880"/>
      <c r="AN30" s="880"/>
      <c r="AO30" s="880"/>
      <c r="AP30" s="880"/>
      <c r="AQ30" s="930">
        <v>0</v>
      </c>
    </row>
    <row customHeight="1" ht="14.25" hidden="1">
      <c r="Q31" s="888"/>
      <c r="R31" s="888"/>
      <c r="S31" s="1787"/>
      <c r="T31" s="875"/>
      <c r="U31" s="875"/>
      <c r="V31" s="834"/>
      <c r="W31" s="834"/>
      <c r="X31" s="834"/>
      <c r="Y31" s="834"/>
      <c r="Z31" s="834"/>
      <c r="AA31" s="834"/>
      <c r="AB31" s="834"/>
      <c r="AC31" s="834"/>
      <c r="AD31" s="834"/>
      <c r="AE31" s="834"/>
      <c r="AF31" s="834"/>
      <c r="AG31" s="834"/>
      <c r="AH31" s="834"/>
      <c r="AI31" s="834"/>
      <c r="AJ31" s="1021"/>
      <c r="AQ31" s="1667">
        <v>0</v>
      </c>
    </row>
    <row s="47026" customFormat="1" customHeight="1" ht="18.75" hidden="1">
      <c r="A32" s="1880"/>
      <c r="B32" s="1880"/>
      <c r="C32" s="1880"/>
      <c r="D32" s="1880"/>
      <c r="E32" s="1880"/>
      <c r="F32" s="1880"/>
      <c r="G32" s="1880"/>
      <c r="H32" s="1880"/>
      <c r="I32" s="1880"/>
      <c r="J32" s="1880"/>
      <c r="K32" s="1880"/>
      <c r="L32" s="1881"/>
      <c r="M32" s="1880"/>
      <c r="N32" s="1880"/>
      <c r="O32" s="1880"/>
      <c r="S32" s="2762" t="s">
        <v>541</v>
      </c>
      <c r="T32" s="2762"/>
      <c r="U32" s="1884"/>
      <c r="V32" s="2776" t="str">
        <f>IF(TITLE_DATE_PR_CHANGE="",IF(TITLE_DATE_PR="","",TITLE_DATE_PR),TITLE_DATE_PR_CHANGE)</f>
        <v>45631.495844907404</v>
      </c>
      <c r="W32" s="2776"/>
      <c r="X32" s="2776"/>
      <c r="Y32" s="2776"/>
      <c r="Z32" s="2776"/>
      <c r="AA32" s="2776"/>
      <c r="AB32" s="838"/>
      <c r="AC32" s="2776" t="str">
        <f>IF(TITLE_DATE_PR_CHANGE="",IF(TITLE_DATE_PR="","",TITLE_DATE_PR),TITLE_DATE_PR_CHANGE)</f>
        <v>45631.495844907404</v>
      </c>
      <c r="AD32" s="2776"/>
      <c r="AE32" s="2776"/>
      <c r="AF32" s="2776"/>
      <c r="AG32" s="2776"/>
      <c r="AH32" s="2776"/>
      <c r="AI32" s="838"/>
      <c r="AJ32" s="838"/>
      <c r="AK32" s="792"/>
      <c r="AL32" s="880"/>
      <c r="AM32" s="880"/>
      <c r="AN32" s="880"/>
      <c r="AO32" s="880"/>
      <c r="AP32" s="880"/>
      <c r="AQ32" s="930">
        <v>0</v>
      </c>
    </row>
    <row s="47026" customFormat="1" customHeight="1" ht="18.75" hidden="1">
      <c r="A33" s="1880"/>
      <c r="B33" s="1880"/>
      <c r="C33" s="1880"/>
      <c r="D33" s="1880"/>
      <c r="E33" s="1880"/>
      <c r="F33" s="1880"/>
      <c r="G33" s="1880"/>
      <c r="H33" s="1880"/>
      <c r="I33" s="1880"/>
      <c r="J33" s="1880"/>
      <c r="K33" s="1880"/>
      <c r="L33" s="1881"/>
      <c r="M33" s="1880"/>
      <c r="N33" s="1880"/>
      <c r="O33" s="1880"/>
      <c r="S33" s="2762" t="s">
        <v>542</v>
      </c>
      <c r="T33" s="2762"/>
      <c r="U33" s="1884"/>
      <c r="V33" s="2763" t="str">
        <f>IF(TITLE_NUMBER_PR_CHANGE="",IF(TITLE_NUMBER_PR="","",TITLE_NUMBER_PR),TITLE_NUMBER_PR_CHANGE)</f>
        <v>53/9</v>
      </c>
      <c r="W33" s="2763"/>
      <c r="X33" s="2763"/>
      <c r="Y33" s="2763"/>
      <c r="Z33" s="2763"/>
      <c r="AA33" s="2763"/>
      <c r="AB33" s="838"/>
      <c r="AC33" s="2763" t="str">
        <f>IF(TITLE_NUMBER_PR_CHANGE="",IF(TITLE_NUMBER_PR="","",TITLE_NUMBER_PR),TITLE_NUMBER_PR_CHANGE)</f>
        <v>53/9</v>
      </c>
      <c r="AD33" s="2763"/>
      <c r="AE33" s="2763"/>
      <c r="AF33" s="2763"/>
      <c r="AG33" s="2763"/>
      <c r="AH33" s="2763"/>
      <c r="AI33" s="838"/>
      <c r="AJ33" s="838"/>
      <c r="AK33" s="792"/>
      <c r="AL33" s="880"/>
      <c r="AM33" s="880"/>
      <c r="AN33" s="880"/>
      <c r="AO33" s="880"/>
      <c r="AP33" s="880"/>
      <c r="AQ33" s="930">
        <v>0</v>
      </c>
    </row>
    <row s="47026" customFormat="1" customHeight="1" ht="1.05">
      <c r="A34" s="1880"/>
      <c r="B34" s="1880"/>
      <c r="C34" s="1880"/>
      <c r="D34" s="1880"/>
      <c r="E34" s="1880"/>
      <c r="F34" s="1880"/>
      <c r="G34" s="1880"/>
      <c r="H34" s="1880"/>
      <c r="I34" s="1880"/>
      <c r="J34" s="1880"/>
      <c r="K34" s="1880"/>
      <c r="L34" s="1881"/>
      <c r="M34" s="1880"/>
      <c r="N34" s="1880"/>
      <c r="O34" s="1880"/>
      <c r="S34" s="835"/>
      <c r="T34" s="835"/>
      <c r="U34" s="1867"/>
      <c r="V34" s="838"/>
      <c r="W34" s="838"/>
      <c r="X34" s="838"/>
      <c r="Y34" s="838"/>
      <c r="Z34" s="838"/>
      <c r="AA34" s="838"/>
      <c r="AB34" s="790" t="s">
        <v>543</v>
      </c>
      <c r="AC34" s="838"/>
      <c r="AD34" s="838"/>
      <c r="AE34" s="838"/>
      <c r="AF34" s="838"/>
      <c r="AG34" s="838"/>
      <c r="AH34" s="838"/>
      <c r="AI34" s="790" t="s">
        <v>543</v>
      </c>
      <c r="AL34" s="880"/>
      <c r="AM34" s="880"/>
      <c r="AN34" s="880"/>
      <c r="AO34" s="880"/>
      <c r="AP34" s="880"/>
      <c r="AQ34" s="930">
        <v>1</v>
      </c>
    </row>
    <row customHeight="1" ht="14.699999999999998">
      <c r="Q35" s="888"/>
      <c r="R35" s="888"/>
      <c r="S35" s="1787"/>
      <c r="T35" s="875"/>
      <c r="U35" s="1756"/>
      <c r="V35" s="2764"/>
      <c r="W35" s="2764"/>
      <c r="X35" s="2764"/>
      <c r="Y35" s="2764"/>
      <c r="Z35" s="2764"/>
      <c r="AA35" s="2764"/>
      <c r="AB35" s="2764"/>
      <c r="AC35" s="2764"/>
      <c r="AD35" s="2764"/>
      <c r="AE35" s="2764"/>
      <c r="AF35" s="2764"/>
      <c r="AG35" s="2764"/>
      <c r="AH35" s="2764"/>
      <c r="AI35" s="2764"/>
      <c r="AQ35" s="1667">
        <v>14</v>
      </c>
    </row>
    <row customHeight="1" ht="14.699999999999998">
      <c r="Q36" s="888"/>
      <c r="R36" s="888"/>
      <c r="S36" s="2639" t="s">
        <v>418</v>
      </c>
      <c r="T36" s="2639"/>
      <c r="U36" s="2639"/>
      <c r="V36" s="2639"/>
      <c r="W36" s="2639"/>
      <c r="X36" s="2639"/>
      <c r="Y36" s="2639"/>
      <c r="Z36" s="2639"/>
      <c r="AA36" s="2639"/>
      <c r="AB36" s="2639"/>
      <c r="AC36" s="2639"/>
      <c r="AD36" s="2639"/>
      <c r="AE36" s="2639"/>
      <c r="AF36" s="2639"/>
      <c r="AG36" s="2639"/>
      <c r="AH36" s="2639"/>
      <c r="AI36" s="2639"/>
      <c r="AJ36" s="2639"/>
      <c r="AK36" s="2639" t="s">
        <v>419</v>
      </c>
      <c r="AQ36" s="1667">
        <v>14</v>
      </c>
    </row>
    <row customHeight="1" ht="14.699999999999998">
      <c r="Q37" s="888"/>
      <c r="R37" s="888"/>
      <c r="S37" s="2785" t="s">
        <v>90</v>
      </c>
      <c r="T37" s="2721" t="s">
        <v>544</v>
      </c>
      <c r="U37" s="813"/>
      <c r="V37" s="2786" t="s">
        <v>545</v>
      </c>
      <c r="W37" s="2787"/>
      <c r="X37" s="2787"/>
      <c r="Y37" s="2787"/>
      <c r="Z37" s="2787"/>
      <c r="AA37" s="2788"/>
      <c r="AB37" s="2789" t="s">
        <v>546</v>
      </c>
      <c r="AC37" s="2786" t="s">
        <v>545</v>
      </c>
      <c r="AD37" s="2787"/>
      <c r="AE37" s="2787"/>
      <c r="AF37" s="2787"/>
      <c r="AG37" s="2787"/>
      <c r="AH37" s="2788"/>
      <c r="AI37" s="2789" t="s">
        <v>547</v>
      </c>
      <c r="AJ37" s="2792" t="s">
        <v>548</v>
      </c>
      <c r="AK37" s="2639"/>
      <c r="AQ37" s="1667">
        <v>14</v>
      </c>
    </row>
    <row customHeight="1" ht="35.699999999999996">
      <c r="Q38" s="888"/>
      <c r="R38" s="888"/>
      <c r="S38" s="2785"/>
      <c r="T38" s="2721"/>
      <c r="U38" s="1543"/>
      <c r="V38" s="1864" t="s">
        <v>604</v>
      </c>
      <c r="W38" s="2774" t="s">
        <v>551</v>
      </c>
      <c r="X38" s="2775"/>
      <c r="Y38" s="2774" t="s">
        <v>552</v>
      </c>
      <c r="Z38" s="2781"/>
      <c r="AA38" s="2775"/>
      <c r="AB38" s="2790"/>
      <c r="AC38" s="1864" t="s">
        <v>604</v>
      </c>
      <c r="AD38" s="2774" t="s">
        <v>551</v>
      </c>
      <c r="AE38" s="2775"/>
      <c r="AF38" s="2774" t="s">
        <v>552</v>
      </c>
      <c r="AG38" s="2781"/>
      <c r="AH38" s="2775"/>
      <c r="AI38" s="2790"/>
      <c r="AJ38" s="2793"/>
      <c r="AK38" s="2639"/>
      <c r="AQ38" s="1667">
        <v>34</v>
      </c>
    </row>
    <row customHeight="1" ht="35.699999999999996">
      <c r="A39" s="1882"/>
      <c r="B39" s="1882" t="s">
        <v>191</v>
      </c>
      <c r="C39" s="1882" t="s">
        <v>192</v>
      </c>
      <c r="D39" s="1882" t="s">
        <v>193</v>
      </c>
      <c r="E39" s="1876" t="s">
        <v>553</v>
      </c>
      <c r="F39" s="1876" t="s">
        <v>554</v>
      </c>
      <c r="G39" s="1876" t="s">
        <v>555</v>
      </c>
      <c r="H39" s="1876"/>
      <c r="I39" s="1876" t="s">
        <v>605</v>
      </c>
      <c r="J39" s="1876" t="s">
        <v>558</v>
      </c>
      <c r="K39" s="1876" t="s">
        <v>606</v>
      </c>
      <c r="L39" s="1876" t="s">
        <v>534</v>
      </c>
      <c r="Q39" s="888"/>
      <c r="R39" s="888"/>
      <c r="S39" s="2785"/>
      <c r="T39" s="2721"/>
      <c r="U39" s="814"/>
      <c r="V39" s="1864" t="s">
        <v>607</v>
      </c>
      <c r="W39" s="1734" t="s">
        <v>608</v>
      </c>
      <c r="X39" s="1734" t="s">
        <v>609</v>
      </c>
      <c r="Y39" s="1869" t="s">
        <v>562</v>
      </c>
      <c r="Z39" s="2782" t="s">
        <v>563</v>
      </c>
      <c r="AA39" s="2783"/>
      <c r="AB39" s="2791"/>
      <c r="AC39" s="1864" t="s">
        <v>607</v>
      </c>
      <c r="AD39" s="1734" t="s">
        <v>608</v>
      </c>
      <c r="AE39" s="1734" t="s">
        <v>609</v>
      </c>
      <c r="AF39" s="1869" t="s">
        <v>562</v>
      </c>
      <c r="AG39" s="2782" t="s">
        <v>563</v>
      </c>
      <c r="AH39" s="2783"/>
      <c r="AI39" s="2791"/>
      <c r="AJ39" s="2794"/>
      <c r="AK39" s="2639"/>
      <c r="AQ39" s="1667">
        <v>34</v>
      </c>
    </row>
    <row s="47496" customFormat="1" customHeight="1" ht="11.25" hidden="1">
      <c r="A40" s="1882"/>
      <c r="B40" s="1882"/>
      <c r="C40" s="1882"/>
      <c r="D40" s="1882"/>
      <c r="E40" s="1882"/>
      <c r="F40" s="1882"/>
      <c r="G40" s="1882"/>
      <c r="H40" s="1882"/>
      <c r="I40" s="1882"/>
      <c r="J40" s="1882"/>
      <c r="K40" s="1882"/>
      <c r="L40" s="1876"/>
      <c r="M40" s="1874"/>
      <c r="N40" s="1874"/>
      <c r="O40" s="1874"/>
      <c r="P40" s="1758"/>
      <c r="Q40" s="1759"/>
      <c r="R40" s="1766">
        <v>1</v>
      </c>
      <c r="S40" s="1789" t="s">
        <v>101</v>
      </c>
      <c r="T40" s="1767" t="s">
        <v>105</v>
      </c>
      <c r="U40" s="1757" t="str">
        <f>OFFSET(U40,0,-1)</f>
        <v>2</v>
      </c>
      <c r="V40" s="1865">
        <f>OFFSET(V40,0,-1)+1</f>
        <v>3</v>
      </c>
      <c r="W40" s="1865">
        <f>OFFSET(W40,0,-1)+1</f>
        <v>4</v>
      </c>
      <c r="X40" s="1865">
        <f>OFFSET(X40,0,-1)+1</f>
        <v>5</v>
      </c>
      <c r="Y40" s="1865">
        <f>OFFSET(Y40,0,-1)+1</f>
        <v>6</v>
      </c>
      <c r="Z40" s="2784">
        <f>OFFSET(Z40,0,-1)+1</f>
        <v>7</v>
      </c>
      <c r="AA40" s="2784"/>
      <c r="AB40" s="1865">
        <f>OFFSET(AB40,0,-2)+1</f>
        <v>8</v>
      </c>
      <c r="AC40" s="1865">
        <f>OFFSET(AC40,0,-1)+1</f>
        <v>9</v>
      </c>
      <c r="AD40" s="1865">
        <f>OFFSET(AD40,0,-1)+1</f>
        <v>10</v>
      </c>
      <c r="AE40" s="1865">
        <f>OFFSET(AE40,0,-1)+1</f>
        <v>11</v>
      </c>
      <c r="AF40" s="1865">
        <f>OFFSET(AF40,0,-1)+1</f>
        <v>12</v>
      </c>
      <c r="AG40" s="2784">
        <f>OFFSET(AG40,0,-1)+1</f>
        <v>13</v>
      </c>
      <c r="AH40" s="2784"/>
      <c r="AI40" s="1865">
        <f>OFFSET(AI40,0,-2)+1</f>
        <v>14</v>
      </c>
      <c r="AJ40" s="1757">
        <f>OFFSET(AJ40,0,-1)</f>
        <v>14</v>
      </c>
      <c r="AK40" s="1865">
        <f>OFFSET(AK40,0,-1)+1</f>
        <v>15</v>
      </c>
      <c r="AL40" s="1023"/>
      <c r="AM40" s="1023"/>
      <c r="AN40" s="1023"/>
      <c r="AO40" s="1023"/>
      <c r="AP40" s="1023"/>
      <c r="AQ40" s="1008">
        <v>0</v>
      </c>
    </row>
    <row customHeight="1" ht="24">
      <c r="A41" s="1875" t="s">
        <v>275</v>
      </c>
      <c r="B41" s="1875"/>
      <c r="C41" s="1875"/>
      <c r="D41" s="1875"/>
      <c r="E41" s="2770">
        <v>1</v>
      </c>
      <c r="F41" s="1875"/>
      <c r="G41" s="1875"/>
      <c r="H41" s="1875"/>
      <c r="I41" s="1875"/>
      <c r="J41" s="1875"/>
      <c r="K41" s="1875"/>
      <c r="L41" s="1876"/>
      <c r="M41" s="1877"/>
      <c r="N41" s="1877"/>
      <c r="O41" s="1877"/>
      <c r="P41" s="873"/>
      <c r="Q41" s="872"/>
      <c r="R41" s="867"/>
      <c r="S41" s="1870">
        <f>INDEX(PT_DIFFERENTIATION_NUM_NTAR,MATCH(A41,PT_DIFFERENTIATION_NTAR_ID,0))</f>
        <v>0</v>
      </c>
      <c r="T41" s="810" t="s">
        <v>179</v>
      </c>
      <c r="U41" s="812"/>
      <c r="V41" s="2754"/>
      <c r="W41" s="2755"/>
      <c r="X41" s="2755"/>
      <c r="Y41" s="2755"/>
      <c r="Z41" s="2755"/>
      <c r="AA41" s="2755"/>
      <c r="AB41" s="2756"/>
      <c r="AC41" s="2754" t="str">
        <f>INDEX(PT_DIFFERENTIATION_NTAR,MATCH(A41,PT_DIFFERENTIATION_NTAR_ID,0))</f>
        <v/>
      </c>
      <c r="AD41" s="2755"/>
      <c r="AE41" s="2755"/>
      <c r="AF41" s="2755"/>
      <c r="AG41" s="2755"/>
      <c r="AH41" s="2755"/>
      <c r="AI41" s="2755"/>
      <c r="AJ41" s="2756"/>
      <c r="AK41"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1012"/>
      <c r="AN41" s="1012" t="str">
        <f>IF(T41="","",T41)</f>
        <v>Наименование тарифа</v>
      </c>
      <c r="AO41" s="1012"/>
      <c r="AP41" s="1012"/>
      <c r="AQ41" s="1667">
        <v>23</v>
      </c>
    </row>
    <row customHeight="1" ht="24">
      <c r="A42" s="1875" t="s">
        <v>275</v>
      </c>
      <c r="B42" s="1875" t="s">
        <v>276</v>
      </c>
      <c r="C42" s="1875"/>
      <c r="D42" s="1875"/>
      <c r="E42" s="2771"/>
      <c r="F42" s="2770">
        <v>1</v>
      </c>
      <c r="G42" s="1875"/>
      <c r="H42" s="1875"/>
      <c r="I42" s="1875"/>
      <c r="J42" s="1875"/>
      <c r="K42" s="1875"/>
      <c r="L42" s="1876"/>
      <c r="M42" s="1877"/>
      <c r="N42" s="1877"/>
      <c r="O42" s="1877"/>
      <c r="P42" s="1868"/>
      <c r="Q42" s="864"/>
      <c r="R42" s="865"/>
      <c r="S42" s="1870" t="str">
        <f>INDEX(PT_DIFFERENTIATION_NUM_TER,MATCH(B42,PT_DIFFERENTIATION_TER_ID,0))</f>
        <v>.</v>
      </c>
      <c r="T42" s="820" t="s">
        <v>515</v>
      </c>
      <c r="U42" s="812"/>
      <c r="V42" s="2754"/>
      <c r="W42" s="2755"/>
      <c r="X42" s="2755"/>
      <c r="Y42" s="2755"/>
      <c r="Z42" s="2755"/>
      <c r="AA42" s="2755"/>
      <c r="AB42" s="2756"/>
      <c r="AC42" s="2754" t="str">
        <f>INDEX(PT_DIFFERENTIATION_TER,MATCH(B42,PT_DIFFERENTIATION_TER_ID,0))</f>
        <v/>
      </c>
      <c r="AD42" s="2755"/>
      <c r="AE42" s="2755"/>
      <c r="AF42" s="2755"/>
      <c r="AG42" s="2755"/>
      <c r="AH42" s="2755"/>
      <c r="AI42" s="2755"/>
      <c r="AJ42" s="2756"/>
      <c r="AK42" s="1770" t="s">
        <v>516</v>
      </c>
      <c r="AM42" s="1012"/>
      <c r="AN42" s="1012" t="str">
        <f>IF(T42="","",T42)</f>
        <v>Территория действия тарифа</v>
      </c>
      <c r="AO42" s="1012"/>
      <c r="AP42" s="1012"/>
      <c r="AQ42" s="1667">
        <v>23</v>
      </c>
    </row>
    <row customHeight="1" ht="24">
      <c r="A43" s="1875" t="s">
        <v>275</v>
      </c>
      <c r="B43" s="1875" t="s">
        <v>276</v>
      </c>
      <c r="C43" s="1875" t="s">
        <v>277</v>
      </c>
      <c r="D43" s="1875"/>
      <c r="E43" s="2771"/>
      <c r="F43" s="2771"/>
      <c r="G43" s="2770">
        <v>1</v>
      </c>
      <c r="H43" s="1875"/>
      <c r="I43" s="1875"/>
      <c r="J43" s="1875"/>
      <c r="K43" s="1875"/>
      <c r="L43" s="1876"/>
      <c r="M43" s="1877"/>
      <c r="N43" s="1877"/>
      <c r="O43" s="1877"/>
      <c r="P43" s="866"/>
      <c r="Q43" s="864"/>
      <c r="R43" s="865"/>
      <c r="S43" s="1870" t="str">
        <f>INDEX(PT_DIFFERENTIATION_NUM_CS,MATCH(C43,PT_DIFFERENTIATION_CS_ID,0))</f>
        <v>..</v>
      </c>
      <c r="T43" s="821" t="s">
        <v>596</v>
      </c>
      <c r="U43" s="812"/>
      <c r="V43" s="2754"/>
      <c r="W43" s="2755"/>
      <c r="X43" s="2755"/>
      <c r="Y43" s="2755"/>
      <c r="Z43" s="2755"/>
      <c r="AA43" s="2755"/>
      <c r="AB43" s="2756"/>
      <c r="AC43" s="2754" t="str">
        <f>INDEX(PT_DIFFERENTIATION_CS,MATCH(C43,PT_DIFFERENTIATION_CS_ID,0))</f>
        <v/>
      </c>
      <c r="AD43" s="2755"/>
      <c r="AE43" s="2755"/>
      <c r="AF43" s="2755"/>
      <c r="AG43" s="2755"/>
      <c r="AH43" s="2755"/>
      <c r="AI43" s="2755"/>
      <c r="AJ43" s="2756"/>
      <c r="AK43" s="1770" t="s">
        <v>597</v>
      </c>
      <c r="AM43" s="1012"/>
      <c r="AN43" s="1012" t="str">
        <f>IF(T43="","",T43)</f>
        <v>Наименование централизованной системы холодного водоснабжения</v>
      </c>
      <c r="AO43" s="1012"/>
      <c r="AP43" s="1012"/>
      <c r="AQ43" s="1667">
        <v>23</v>
      </c>
    </row>
    <row customHeight="1" ht="24">
      <c r="A44" s="1875" t="s">
        <v>275</v>
      </c>
      <c r="B44" s="1875" t="s">
        <v>276</v>
      </c>
      <c r="C44" s="1875" t="s">
        <v>277</v>
      </c>
      <c r="D44" s="1875" t="s">
        <v>610</v>
      </c>
      <c r="E44" s="2771"/>
      <c r="F44" s="2771"/>
      <c r="G44" s="2771"/>
      <c r="H44" s="2771"/>
      <c r="I44" s="2768" t="str">
        <f>S43&amp;".1"</f>
        <v>...1</v>
      </c>
      <c r="J44" s="1875"/>
      <c r="K44" s="1875"/>
      <c r="L44" s="1876"/>
      <c r="P44" s="2769">
        <v>1</v>
      </c>
      <c r="Q44" s="1866"/>
      <c r="R44" s="868"/>
      <c r="S44" s="1870" t="str">
        <f>$I44</f>
        <v>...1</v>
      </c>
      <c r="T44" s="797" t="s">
        <v>598</v>
      </c>
      <c r="U44" s="812"/>
      <c r="V44" s="2862"/>
      <c r="W44" s="2863"/>
      <c r="X44" s="2863"/>
      <c r="Y44" s="2863"/>
      <c r="Z44" s="2863"/>
      <c r="AA44" s="2863"/>
      <c r="AB44" s="2864"/>
      <c r="AC44" s="2865"/>
      <c r="AD44" s="2866"/>
      <c r="AE44" s="2866"/>
      <c r="AF44" s="2866"/>
      <c r="AG44" s="2866"/>
      <c r="AH44" s="2866"/>
      <c r="AI44" s="2866"/>
      <c r="AJ44" s="2867"/>
      <c r="AK44" s="1770" t="s">
        <v>599</v>
      </c>
      <c r="AM44" s="1012"/>
      <c r="AN44" s="1012" t="str">
        <f>IF(T44="","",T44)</f>
        <v>Наименование признака дифференциации</v>
      </c>
      <c r="AO44" s="1012"/>
      <c r="AP44" s="1012"/>
      <c r="AQ44" s="1667">
        <v>23</v>
      </c>
    </row>
    <row customHeight="1" ht="24">
      <c r="A45" s="1875" t="s">
        <v>275</v>
      </c>
      <c r="B45" s="1875" t="s">
        <v>276</v>
      </c>
      <c r="C45" s="1875" t="s">
        <v>277</v>
      </c>
      <c r="D45" s="1875" t="s">
        <v>610</v>
      </c>
      <c r="E45" s="2771"/>
      <c r="F45" s="2771"/>
      <c r="G45" s="2771"/>
      <c r="H45" s="2771"/>
      <c r="I45" s="2798"/>
      <c r="J45" s="2768" t="str">
        <f>I44&amp;".1"</f>
        <v>...1.1</v>
      </c>
      <c r="K45" s="1875"/>
      <c r="L45" s="1876" t="s">
        <v>524</v>
      </c>
      <c r="P45" s="2769"/>
      <c r="Q45" s="2769">
        <v>1</v>
      </c>
      <c r="R45" s="869"/>
      <c r="S45" s="1870" t="str">
        <f>$J45</f>
        <v>...1.1</v>
      </c>
      <c r="T45" s="798" t="s">
        <v>525</v>
      </c>
      <c r="U45" s="812"/>
      <c r="V45" s="2757"/>
      <c r="W45" s="2758"/>
      <c r="X45" s="2758"/>
      <c r="Y45" s="2758"/>
      <c r="Z45" s="2758"/>
      <c r="AA45" s="2758"/>
      <c r="AB45" s="2759"/>
      <c r="AC45" s="2757"/>
      <c r="AD45" s="2758"/>
      <c r="AE45" s="2758"/>
      <c r="AF45" s="2758"/>
      <c r="AG45" s="2758"/>
      <c r="AH45" s="2758"/>
      <c r="AI45" s="2758"/>
      <c r="AJ45" s="2759"/>
      <c r="AK45" s="1819" t="s">
        <v>600</v>
      </c>
      <c r="AM45" s="1012"/>
      <c r="AN45" s="1012" t="str">
        <f>IF(T45="","",T45)</f>
        <v>Группа потребителей</v>
      </c>
      <c r="AO45" s="1012"/>
      <c r="AP45" s="1012"/>
      <c r="AQ45" s="1667">
        <v>23</v>
      </c>
    </row>
    <row customHeight="1" ht="24">
      <c r="A46" s="1875" t="s">
        <v>275</v>
      </c>
      <c r="B46" s="1875" t="s">
        <v>276</v>
      </c>
      <c r="C46" s="1875" t="s">
        <v>277</v>
      </c>
      <c r="D46" s="1875" t="s">
        <v>610</v>
      </c>
      <c r="E46" s="2771"/>
      <c r="F46" s="2771"/>
      <c r="G46" s="2771"/>
      <c r="H46" s="2771"/>
      <c r="I46" s="2798"/>
      <c r="J46" s="2798"/>
      <c r="K46" s="2768" t="str">
        <f>J45&amp;".1"</f>
        <v>...1.1.1</v>
      </c>
      <c r="L46" s="1876"/>
      <c r="P46" s="2769"/>
      <c r="Q46" s="2769"/>
      <c r="R46" s="869">
        <v>1</v>
      </c>
      <c r="S46" s="1870" t="str">
        <f>$K46</f>
        <v>...1.1.1</v>
      </c>
      <c r="T46" s="1949"/>
      <c r="U46" s="812"/>
      <c r="V46" s="1872"/>
      <c r="W46" s="1872"/>
      <c r="X46" s="1873"/>
      <c r="Y46" s="2779"/>
      <c r="Z46" s="2780" t="s">
        <v>63</v>
      </c>
      <c r="AA46" s="2779"/>
      <c r="AB46" s="2780" t="s">
        <v>63</v>
      </c>
      <c r="AC46" s="1263"/>
      <c r="AD46" s="1263"/>
      <c r="AE46" s="1769"/>
      <c r="AF46" s="2777"/>
      <c r="AG46" s="2619" t="s">
        <v>63</v>
      </c>
      <c r="AH46" s="2799"/>
      <c r="AI46" s="2619" t="s">
        <v>19</v>
      </c>
      <c r="AJ46" s="1950"/>
      <c r="AK46" s="28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023">
        <f>STRCHECKDATE(V47:AJ47)</f>
      </c>
      <c r="AM46" s="1012"/>
      <c r="AN46" s="1012" t="str">
        <f>IF(T46="","",T46)</f>
        <v/>
      </c>
      <c r="AO46" s="1012"/>
      <c r="AP46" s="1012"/>
      <c r="AQ46" s="1667">
        <v>23</v>
      </c>
    </row>
    <row customHeight="1" ht="0">
      <c r="A47" s="1875" t="s">
        <v>275</v>
      </c>
      <c r="B47" s="1875" t="s">
        <v>276</v>
      </c>
      <c r="C47" s="1875" t="s">
        <v>277</v>
      </c>
      <c r="D47" s="1875" t="s">
        <v>610</v>
      </c>
      <c r="E47" s="2771"/>
      <c r="F47" s="2771"/>
      <c r="G47" s="2771"/>
      <c r="H47" s="2771"/>
      <c r="I47" s="2798"/>
      <c r="J47" s="2798"/>
      <c r="K47" s="2768"/>
      <c r="L47" s="1876"/>
      <c r="P47" s="2769"/>
      <c r="Q47" s="2769"/>
      <c r="R47" s="869"/>
      <c r="S47" s="1871"/>
      <c r="T47" s="812"/>
      <c r="U47" s="812"/>
      <c r="V47" s="1872"/>
      <c r="W47" s="1872"/>
      <c r="X47" s="840" t="str">
        <f>Y46&amp;"-"&amp;AA46</f>
        <v>-</v>
      </c>
      <c r="Y47" s="2780"/>
      <c r="Z47" s="2780"/>
      <c r="AA47" s="2780"/>
      <c r="AB47" s="2780"/>
      <c r="AC47" s="837"/>
      <c r="AD47" s="837"/>
      <c r="AE47" s="840" t="str">
        <f>AF46&amp;"-"&amp;AH46</f>
        <v>-</v>
      </c>
      <c r="AF47" s="2778"/>
      <c r="AG47" s="2619"/>
      <c r="AH47" s="2800"/>
      <c r="AI47" s="2619"/>
      <c r="AJ47" s="1951"/>
      <c r="AK47" s="2861"/>
      <c r="AM47" s="1012"/>
      <c r="AN47" s="1012" t="str">
        <f>IF(T47="","",T47)</f>
        <v/>
      </c>
      <c r="AO47" s="1012"/>
      <c r="AP47" s="1012"/>
      <c r="AQ47" s="1667">
        <v>0</v>
      </c>
    </row>
    <row customHeight="1" ht="21">
      <c r="A48" s="1875" t="s">
        <v>275</v>
      </c>
      <c r="B48" s="1875" t="s">
        <v>276</v>
      </c>
      <c r="C48" s="1875" t="s">
        <v>277</v>
      </c>
      <c r="D48" s="1875" t="s">
        <v>610</v>
      </c>
      <c r="E48" s="2771"/>
      <c r="F48" s="2771"/>
      <c r="G48" s="2771"/>
      <c r="H48" s="2771"/>
      <c r="I48" s="2798"/>
      <c r="J48" s="2768"/>
      <c r="K48" s="1875"/>
      <c r="L48" s="1876"/>
      <c r="P48" s="2769"/>
      <c r="Q48" s="2769"/>
      <c r="R48" s="868"/>
      <c r="S48" s="1790"/>
      <c r="T48" s="799" t="s">
        <v>601</v>
      </c>
      <c r="U48" s="879"/>
      <c r="V48" s="879"/>
      <c r="W48" s="879"/>
      <c r="X48" s="879"/>
      <c r="Y48" s="879"/>
      <c r="Z48" s="879"/>
      <c r="AA48" s="879"/>
      <c r="AB48" s="879"/>
      <c r="AC48" s="879"/>
      <c r="AD48" s="879"/>
      <c r="AE48" s="879"/>
      <c r="AF48" s="879"/>
      <c r="AG48" s="879"/>
      <c r="AH48" s="879"/>
      <c r="AI48" s="879"/>
      <c r="AJ48" s="879"/>
      <c r="AK48" s="1770" t="s">
        <v>602</v>
      </c>
      <c r="AM48" s="1012"/>
      <c r="AN48" s="1012" t="str">
        <f>IF(T48="","",T48)</f>
        <v>Добавить значение признака дифференциации</v>
      </c>
      <c r="AO48" s="1012"/>
      <c r="AP48" s="1012"/>
      <c r="AQ48" s="1667">
        <v>20</v>
      </c>
    </row>
    <row customHeight="1" ht="22.049999999999997">
      <c r="A49" s="1875" t="s">
        <v>275</v>
      </c>
      <c r="B49" s="1875" t="s">
        <v>276</v>
      </c>
      <c r="C49" s="1875" t="s">
        <v>277</v>
      </c>
      <c r="D49" s="1875" t="s">
        <v>610</v>
      </c>
      <c r="E49" s="2771"/>
      <c r="F49" s="2771"/>
      <c r="G49" s="2771"/>
      <c r="H49" s="2771"/>
      <c r="I49" s="2768"/>
      <c r="J49" s="1875"/>
      <c r="K49" s="1875"/>
      <c r="L49" s="1876"/>
      <c r="P49" s="2769"/>
      <c r="Q49" s="1866"/>
      <c r="R49" s="868"/>
      <c r="S49" s="1790"/>
      <c r="T49" s="877" t="s">
        <v>530</v>
      </c>
      <c r="U49" s="879"/>
      <c r="V49" s="879"/>
      <c r="W49" s="879"/>
      <c r="X49" s="879"/>
      <c r="Y49" s="879"/>
      <c r="Z49" s="879"/>
      <c r="AA49" s="879"/>
      <c r="AB49" s="878"/>
      <c r="AC49" s="879"/>
      <c r="AD49" s="879"/>
      <c r="AE49" s="879"/>
      <c r="AF49" s="879"/>
      <c r="AG49" s="879"/>
      <c r="AH49" s="879"/>
      <c r="AI49" s="878"/>
      <c r="AJ49" s="879"/>
      <c r="AK49" s="1952"/>
      <c r="AM49" s="1012"/>
      <c r="AN49" s="1012" t="str">
        <f>IF(T49="","",T49)</f>
        <v>Добавить группу потребителей</v>
      </c>
      <c r="AO49" s="1012"/>
      <c r="AP49" s="1012"/>
      <c r="AQ49" s="1667">
        <v>21</v>
      </c>
    </row>
    <row customHeight="1" ht="22.049999999999997">
      <c r="A50" s="1875" t="s">
        <v>275</v>
      </c>
      <c r="B50" s="1875" t="s">
        <v>276</v>
      </c>
      <c r="C50" s="1875" t="s">
        <v>277</v>
      </c>
      <c r="D50" s="1875" t="s">
        <v>610</v>
      </c>
      <c r="E50" s="2771"/>
      <c r="F50" s="2771"/>
      <c r="G50" s="2771"/>
      <c r="H50" s="2770"/>
      <c r="I50" s="1875"/>
      <c r="J50" s="1875"/>
      <c r="K50" s="1875"/>
      <c r="L50" s="1876"/>
      <c r="M50" s="1877"/>
      <c r="N50" s="1877"/>
      <c r="O50" s="1049"/>
      <c r="P50" s="872"/>
      <c r="Q50" s="887"/>
      <c r="R50" s="867"/>
      <c r="S50" s="1790"/>
      <c r="T50" s="884" t="s">
        <v>603</v>
      </c>
      <c r="U50" s="879"/>
      <c r="V50" s="879"/>
      <c r="W50" s="879"/>
      <c r="X50" s="879"/>
      <c r="Y50" s="879"/>
      <c r="Z50" s="879"/>
      <c r="AA50" s="879"/>
      <c r="AB50" s="878"/>
      <c r="AC50" s="879"/>
      <c r="AD50" s="879"/>
      <c r="AE50" s="879"/>
      <c r="AF50" s="879"/>
      <c r="AG50" s="879"/>
      <c r="AH50" s="879"/>
      <c r="AI50" s="878"/>
      <c r="AJ50" s="879"/>
      <c r="AK50" s="815"/>
      <c r="AM50" s="1012"/>
      <c r="AN50" s="1012" t="str">
        <f>IF(T50="","",T50)</f>
        <v>Добавить наименование признака дифференциации</v>
      </c>
      <c r="AO50" s="1012"/>
      <c r="AP50" s="1012"/>
      <c r="AQ50" s="1667">
        <v>21</v>
      </c>
    </row>
    <row s="46890" customFormat="1" customHeight="1" ht="0">
      <c r="A51" s="1855" t="s">
        <v>275</v>
      </c>
      <c r="B51" s="1855" t="s">
        <v>276</v>
      </c>
      <c r="C51" s="1826"/>
      <c r="D51" s="1826"/>
      <c r="E51" s="2771"/>
      <c r="F51" s="2770"/>
      <c r="G51" s="1826"/>
      <c r="H51" s="1826"/>
      <c r="I51" s="1826"/>
      <c r="J51" s="1826"/>
      <c r="K51" s="1826"/>
      <c r="L51" s="1938"/>
      <c r="M51" s="1833"/>
      <c r="N51" s="1833"/>
      <c r="P51" s="1828"/>
      <c r="Q51" s="1829"/>
      <c r="R51" s="1828"/>
      <c r="S51" s="1834"/>
      <c r="T51" s="1837" t="s">
        <v>321</v>
      </c>
      <c r="U51" s="1836"/>
      <c r="V51" s="1836"/>
      <c r="W51" s="1836"/>
      <c r="X51" s="1836"/>
      <c r="Y51" s="1836"/>
      <c r="Z51" s="1836"/>
      <c r="AA51" s="1836"/>
      <c r="AB51" s="1836"/>
      <c r="AC51" s="1836"/>
      <c r="AD51" s="1836"/>
      <c r="AE51" s="1836"/>
      <c r="AF51" s="1836"/>
      <c r="AG51" s="1836"/>
      <c r="AH51" s="1836"/>
      <c r="AI51" s="1836"/>
      <c r="AJ51" s="1836"/>
      <c r="AK51" s="1836"/>
      <c r="AM51" s="1301"/>
      <c r="AN51" s="1301" t="str">
        <f>IF(T51="","",T51)</f>
        <v>Добавить централизованную систему для дифференциации</v>
      </c>
      <c r="AO51" s="1301"/>
      <c r="AP51" s="1301"/>
      <c r="AQ51" s="1030">
        <v>0</v>
      </c>
    </row>
    <row s="46890" customFormat="1" customHeight="1" ht="0">
      <c r="A52" s="1855" t="s">
        <v>275</v>
      </c>
      <c r="B52" s="1855"/>
      <c r="C52" s="1855"/>
      <c r="D52" s="1855"/>
      <c r="E52" s="2770"/>
      <c r="F52" s="1855"/>
      <c r="G52" s="1855"/>
      <c r="H52" s="1855"/>
      <c r="I52" s="1855"/>
      <c r="J52" s="1855"/>
      <c r="K52" s="1855"/>
      <c r="L52" s="1858"/>
      <c r="M52" s="1833"/>
      <c r="N52" s="1833"/>
      <c r="O52" s="1030"/>
      <c r="P52" s="892"/>
      <c r="Q52" s="1856"/>
      <c r="R52" s="892"/>
      <c r="S52" s="1834"/>
      <c r="T52" s="1837" t="s">
        <v>385</v>
      </c>
      <c r="U52" s="1836"/>
      <c r="V52" s="1836"/>
      <c r="W52" s="1836"/>
      <c r="X52" s="1836"/>
      <c r="Y52" s="1836"/>
      <c r="Z52" s="1836"/>
      <c r="AA52" s="1836"/>
      <c r="AB52" s="1836"/>
      <c r="AC52" s="1836"/>
      <c r="AD52" s="1836"/>
      <c r="AE52" s="1836"/>
      <c r="AF52" s="1836"/>
      <c r="AG52" s="1836"/>
      <c r="AH52" s="1836"/>
      <c r="AI52" s="1836"/>
      <c r="AJ52" s="1836"/>
      <c r="AK52" s="1836"/>
      <c r="AM52" s="1012"/>
      <c r="AN52" s="1012" t="str">
        <f>IF(T52="","",T52)</f>
        <v>Добавить территорию для дифференциации</v>
      </c>
      <c r="AO52" s="1012"/>
      <c r="AP52" s="1012"/>
      <c r="AQ52" s="1023">
        <v>0</v>
      </c>
    </row>
    <row s="46890" customFormat="1" customHeight="1" ht="0">
      <c r="A53" s="1826"/>
      <c r="B53" s="1826"/>
      <c r="C53" s="1826"/>
      <c r="D53" s="1826"/>
      <c r="E53" s="1855"/>
      <c r="F53" s="1826"/>
      <c r="G53" s="1826"/>
      <c r="H53" s="1826"/>
      <c r="I53" s="1826"/>
      <c r="J53" s="1826"/>
      <c r="K53" s="1826"/>
      <c r="L53" s="1938"/>
      <c r="M53" s="1833"/>
      <c r="N53" s="1833"/>
      <c r="P53" s="1828"/>
      <c r="Q53" s="1829"/>
      <c r="R53" s="1828"/>
      <c r="S53" s="1834"/>
      <c r="T53" s="1837" t="s">
        <v>386</v>
      </c>
      <c r="U53" s="1836"/>
      <c r="V53" s="1836"/>
      <c r="W53" s="1836"/>
      <c r="X53" s="1836"/>
      <c r="Y53" s="1836"/>
      <c r="Z53" s="1836"/>
      <c r="AA53" s="1836"/>
      <c r="AB53" s="1836"/>
      <c r="AC53" s="1836"/>
      <c r="AD53" s="1836"/>
      <c r="AE53" s="1836"/>
      <c r="AF53" s="1836"/>
      <c r="AG53" s="1836"/>
      <c r="AH53" s="1836"/>
      <c r="AI53" s="1836"/>
      <c r="AJ53" s="1836"/>
      <c r="AK53" s="1836"/>
      <c r="AM53" s="1301"/>
      <c r="AN53" s="1301" t="str">
        <f>IF(T53="","",T53)</f>
        <v>Добавить наименование тарифа</v>
      </c>
      <c r="AO53" s="1301"/>
      <c r="AP53" s="1301"/>
      <c r="AQ53" s="1030">
        <v>0</v>
      </c>
    </row>
    <row customHeight="1" ht="11.549999999999999">
      <c r="M54" s="1672"/>
      <c r="N54" s="1672"/>
      <c r="O54" s="1049"/>
      <c r="P54" s="1667"/>
      <c r="Q54" s="1667"/>
      <c r="R54" s="1667"/>
      <c r="S54" s="1667"/>
      <c r="AL54" s="1667"/>
      <c r="AM54" s="1667"/>
      <c r="AN54" s="1667"/>
      <c r="AO54" s="1667"/>
      <c r="AP54" s="1667"/>
      <c r="AQ54" s="1667">
        <v>11</v>
      </c>
    </row>
    <row customHeight="1" ht="14.699999999999998">
      <c r="O55" s="1049"/>
      <c r="S55" s="1765"/>
      <c r="T55" s="2797"/>
      <c r="U55" s="2797"/>
      <c r="V55" s="2797"/>
      <c r="W55" s="2797"/>
      <c r="X55" s="2797"/>
      <c r="Y55" s="2797"/>
      <c r="Z55" s="2797"/>
      <c r="AA55" s="2797"/>
      <c r="AB55" s="2797"/>
      <c r="AC55" s="2797"/>
      <c r="AD55" s="2797"/>
      <c r="AE55" s="2797"/>
      <c r="AF55" s="2797"/>
      <c r="AG55" s="2797"/>
      <c r="AH55" s="2797"/>
      <c r="AI55" s="2797"/>
      <c r="AJ55" s="2797"/>
      <c r="AK55" s="2797"/>
      <c r="AQ55" s="1667">
        <v>14</v>
      </c>
    </row>
    <row customHeight="1" ht="14.699999999999998">
      <c r="O56" s="1049"/>
      <c r="AQ56" s="1667">
        <v>14</v>
      </c>
    </row>
    <row customHeight="1" ht="14.699999999999998">
      <c r="O57" s="1049"/>
      <c r="S57" s="1765"/>
      <c r="T57" s="2797"/>
      <c r="U57" s="2797"/>
      <c r="V57" s="2797"/>
      <c r="W57" s="2797"/>
      <c r="X57" s="2797"/>
      <c r="Y57" s="2797"/>
      <c r="Z57" s="2797"/>
      <c r="AA57" s="2797"/>
      <c r="AB57" s="2797"/>
      <c r="AC57" s="2797"/>
      <c r="AD57" s="2797"/>
      <c r="AE57" s="2797"/>
      <c r="AF57" s="2797"/>
      <c r="AG57" s="2797"/>
      <c r="AH57" s="2797"/>
      <c r="AI57" s="2797"/>
      <c r="AJ57" s="2797"/>
      <c r="AK57" s="2797"/>
      <c r="AQ57" s="1667">
        <v>14</v>
      </c>
    </row>
    <row customHeight="1" ht="22.5" hidden="1">
      <c r="A58" s="1672" t="s">
        <v>84</v>
      </c>
      <c r="B58" s="1672">
        <v>0</v>
      </c>
      <c r="C58" s="1672">
        <v>0</v>
      </c>
      <c r="D58" s="1672">
        <v>0</v>
      </c>
      <c r="E58" s="1672">
        <v>0</v>
      </c>
      <c r="F58" s="1672">
        <v>0</v>
      </c>
      <c r="G58" s="1672">
        <v>0</v>
      </c>
      <c r="H58" s="1672">
        <v>0</v>
      </c>
      <c r="I58" s="1672">
        <v>0</v>
      </c>
      <c r="J58" s="1672">
        <v>0</v>
      </c>
      <c r="K58" s="1672">
        <v>0</v>
      </c>
      <c r="L58" s="1933">
        <v>0</v>
      </c>
      <c r="M58" s="1874">
        <v>0</v>
      </c>
      <c r="N58" s="1874">
        <v>0</v>
      </c>
      <c r="O58" s="1874">
        <v>0</v>
      </c>
      <c r="P58" s="1863">
        <v>3</v>
      </c>
      <c r="Q58" s="856">
        <v>3</v>
      </c>
      <c r="R58" s="856">
        <v>3</v>
      </c>
      <c r="S58" s="1093">
        <v>12</v>
      </c>
      <c r="T58" s="1667">
        <v>35</v>
      </c>
      <c r="U58" s="1667">
        <v>0</v>
      </c>
      <c r="V58" s="1667">
        <v>0</v>
      </c>
      <c r="W58" s="1667">
        <v>0</v>
      </c>
      <c r="X58" s="1667">
        <v>0</v>
      </c>
      <c r="Y58" s="1667">
        <v>0</v>
      </c>
      <c r="Z58" s="1667">
        <v>0</v>
      </c>
      <c r="AA58" s="1667">
        <v>0</v>
      </c>
      <c r="AB58" s="1667">
        <v>0</v>
      </c>
      <c r="AC58" s="1667">
        <v>24</v>
      </c>
      <c r="AD58" s="1667">
        <v>24</v>
      </c>
      <c r="AE58" s="1667">
        <v>24</v>
      </c>
      <c r="AF58" s="1667">
        <v>11</v>
      </c>
      <c r="AG58" s="1667">
        <v>3</v>
      </c>
      <c r="AH58" s="1667">
        <v>11</v>
      </c>
      <c r="AI58" s="1667">
        <v>0</v>
      </c>
      <c r="AJ58" s="1667">
        <v>4</v>
      </c>
      <c r="AK58" s="1667">
        <v>115</v>
      </c>
      <c r="AL58" s="1023">
        <v>10</v>
      </c>
      <c r="AM58" s="1023">
        <v>10</v>
      </c>
      <c r="AN58" s="1023">
        <v>10</v>
      </c>
      <c r="AO58" s="1023">
        <v>10</v>
      </c>
      <c r="AP58" s="1023">
        <v>10</v>
      </c>
      <c r="AQ58" s="1667">
        <v>23</v>
      </c>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59BCC3D-7E1A-D64F-F90D-BC0871881A23}"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46889" width="10.57421875" hidden="1"/>
    <col min="2" max="2" style="46889" width="11.00390625" hidden="1" customWidth="1"/>
    <col min="3" max="3" style="46889" width="10.57421875" hidden="1"/>
    <col min="4" max="4" style="46889" width="11.8515625" hidden="1" customWidth="1"/>
    <col min="5" max="5" style="46889" width="10.00390625" hidden="1" customWidth="1"/>
    <col min="6" max="6" style="46889" width="8.7109375" hidden="1" customWidth="1"/>
    <col min="7" max="7" style="46889" width="7.57421875" hidden="1" customWidth="1"/>
    <col min="8" max="8" style="46889" width="11.421875" hidden="1" customWidth="1"/>
    <col min="9" max="9" style="46889" width="14.140625" hidden="1" customWidth="1"/>
    <col min="10" max="10" style="46889" width="9.8515625" hidden="1" customWidth="1"/>
    <col min="11" max="11" style="46889" width="14.7109375" hidden="1" customWidth="1"/>
    <col min="12" max="12" style="47738" width="19.140625" hidden="1" customWidth="1"/>
    <col min="13" max="14" style="47739" width="12.28125" hidden="1" customWidth="1"/>
    <col min="15" max="15" style="47739" width="23.421875" hidden="1" customWidth="1"/>
    <col min="16" max="16" style="47740" width="3.00390625" customWidth="1"/>
    <col min="17" max="18" style="47741" width="3.00390625" customWidth="1"/>
    <col min="19" max="19" style="47742" width="12.00390625" customWidth="1"/>
    <col min="20" max="20" style="46808" width="35.00390625" customWidth="1"/>
    <col min="21" max="21" style="46808" width="0.140625" customWidth="1"/>
    <col min="22" max="24" style="46808" width="24.7109375" hidden="1" customWidth="1"/>
    <col min="25" max="25" style="46808" width="11.7109375" hidden="1" customWidth="1"/>
    <col min="26" max="26" style="46808" width="3.7109375" hidden="1" customWidth="1"/>
    <col min="27" max="27" style="46808" width="11.7109375" hidden="1" customWidth="1"/>
    <col min="28" max="28" style="46808" width="8.57421875" hidden="1" customWidth="1"/>
    <col min="29" max="29" style="46808" width="24.7109375" customWidth="1"/>
    <col min="30" max="31" style="46808" width="24.00390625" customWidth="1"/>
    <col min="32" max="32" style="46808" width="11.00390625" customWidth="1"/>
    <col min="33" max="33" style="46808" width="3.7109375" customWidth="1"/>
    <col min="34" max="34" style="46808" width="11.00390625" customWidth="1"/>
    <col min="35" max="35" style="46808" width="8.57421875" hidden="1" customWidth="1"/>
    <col min="36" max="36" style="46808" width="4.00390625" customWidth="1"/>
    <col min="37" max="37" style="46808" width="115.00390625" customWidth="1"/>
    <col min="38" max="42" style="46890" width="10.00390625" customWidth="1"/>
    <col min="43" max="43" style="46808" width="10.57421875" hidden="1"/>
  </cols>
  <sheetData>
    <row customHeight="1" ht="22.5" hidden="1">
      <c r="X1" s="839"/>
      <c r="Y1" s="839"/>
      <c r="AE1" s="839"/>
      <c r="AF1" s="839"/>
      <c r="AQ1" s="1667" t="s">
        <v>14</v>
      </c>
    </row>
    <row customHeight="1" ht="23.25" hidden="1">
      <c r="A2" s="1875"/>
      <c r="B2" s="1875"/>
      <c r="C2" s="1875"/>
      <c r="D2" s="1875"/>
      <c r="E2" s="2770">
        <v>1</v>
      </c>
      <c r="F2" s="1875"/>
      <c r="G2" s="1875"/>
      <c r="H2" s="1875"/>
      <c r="I2" s="1875"/>
      <c r="J2" s="1875"/>
      <c r="K2" s="1875"/>
      <c r="L2" s="1876"/>
      <c r="M2" s="1877"/>
      <c r="N2" s="1877"/>
      <c r="O2" s="1877"/>
      <c r="P2" s="873"/>
      <c r="Q2" s="872"/>
      <c r="R2" s="867"/>
      <c r="S2" s="1969">
        <f>INDEX(PT_DIFFERENTIATION_NUM_NTAR,MATCH(A2,PT_DIFFERENTIATION_NTAR_ID,0))</f>
      </c>
      <c r="T2" s="810" t="s">
        <v>179</v>
      </c>
      <c r="U2" s="812"/>
      <c r="V2" s="2754"/>
      <c r="W2" s="2755"/>
      <c r="X2" s="2755"/>
      <c r="Y2" s="2755"/>
      <c r="Z2" s="2755"/>
      <c r="AA2" s="2755"/>
      <c r="AB2" s="2756"/>
      <c r="AC2" s="2754">
        <f>INDEX(PT_DIFFERENTIATION_NTAR,MATCH(A2,PT_DIFFERENTIATION_NTAR_ID,0))</f>
      </c>
      <c r="AD2" s="2755"/>
      <c r="AE2" s="2755"/>
      <c r="AF2" s="2755"/>
      <c r="AG2" s="2755"/>
      <c r="AH2" s="2755"/>
      <c r="AI2" s="2755"/>
      <c r="AJ2" s="2756"/>
      <c r="AK2"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1012"/>
      <c r="AN2" s="1012" t="str">
        <f>IF(T2="","",T2)</f>
        <v>Наименование тарифа</v>
      </c>
      <c r="AO2" s="1012"/>
      <c r="AP2" s="1012"/>
      <c r="AQ2" s="1667">
        <v>0</v>
      </c>
    </row>
    <row customHeight="1" ht="23.25" hidden="1">
      <c r="A3" s="1875"/>
      <c r="B3" s="1875"/>
      <c r="C3" s="1875"/>
      <c r="D3" s="1875"/>
      <c r="E3" s="2771"/>
      <c r="F3" s="2770">
        <v>1</v>
      </c>
      <c r="G3" s="1875"/>
      <c r="H3" s="1875"/>
      <c r="I3" s="1875"/>
      <c r="J3" s="1875"/>
      <c r="K3" s="1875"/>
      <c r="L3" s="1876"/>
      <c r="M3" s="1877"/>
      <c r="N3" s="1877"/>
      <c r="O3" s="1877"/>
      <c r="P3" s="1965"/>
      <c r="Q3" s="864"/>
      <c r="R3" s="865"/>
      <c r="S3" s="1969">
        <f>INDEX(PT_DIFFERENTIATION_NUM_TER,MATCH(B3,PT_DIFFERENTIATION_TER_ID,0))</f>
      </c>
      <c r="T3" s="820" t="s">
        <v>515</v>
      </c>
      <c r="U3" s="812"/>
      <c r="V3" s="2754"/>
      <c r="W3" s="2755"/>
      <c r="X3" s="2755"/>
      <c r="Y3" s="2755"/>
      <c r="Z3" s="2755"/>
      <c r="AA3" s="2755"/>
      <c r="AB3" s="2756"/>
      <c r="AC3" s="2754">
        <f>INDEX(PT_DIFFERENTIATION_TER,MATCH(B3,PT_DIFFERENTIATION_TER_ID,0))</f>
      </c>
      <c r="AD3" s="2755"/>
      <c r="AE3" s="2755"/>
      <c r="AF3" s="2755"/>
      <c r="AG3" s="2755"/>
      <c r="AH3" s="2755"/>
      <c r="AI3" s="2755"/>
      <c r="AJ3" s="2756"/>
      <c r="AK3" s="1770" t="s">
        <v>516</v>
      </c>
      <c r="AM3" s="1012"/>
      <c r="AN3" s="1012" t="str">
        <f>IF(T3="","",T3)</f>
        <v>Территория действия тарифа</v>
      </c>
      <c r="AO3" s="1012"/>
      <c r="AP3" s="1012"/>
      <c r="AQ3" s="1667">
        <v>0</v>
      </c>
    </row>
    <row customHeight="1" ht="23.25" hidden="1">
      <c r="A4" s="1875"/>
      <c r="B4" s="1875"/>
      <c r="C4" s="1875"/>
      <c r="D4" s="1875"/>
      <c r="E4" s="2771"/>
      <c r="F4" s="2771"/>
      <c r="G4" s="2770">
        <v>1</v>
      </c>
      <c r="H4" s="1875"/>
      <c r="I4" s="1875"/>
      <c r="J4" s="1875"/>
      <c r="K4" s="1875"/>
      <c r="L4" s="1876"/>
      <c r="M4" s="1877"/>
      <c r="N4" s="1877"/>
      <c r="O4" s="1877"/>
      <c r="P4" s="866"/>
      <c r="Q4" s="864"/>
      <c r="R4" s="865"/>
      <c r="S4" s="1969">
        <f>INDEX(PT_DIFFERENTIATION_NUM_CS,MATCH(C4,PT_DIFFERENTIATION_CS_ID,0))</f>
      </c>
      <c r="T4" s="821" t="s">
        <v>596</v>
      </c>
      <c r="U4" s="812"/>
      <c r="V4" s="2754"/>
      <c r="W4" s="2755"/>
      <c r="X4" s="2755"/>
      <c r="Y4" s="2755"/>
      <c r="Z4" s="2755"/>
      <c r="AA4" s="2755"/>
      <c r="AB4" s="2756"/>
      <c r="AC4" s="2754">
        <f>INDEX(PT_DIFFERENTIATION_CS,MATCH(C4,PT_DIFFERENTIATION_CS_ID,0))</f>
      </c>
      <c r="AD4" s="2755"/>
      <c r="AE4" s="2755"/>
      <c r="AF4" s="2755"/>
      <c r="AG4" s="2755"/>
      <c r="AH4" s="2755"/>
      <c r="AI4" s="2755"/>
      <c r="AJ4" s="2756"/>
      <c r="AK4" s="1770" t="s">
        <v>597</v>
      </c>
      <c r="AM4" s="1012"/>
      <c r="AN4" s="1012" t="str">
        <f>IF(T4="","",T4)</f>
        <v>Наименование централизованной системы холодного водоснабжения</v>
      </c>
      <c r="AO4" s="1012"/>
      <c r="AP4" s="1012"/>
      <c r="AQ4" s="1667">
        <v>0</v>
      </c>
    </row>
    <row customHeight="1" ht="23.25" hidden="1">
      <c r="A5" s="1875"/>
      <c r="B5" s="1875"/>
      <c r="C5" s="1875"/>
      <c r="D5" s="1875"/>
      <c r="E5" s="2771"/>
      <c r="F5" s="2771"/>
      <c r="G5" s="2771"/>
      <c r="H5" s="2771"/>
      <c r="I5" s="2768">
        <f>S4&amp;".1"</f>
      </c>
      <c r="J5" s="1875"/>
      <c r="K5" s="1875"/>
      <c r="L5" s="1876"/>
      <c r="P5" s="2769">
        <v>1</v>
      </c>
      <c r="Q5" s="1962"/>
      <c r="R5" s="868"/>
      <c r="S5" s="1969">
        <f>$I5</f>
      </c>
      <c r="T5" s="797" t="s">
        <v>598</v>
      </c>
      <c r="U5" s="812"/>
      <c r="V5" s="2862"/>
      <c r="W5" s="2863"/>
      <c r="X5" s="2863"/>
      <c r="Y5" s="2863"/>
      <c r="Z5" s="2863"/>
      <c r="AA5" s="2863"/>
      <c r="AB5" s="2864"/>
      <c r="AC5" s="2865"/>
      <c r="AD5" s="2866"/>
      <c r="AE5" s="2866"/>
      <c r="AF5" s="2866"/>
      <c r="AG5" s="2866"/>
      <c r="AH5" s="2866"/>
      <c r="AI5" s="2866"/>
      <c r="AJ5" s="2867"/>
      <c r="AK5" s="1770" t="s">
        <v>599</v>
      </c>
      <c r="AM5" s="1012"/>
      <c r="AN5" s="1012" t="str">
        <f>IF(T5="","",T5)</f>
        <v>Наименование признака дифференциации</v>
      </c>
      <c r="AO5" s="1012"/>
      <c r="AP5" s="1012"/>
      <c r="AQ5" s="1667">
        <v>0</v>
      </c>
    </row>
    <row customHeight="1" ht="23.25" hidden="1">
      <c r="A6" s="1875"/>
      <c r="B6" s="1875"/>
      <c r="C6" s="1875"/>
      <c r="D6" s="1875"/>
      <c r="E6" s="2771"/>
      <c r="F6" s="2771"/>
      <c r="G6" s="2771"/>
      <c r="H6" s="2771"/>
      <c r="I6" s="2798"/>
      <c r="J6" s="2768">
        <f>I5&amp;".1"</f>
      </c>
      <c r="K6" s="1875"/>
      <c r="L6" s="1876" t="s">
        <v>524</v>
      </c>
      <c r="P6" s="2769"/>
      <c r="Q6" s="2769">
        <v>1</v>
      </c>
      <c r="R6" s="869"/>
      <c r="S6" s="1969">
        <f>$J6</f>
      </c>
      <c r="T6" s="798" t="s">
        <v>525</v>
      </c>
      <c r="U6" s="812"/>
      <c r="V6" s="2757"/>
      <c r="W6" s="2758"/>
      <c r="X6" s="2758"/>
      <c r="Y6" s="2758"/>
      <c r="Z6" s="2758"/>
      <c r="AA6" s="2758"/>
      <c r="AB6" s="2759"/>
      <c r="AC6" s="2757"/>
      <c r="AD6" s="2758"/>
      <c r="AE6" s="2758"/>
      <c r="AF6" s="2758"/>
      <c r="AG6" s="2758"/>
      <c r="AH6" s="2758"/>
      <c r="AI6" s="2758"/>
      <c r="AJ6" s="2759"/>
      <c r="AK6" s="1819" t="s">
        <v>600</v>
      </c>
      <c r="AM6" s="1012"/>
      <c r="AN6" s="1012" t="str">
        <f>IF(T6="","",T6)</f>
        <v>Группа потребителей</v>
      </c>
      <c r="AO6" s="1012"/>
      <c r="AP6" s="1012"/>
      <c r="AQ6" s="1667">
        <v>0</v>
      </c>
    </row>
    <row customHeight="1" ht="23.25" hidden="1">
      <c r="A7" s="1875"/>
      <c r="B7" s="1875"/>
      <c r="C7" s="1875"/>
      <c r="D7" s="1875"/>
      <c r="E7" s="2771"/>
      <c r="F7" s="2771"/>
      <c r="G7" s="2771"/>
      <c r="H7" s="2771"/>
      <c r="I7" s="2798"/>
      <c r="J7" s="2798"/>
      <c r="K7" s="2768">
        <f>J6&amp;".1"</f>
      </c>
      <c r="L7" s="1876"/>
      <c r="P7" s="2769"/>
      <c r="Q7" s="2769"/>
      <c r="R7" s="869">
        <v>1</v>
      </c>
      <c r="S7" s="1969">
        <f>$K7</f>
      </c>
      <c r="T7" s="1949"/>
      <c r="U7" s="812"/>
      <c r="V7" s="1263"/>
      <c r="W7" s="1263"/>
      <c r="X7" s="1769"/>
      <c r="Y7" s="2777"/>
      <c r="Z7" s="2619" t="s">
        <v>63</v>
      </c>
      <c r="AA7" s="2777"/>
      <c r="AB7" s="2619" t="s">
        <v>63</v>
      </c>
      <c r="AC7" s="1263"/>
      <c r="AD7" s="1263"/>
      <c r="AE7" s="1769"/>
      <c r="AF7" s="2777"/>
      <c r="AG7" s="2619" t="s">
        <v>63</v>
      </c>
      <c r="AH7" s="2799"/>
      <c r="AI7" s="2619" t="s">
        <v>63</v>
      </c>
      <c r="AJ7" s="1950"/>
      <c r="AK7" s="28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023">
        <f>STRCHECKDATE(V8:AJ8)</f>
      </c>
      <c r="AM7" s="1012"/>
      <c r="AN7" s="1012" t="str">
        <f>IF(T7="","",T7)</f>
        <v/>
      </c>
      <c r="AO7" s="1012"/>
      <c r="AP7" s="1012"/>
      <c r="AQ7" s="1667">
        <v>0</v>
      </c>
    </row>
    <row customHeight="1" ht="14.25" hidden="1">
      <c r="A8" s="1875"/>
      <c r="B8" s="1875"/>
      <c r="C8" s="1875"/>
      <c r="D8" s="1875"/>
      <c r="E8" s="2771"/>
      <c r="F8" s="2771"/>
      <c r="G8" s="2771"/>
      <c r="H8" s="2771"/>
      <c r="I8" s="2798"/>
      <c r="J8" s="2798"/>
      <c r="K8" s="2768"/>
      <c r="L8" s="1876"/>
      <c r="P8" s="2769"/>
      <c r="Q8" s="2769"/>
      <c r="R8" s="869"/>
      <c r="S8" s="1968"/>
      <c r="T8" s="812"/>
      <c r="U8" s="812"/>
      <c r="V8" s="837"/>
      <c r="W8" s="837"/>
      <c r="X8" s="840" t="str">
        <f>Y7&amp;"-"&amp;AA7</f>
        <v>-</v>
      </c>
      <c r="Y8" s="2778"/>
      <c r="Z8" s="2619"/>
      <c r="AA8" s="2778"/>
      <c r="AB8" s="2619"/>
      <c r="AC8" s="837"/>
      <c r="AD8" s="837"/>
      <c r="AE8" s="840" t="str">
        <f>AF7&amp;"-"&amp;AH7</f>
        <v>-</v>
      </c>
      <c r="AF8" s="2778"/>
      <c r="AG8" s="2619"/>
      <c r="AH8" s="2800"/>
      <c r="AI8" s="2619"/>
      <c r="AJ8" s="1951"/>
      <c r="AK8" s="2861"/>
      <c r="AM8" s="1012"/>
      <c r="AN8" s="1012" t="str">
        <f>IF(T8="","",T8)</f>
        <v/>
      </c>
      <c r="AO8" s="1012"/>
      <c r="AP8" s="1012"/>
      <c r="AQ8" s="1667">
        <v>0</v>
      </c>
    </row>
    <row customHeight="1" ht="21" hidden="1">
      <c r="A9" s="1875"/>
      <c r="B9" s="1875"/>
      <c r="C9" s="1875"/>
      <c r="D9" s="1875"/>
      <c r="E9" s="2771"/>
      <c r="F9" s="2771"/>
      <c r="G9" s="2771"/>
      <c r="H9" s="2771"/>
      <c r="I9" s="2798"/>
      <c r="J9" s="2768"/>
      <c r="K9" s="1875"/>
      <c r="L9" s="1876"/>
      <c r="P9" s="2769"/>
      <c r="Q9" s="2769"/>
      <c r="R9" s="868"/>
      <c r="S9" s="1790"/>
      <c r="T9" s="799" t="s">
        <v>601</v>
      </c>
      <c r="U9" s="879"/>
      <c r="V9" s="879"/>
      <c r="W9" s="879"/>
      <c r="X9" s="879"/>
      <c r="Y9" s="879"/>
      <c r="Z9" s="879"/>
      <c r="AA9" s="879"/>
      <c r="AB9" s="879"/>
      <c r="AC9" s="879"/>
      <c r="AD9" s="879"/>
      <c r="AE9" s="879"/>
      <c r="AF9" s="879"/>
      <c r="AG9" s="879"/>
      <c r="AH9" s="879"/>
      <c r="AI9" s="879"/>
      <c r="AJ9" s="879"/>
      <c r="AK9" s="1770" t="s">
        <v>602</v>
      </c>
      <c r="AM9" s="1012"/>
      <c r="AN9" s="1012" t="str">
        <f>IF(T9="","",T9)</f>
        <v>Добавить значение признака дифференциации</v>
      </c>
      <c r="AO9" s="1012"/>
      <c r="AP9" s="1012"/>
      <c r="AQ9" s="1667">
        <v>0</v>
      </c>
    </row>
    <row customHeight="1" ht="21" hidden="1">
      <c r="A10" s="1875"/>
      <c r="B10" s="1875"/>
      <c r="C10" s="1875"/>
      <c r="D10" s="1875"/>
      <c r="E10" s="2771"/>
      <c r="F10" s="2771"/>
      <c r="G10" s="2771"/>
      <c r="H10" s="2771"/>
      <c r="I10" s="2768"/>
      <c r="J10" s="1875"/>
      <c r="K10" s="1875"/>
      <c r="L10" s="1876"/>
      <c r="P10" s="2769"/>
      <c r="Q10" s="1962"/>
      <c r="R10" s="868"/>
      <c r="S10" s="1790"/>
      <c r="T10" s="877" t="s">
        <v>530</v>
      </c>
      <c r="U10" s="879"/>
      <c r="V10" s="879"/>
      <c r="W10" s="879"/>
      <c r="X10" s="879"/>
      <c r="Y10" s="879"/>
      <c r="Z10" s="879"/>
      <c r="AA10" s="879"/>
      <c r="AB10" s="878"/>
      <c r="AC10" s="879"/>
      <c r="AD10" s="879"/>
      <c r="AE10" s="879"/>
      <c r="AF10" s="879"/>
      <c r="AG10" s="879"/>
      <c r="AH10" s="879"/>
      <c r="AI10" s="878"/>
      <c r="AJ10" s="879"/>
      <c r="AK10" s="1952"/>
      <c r="AM10" s="1012"/>
      <c r="AN10" s="1012" t="str">
        <f>IF(T10="","",T10)</f>
        <v>Добавить группу потребителей</v>
      </c>
      <c r="AO10" s="1012"/>
      <c r="AP10" s="1012"/>
      <c r="AQ10" s="1667">
        <v>0</v>
      </c>
    </row>
    <row customHeight="1" ht="21" hidden="1">
      <c r="A11" s="1875"/>
      <c r="B11" s="1875"/>
      <c r="C11" s="1875"/>
      <c r="D11" s="1875"/>
      <c r="E11" s="2771"/>
      <c r="F11" s="2771"/>
      <c r="G11" s="2771"/>
      <c r="H11" s="2770"/>
      <c r="I11" s="1875"/>
      <c r="J11" s="1875"/>
      <c r="K11" s="1875"/>
      <c r="L11" s="1876"/>
      <c r="M11" s="1877"/>
      <c r="N11" s="1877"/>
      <c r="O11" s="1049"/>
      <c r="P11" s="872"/>
      <c r="Q11" s="887"/>
      <c r="R11" s="867"/>
      <c r="S11" s="1790"/>
      <c r="T11" s="884" t="s">
        <v>603</v>
      </c>
      <c r="U11" s="879"/>
      <c r="V11" s="879"/>
      <c r="W11" s="879"/>
      <c r="X11" s="879"/>
      <c r="Y11" s="879"/>
      <c r="Z11" s="879"/>
      <c r="AA11" s="879"/>
      <c r="AB11" s="878"/>
      <c r="AC11" s="879"/>
      <c r="AD11" s="879"/>
      <c r="AE11" s="879"/>
      <c r="AF11" s="879"/>
      <c r="AG11" s="879"/>
      <c r="AH11" s="879"/>
      <c r="AI11" s="878"/>
      <c r="AJ11" s="879"/>
      <c r="AK11" s="815"/>
      <c r="AM11" s="1012"/>
      <c r="AN11" s="1012" t="str">
        <f>IF(T11="","",T11)</f>
        <v>Добавить наименование признака дифференциации</v>
      </c>
      <c r="AO11" s="1012"/>
      <c r="AP11" s="1012"/>
      <c r="AQ11" s="1667">
        <v>0</v>
      </c>
    </row>
    <row s="46890" customFormat="1" customHeight="1" ht="14.25" hidden="1">
      <c r="A12" s="1855"/>
      <c r="B12" s="1855"/>
      <c r="C12" s="1826"/>
      <c r="D12" s="1826"/>
      <c r="E12" s="2771"/>
      <c r="F12" s="2770"/>
      <c r="G12" s="1826"/>
      <c r="H12" s="1826"/>
      <c r="I12" s="1826"/>
      <c r="J12" s="1826"/>
      <c r="K12" s="1826"/>
      <c r="L12" s="1970"/>
      <c r="M12" s="1833"/>
      <c r="N12" s="1833"/>
      <c r="P12" s="1828"/>
      <c r="Q12" s="1829"/>
      <c r="R12" s="1828"/>
      <c r="S12" s="1834"/>
      <c r="T12" s="1837" t="s">
        <v>321</v>
      </c>
      <c r="U12" s="1836"/>
      <c r="V12" s="1836"/>
      <c r="W12" s="1836"/>
      <c r="X12" s="1836"/>
      <c r="Y12" s="1836"/>
      <c r="Z12" s="1836"/>
      <c r="AA12" s="1836"/>
      <c r="AB12" s="1836"/>
      <c r="AC12" s="1836"/>
      <c r="AD12" s="1836"/>
      <c r="AE12" s="1836"/>
      <c r="AF12" s="1836"/>
      <c r="AG12" s="1836"/>
      <c r="AH12" s="1836"/>
      <c r="AI12" s="1836"/>
      <c r="AJ12" s="1836"/>
      <c r="AK12" s="1836"/>
      <c r="AM12" s="1301"/>
      <c r="AN12" s="1301" t="str">
        <f>IF(T12="","",T12)</f>
        <v>Добавить централизованную систему для дифференциации</v>
      </c>
      <c r="AO12" s="1301"/>
      <c r="AP12" s="1301"/>
      <c r="AQ12" s="1030">
        <v>0</v>
      </c>
    </row>
    <row s="46890" customFormat="1" customHeight="1" ht="14.25" hidden="1">
      <c r="A13" s="1855"/>
      <c r="B13" s="1855"/>
      <c r="C13" s="1855"/>
      <c r="D13" s="1855"/>
      <c r="E13" s="2770"/>
      <c r="F13" s="1855"/>
      <c r="G13" s="1855"/>
      <c r="H13" s="1855"/>
      <c r="I13" s="1855"/>
      <c r="J13" s="1855"/>
      <c r="K13" s="1855"/>
      <c r="L13" s="1858"/>
      <c r="M13" s="1833"/>
      <c r="N13" s="1833"/>
      <c r="O13" s="1030"/>
      <c r="P13" s="892"/>
      <c r="Q13" s="1856"/>
      <c r="R13" s="892"/>
      <c r="S13" s="1834"/>
      <c r="T13" s="1837" t="s">
        <v>385</v>
      </c>
      <c r="U13" s="1836"/>
      <c r="V13" s="1836"/>
      <c r="W13" s="1836"/>
      <c r="X13" s="1836"/>
      <c r="Y13" s="1836"/>
      <c r="Z13" s="1836"/>
      <c r="AA13" s="1836"/>
      <c r="AB13" s="1836"/>
      <c r="AC13" s="1836"/>
      <c r="AD13" s="1836"/>
      <c r="AE13" s="1836"/>
      <c r="AF13" s="1836"/>
      <c r="AG13" s="1836"/>
      <c r="AH13" s="1836"/>
      <c r="AI13" s="1836"/>
      <c r="AJ13" s="1836"/>
      <c r="AK13" s="1836"/>
      <c r="AM13" s="1012"/>
      <c r="AN13" s="1012" t="str">
        <f>IF(T13="","",T13)</f>
        <v>Добавить территорию для дифференциации</v>
      </c>
      <c r="AO13" s="1012"/>
      <c r="AP13" s="1012"/>
      <c r="AQ13" s="1023">
        <v>0</v>
      </c>
    </row>
    <row customHeight="1" ht="14.25" hidden="1">
      <c r="AB14" s="839"/>
      <c r="AI14" s="839"/>
      <c r="AQ14" s="1667">
        <v>0</v>
      </c>
    </row>
    <row customHeight="1" ht="14.25" hidden="1">
      <c r="AC15" s="1872"/>
      <c r="AD15" s="1872"/>
      <c r="AE15" s="1873"/>
      <c r="AF15" s="2779"/>
      <c r="AG15" s="2780" t="s">
        <v>63</v>
      </c>
      <c r="AH15" s="2779"/>
      <c r="AI15" s="2780" t="s">
        <v>63</v>
      </c>
      <c r="AQ15" s="1667">
        <v>0</v>
      </c>
    </row>
    <row customHeight="1" ht="14.25" hidden="1">
      <c r="AC16" s="1872"/>
      <c r="AD16" s="1872"/>
      <c r="AE16" s="840" t="str">
        <f>AF15&amp;"-"&amp;AH15</f>
        <v>-</v>
      </c>
      <c r="AF16" s="2780"/>
      <c r="AG16" s="2780"/>
      <c r="AH16" s="2780"/>
      <c r="AI16" s="2780"/>
      <c r="AQ16" s="1667">
        <v>0</v>
      </c>
    </row>
    <row customHeight="1" ht="14.25" hidden="1">
      <c r="AI17" s="839"/>
      <c r="AQ17" s="1667">
        <v>0</v>
      </c>
    </row>
    <row s="46889" customFormat="1" customHeight="1" ht="22.5" hidden="1">
      <c r="L18" s="1959"/>
      <c r="M18" s="1874"/>
      <c r="N18" s="1874"/>
      <c r="O18" s="1879" t="s">
        <v>533</v>
      </c>
      <c r="P18" s="1874"/>
      <c r="Q18" s="1883"/>
      <c r="R18" s="1883"/>
      <c r="S18" s="1241"/>
      <c r="Y18" s="1879"/>
      <c r="AA18" s="1879"/>
      <c r="AB18" s="1878"/>
      <c r="AF18" s="1879"/>
      <c r="AH18" s="1879"/>
      <c r="AI18" s="1878"/>
      <c r="AL18" s="1023"/>
      <c r="AM18" s="1023"/>
      <c r="AN18" s="1023"/>
      <c r="AO18" s="1023"/>
      <c r="AP18" s="1023"/>
      <c r="AQ18" s="1672">
        <v>0</v>
      </c>
    </row>
    <row s="46889" customFormat="1" customHeight="1" ht="14.25" hidden="1">
      <c r="L19" s="1959"/>
      <c r="M19" s="1874"/>
      <c r="N19" s="1874"/>
      <c r="O19" s="1874"/>
      <c r="P19" s="1874"/>
      <c r="Q19" s="1883"/>
      <c r="R19" s="1883"/>
      <c r="S19" s="1241"/>
      <c r="AB19" s="1878"/>
      <c r="AI19" s="1878"/>
      <c r="AL19" s="1023"/>
      <c r="AM19" s="1023"/>
      <c r="AN19" s="1023"/>
      <c r="AO19" s="1023"/>
      <c r="AP19" s="1023"/>
      <c r="AQ19" s="1672">
        <v>0</v>
      </c>
    </row>
    <row s="46889" customFormat="1" customHeight="1" ht="12" hidden="1">
      <c r="L20" s="1959"/>
      <c r="M20" s="1874"/>
      <c r="N20" s="1874"/>
      <c r="O20" s="1876" t="s">
        <v>534</v>
      </c>
      <c r="P20" s="1874"/>
      <c r="Q20" s="1954"/>
      <c r="R20" s="1954"/>
      <c r="S20" s="1241"/>
      <c r="T20" s="1672" t="s">
        <v>535</v>
      </c>
      <c r="Z20" s="698" t="s">
        <v>536</v>
      </c>
      <c r="AB20" s="698" t="s">
        <v>537</v>
      </c>
      <c r="AC20" s="1672" t="s">
        <v>535</v>
      </c>
      <c r="AG20" s="698" t="s">
        <v>538</v>
      </c>
      <c r="AI20" s="698" t="s">
        <v>537</v>
      </c>
      <c r="AQ20" s="1672">
        <v>0</v>
      </c>
    </row>
    <row customHeight="1" ht="14.25" hidden="1">
      <c r="O21" s="1876"/>
      <c r="AQ21" s="1667">
        <v>0</v>
      </c>
    </row>
    <row customHeight="1" ht="14.25" hidden="1">
      <c r="O22" s="1876"/>
      <c r="AQ22" s="1667">
        <v>0</v>
      </c>
    </row>
    <row customHeight="1" ht="14.699999999999998">
      <c r="Q23" s="888"/>
      <c r="R23" s="888"/>
      <c r="S23" s="1787"/>
      <c r="T23" s="875"/>
      <c r="U23" s="875"/>
      <c r="V23" s="1021"/>
      <c r="W23" s="1021"/>
      <c r="X23" s="1021"/>
      <c r="Y23" s="1021"/>
      <c r="Z23" s="1021"/>
      <c r="AA23" s="1021"/>
      <c r="AB23" s="1021"/>
      <c r="AC23" s="1021"/>
      <c r="AD23" s="1021"/>
      <c r="AE23" s="1021"/>
      <c r="AF23" s="1021"/>
      <c r="AG23" s="1021"/>
      <c r="AH23" s="1021"/>
      <c r="AI23" s="1021"/>
      <c r="AQ23" s="1667">
        <v>14</v>
      </c>
    </row>
    <row customHeight="1" ht="14.699999999999998">
      <c r="Q24" s="888"/>
      <c r="R24" s="888"/>
      <c r="S24" s="2760" t="str">
        <f>IF(TEMPLATE_GROUP="P",PT_P_FORM_COLDVSNA_4_NAME_FORM,PT_R_FORM_COLDVSNA_16_NAME_FORM)</f>
        <v>Форма 2. Информация
о тарифах в сфере холодного водоснабжения на товары (услуги) организации холодного водоснабжения, подлежащих регулированию</v>
      </c>
      <c r="T24" s="2760"/>
      <c r="U24" s="2760"/>
      <c r="V24" s="2760"/>
      <c r="W24" s="2760"/>
      <c r="X24" s="2760"/>
      <c r="Y24" s="2760"/>
      <c r="Z24" s="2760"/>
      <c r="AA24" s="2760"/>
      <c r="AB24" s="2760"/>
      <c r="AC24" s="2760"/>
      <c r="AD24" s="2760"/>
      <c r="AE24" s="2760"/>
      <c r="AF24" s="2760"/>
      <c r="AG24" s="2760"/>
      <c r="AH24" s="2760"/>
      <c r="AI24" s="1755"/>
      <c r="AQ24" s="1667">
        <v>14</v>
      </c>
    </row>
    <row customHeight="1" ht="14.699999999999998">
      <c r="Q25" s="888"/>
      <c r="R25" s="888"/>
      <c r="S25" s="2761" t="str">
        <f>IF(org=0,"Не определено",org)</f>
        <v>КГУП "Примтеплоэнерго"</v>
      </c>
      <c r="T25" s="2761"/>
      <c r="U25" s="2761"/>
      <c r="V25" s="2761"/>
      <c r="W25" s="2761"/>
      <c r="X25" s="2761"/>
      <c r="Y25" s="2761"/>
      <c r="Z25" s="2761"/>
      <c r="AA25" s="2761"/>
      <c r="AB25" s="2761"/>
      <c r="AC25" s="2761"/>
      <c r="AD25" s="2761"/>
      <c r="AE25" s="2761"/>
      <c r="AF25" s="2761"/>
      <c r="AG25" s="2761"/>
      <c r="AH25" s="2761"/>
      <c r="AI25" s="1755"/>
      <c r="AQ25" s="1667">
        <v>14</v>
      </c>
    </row>
    <row customHeight="1" ht="14.25">
      <c r="Q26" s="888"/>
      <c r="R26" s="888"/>
      <c r="S26" s="1787"/>
      <c r="T26" s="875"/>
      <c r="U26" s="875"/>
      <c r="V26" s="834"/>
      <c r="W26" s="834"/>
      <c r="X26" s="834"/>
      <c r="Y26" s="834"/>
      <c r="Z26" s="834"/>
      <c r="AA26" s="834"/>
      <c r="AB26" s="834"/>
      <c r="AC26" s="834"/>
      <c r="AD26" s="834"/>
      <c r="AE26" s="834"/>
      <c r="AF26" s="834"/>
      <c r="AG26" s="834"/>
      <c r="AH26" s="834"/>
      <c r="AI26" s="834"/>
      <c r="AJ26" s="1021"/>
      <c r="AQ26" s="1667">
        <v>0</v>
      </c>
    </row>
    <row s="47026" customFormat="1" customHeight="1" ht="25.5">
      <c r="A27" s="1880"/>
      <c r="B27" s="1880"/>
      <c r="C27" s="1880"/>
      <c r="D27" s="1880"/>
      <c r="E27" s="1880"/>
      <c r="F27" s="1880"/>
      <c r="G27" s="1880"/>
      <c r="H27" s="1880"/>
      <c r="I27" s="1880"/>
      <c r="J27" s="1880"/>
      <c r="K27" s="1880"/>
      <c r="L27" s="1881"/>
      <c r="M27" s="1880"/>
      <c r="N27" s="1880"/>
      <c r="O27" s="1880"/>
      <c r="S27" s="2762" t="s">
        <v>42</v>
      </c>
      <c r="T27" s="2762"/>
      <c r="U27" s="1884"/>
      <c r="V27" s="2763" t="str">
        <f>IF(TITLE_NAME_OR_PR_CHANGE="",IF(TITLE_NAME_OR_PR="","",TITLE_NAME_OR_PR),TITLE_NAME_OR_PR_CHANGE)</f>
        <v>Агентство по тарифам Приморского края</v>
      </c>
      <c r="W27" s="2763"/>
      <c r="X27" s="2763"/>
      <c r="Y27" s="2763"/>
      <c r="Z27" s="2763"/>
      <c r="AA27" s="2763"/>
      <c r="AB27" s="838"/>
      <c r="AC27" s="2763" t="str">
        <f>IF(TITLE_NAME_OR_PR_CHANGE="",IF(TITLE_NAME_OR_PR="","",TITLE_NAME_OR_PR),TITLE_NAME_OR_PR_CHANGE)</f>
        <v>Агентство по тарифам Приморского края</v>
      </c>
      <c r="AD27" s="2763"/>
      <c r="AE27" s="2763"/>
      <c r="AF27" s="2763"/>
      <c r="AG27" s="2763"/>
      <c r="AH27" s="2763"/>
      <c r="AI27" s="838"/>
      <c r="AJ27" s="838"/>
      <c r="AK27" s="792"/>
      <c r="AL27" s="880"/>
      <c r="AM27" s="880"/>
      <c r="AN27" s="880"/>
      <c r="AO27" s="880"/>
      <c r="AP27" s="880"/>
      <c r="AQ27" s="930">
        <v>0</v>
      </c>
    </row>
    <row s="47026" customFormat="1" customHeight="1" ht="18.75">
      <c r="A28" s="1880"/>
      <c r="B28" s="1880"/>
      <c r="C28" s="1880"/>
      <c r="D28" s="1880"/>
      <c r="E28" s="1880"/>
      <c r="F28" s="1880"/>
      <c r="G28" s="1880"/>
      <c r="H28" s="1880"/>
      <c r="I28" s="1880"/>
      <c r="J28" s="1880"/>
      <c r="K28" s="1880"/>
      <c r="L28" s="1881"/>
      <c r="M28" s="1880"/>
      <c r="N28" s="1880"/>
      <c r="O28" s="1880"/>
      <c r="S28" s="2762" t="s">
        <v>539</v>
      </c>
      <c r="T28" s="2762"/>
      <c r="U28" s="1884"/>
      <c r="V28" s="2776" t="str">
        <f>IF(TITLE_DATE_PR_CHANGE="",IF(TITLE_DATE_PR="","",TITLE_DATE_PR),TITLE_DATE_PR_CHANGE)</f>
        <v>45631.495844907404</v>
      </c>
      <c r="W28" s="2776"/>
      <c r="X28" s="2776"/>
      <c r="Y28" s="2776"/>
      <c r="Z28" s="2776"/>
      <c r="AA28" s="2776"/>
      <c r="AB28" s="838"/>
      <c r="AC28" s="2776" t="str">
        <f>IF(TITLE_DATE_PR_CHANGE="",IF(TITLE_DATE_PR="","",TITLE_DATE_PR),TITLE_DATE_PR_CHANGE)</f>
        <v>45631.495844907404</v>
      </c>
      <c r="AD28" s="2776"/>
      <c r="AE28" s="2776"/>
      <c r="AF28" s="2776"/>
      <c r="AG28" s="2776"/>
      <c r="AH28" s="2776"/>
      <c r="AI28" s="838"/>
      <c r="AJ28" s="838"/>
      <c r="AK28" s="792"/>
      <c r="AL28" s="880"/>
      <c r="AM28" s="880"/>
      <c r="AN28" s="880"/>
      <c r="AO28" s="880"/>
      <c r="AP28" s="880"/>
      <c r="AQ28" s="930">
        <v>0</v>
      </c>
    </row>
    <row s="47026" customFormat="1" customHeight="1" ht="18.75">
      <c r="A29" s="1880"/>
      <c r="B29" s="1880"/>
      <c r="C29" s="1880"/>
      <c r="D29" s="1880"/>
      <c r="E29" s="1880"/>
      <c r="F29" s="1880"/>
      <c r="G29" s="1880"/>
      <c r="H29" s="1880"/>
      <c r="I29" s="1880"/>
      <c r="J29" s="1880"/>
      <c r="K29" s="1880"/>
      <c r="L29" s="1881"/>
      <c r="M29" s="1880"/>
      <c r="N29" s="1880"/>
      <c r="O29" s="1880"/>
      <c r="S29" s="2762" t="s">
        <v>540</v>
      </c>
      <c r="T29" s="2762"/>
      <c r="U29" s="1884"/>
      <c r="V29" s="2763" t="str">
        <f>IF(TITLE_NUMBER_PR_CHANGE="",IF(TITLE_NUMBER_PR="","",TITLE_NUMBER_PR),TITLE_NUMBER_PR_CHANGE)</f>
        <v>53/9</v>
      </c>
      <c r="W29" s="2763"/>
      <c r="X29" s="2763"/>
      <c r="Y29" s="2763"/>
      <c r="Z29" s="2763"/>
      <c r="AA29" s="2763"/>
      <c r="AB29" s="838"/>
      <c r="AC29" s="2763" t="str">
        <f>IF(TITLE_NUMBER_PR_CHANGE="",IF(TITLE_NUMBER_PR="","",TITLE_NUMBER_PR),TITLE_NUMBER_PR_CHANGE)</f>
        <v>53/9</v>
      </c>
      <c r="AD29" s="2763"/>
      <c r="AE29" s="2763"/>
      <c r="AF29" s="2763"/>
      <c r="AG29" s="2763"/>
      <c r="AH29" s="2763"/>
      <c r="AI29" s="838"/>
      <c r="AJ29" s="838"/>
      <c r="AK29" s="792"/>
      <c r="AL29" s="880"/>
      <c r="AM29" s="880"/>
      <c r="AN29" s="880"/>
      <c r="AO29" s="880"/>
      <c r="AP29" s="880"/>
      <c r="AQ29" s="930">
        <v>0</v>
      </c>
    </row>
    <row s="47026" customFormat="1" customHeight="1" ht="18.75">
      <c r="A30" s="1880"/>
      <c r="B30" s="1880"/>
      <c r="C30" s="1880"/>
      <c r="D30" s="1880"/>
      <c r="E30" s="1880"/>
      <c r="F30" s="1880"/>
      <c r="G30" s="1880"/>
      <c r="H30" s="1880"/>
      <c r="I30" s="1880"/>
      <c r="J30" s="1880"/>
      <c r="K30" s="1880"/>
      <c r="L30" s="1881"/>
      <c r="M30" s="1880"/>
      <c r="N30" s="1880"/>
      <c r="O30" s="1880"/>
      <c r="S30" s="2762" t="s">
        <v>44</v>
      </c>
      <c r="T30" s="2762"/>
      <c r="U30" s="1884"/>
      <c r="V30" s="2763" t="str">
        <f>IF(TITLE_IST_PUB_CHANGE="",IF(TITLE_IST_PUB="","",TITLE_IST_PUB),TITLE_IST_PUB_CHANGE)</f>
        <v>http://pravo.gov.ru</v>
      </c>
      <c r="W30" s="2763"/>
      <c r="X30" s="2763"/>
      <c r="Y30" s="2763"/>
      <c r="Z30" s="2763"/>
      <c r="AA30" s="2763"/>
      <c r="AB30" s="838"/>
      <c r="AC30" s="2763" t="str">
        <f>IF(TITLE_IST_PUB_CHANGE="",IF(TITLE_IST_PUB="","",TITLE_IST_PUB),TITLE_IST_PUB_CHANGE)</f>
        <v>http://pravo.gov.ru</v>
      </c>
      <c r="AD30" s="2763"/>
      <c r="AE30" s="2763"/>
      <c r="AF30" s="2763"/>
      <c r="AG30" s="2763"/>
      <c r="AH30" s="2763"/>
      <c r="AI30" s="838"/>
      <c r="AJ30" s="838"/>
      <c r="AK30" s="792"/>
      <c r="AL30" s="880"/>
      <c r="AM30" s="880"/>
      <c r="AN30" s="880"/>
      <c r="AO30" s="880"/>
      <c r="AP30" s="880"/>
      <c r="AQ30" s="930">
        <v>0</v>
      </c>
    </row>
    <row customHeight="1" ht="14.25" hidden="1">
      <c r="Q31" s="888"/>
      <c r="R31" s="888"/>
      <c r="S31" s="1787"/>
      <c r="T31" s="875"/>
      <c r="U31" s="875"/>
      <c r="V31" s="834"/>
      <c r="W31" s="834"/>
      <c r="X31" s="834"/>
      <c r="Y31" s="834"/>
      <c r="Z31" s="834"/>
      <c r="AA31" s="834"/>
      <c r="AB31" s="834"/>
      <c r="AC31" s="834"/>
      <c r="AD31" s="834"/>
      <c r="AE31" s="834"/>
      <c r="AF31" s="834"/>
      <c r="AG31" s="834"/>
      <c r="AH31" s="834"/>
      <c r="AI31" s="834"/>
      <c r="AJ31" s="1021"/>
      <c r="AQ31" s="1667">
        <v>0</v>
      </c>
    </row>
    <row s="47026" customFormat="1" customHeight="1" ht="18.75" hidden="1">
      <c r="A32" s="1880"/>
      <c r="B32" s="1880"/>
      <c r="C32" s="1880"/>
      <c r="D32" s="1880"/>
      <c r="E32" s="1880"/>
      <c r="F32" s="1880"/>
      <c r="G32" s="1880"/>
      <c r="H32" s="1880"/>
      <c r="I32" s="1880"/>
      <c r="J32" s="1880"/>
      <c r="K32" s="1880"/>
      <c r="L32" s="1881"/>
      <c r="M32" s="1880"/>
      <c r="N32" s="1880"/>
      <c r="O32" s="1880"/>
      <c r="S32" s="2762" t="s">
        <v>541</v>
      </c>
      <c r="T32" s="2762"/>
      <c r="U32" s="1884"/>
      <c r="V32" s="2776" t="str">
        <f>IF(TITLE_DATE_PR_CHANGE="",IF(TITLE_DATE_PR="","",TITLE_DATE_PR),TITLE_DATE_PR_CHANGE)</f>
        <v>45631.495844907404</v>
      </c>
      <c r="W32" s="2776"/>
      <c r="X32" s="2776"/>
      <c r="Y32" s="2776"/>
      <c r="Z32" s="2776"/>
      <c r="AA32" s="2776"/>
      <c r="AB32" s="838"/>
      <c r="AC32" s="2776" t="str">
        <f>IF(TITLE_DATE_PR_CHANGE="",IF(TITLE_DATE_PR="","",TITLE_DATE_PR),TITLE_DATE_PR_CHANGE)</f>
        <v>45631.495844907404</v>
      </c>
      <c r="AD32" s="2776"/>
      <c r="AE32" s="2776"/>
      <c r="AF32" s="2776"/>
      <c r="AG32" s="2776"/>
      <c r="AH32" s="2776"/>
      <c r="AI32" s="838"/>
      <c r="AJ32" s="838"/>
      <c r="AK32" s="792"/>
      <c r="AL32" s="880"/>
      <c r="AM32" s="880"/>
      <c r="AN32" s="880"/>
      <c r="AO32" s="880"/>
      <c r="AP32" s="880"/>
      <c r="AQ32" s="930">
        <v>0</v>
      </c>
    </row>
    <row s="47026" customFormat="1" customHeight="1" ht="18.75" hidden="1">
      <c r="A33" s="1880"/>
      <c r="B33" s="1880"/>
      <c r="C33" s="1880"/>
      <c r="D33" s="1880"/>
      <c r="E33" s="1880"/>
      <c r="F33" s="1880"/>
      <c r="G33" s="1880"/>
      <c r="H33" s="1880"/>
      <c r="I33" s="1880"/>
      <c r="J33" s="1880"/>
      <c r="K33" s="1880"/>
      <c r="L33" s="1881"/>
      <c r="M33" s="1880"/>
      <c r="N33" s="1880"/>
      <c r="O33" s="1880"/>
      <c r="S33" s="2762" t="s">
        <v>542</v>
      </c>
      <c r="T33" s="2762"/>
      <c r="U33" s="1884"/>
      <c r="V33" s="2763" t="str">
        <f>IF(TITLE_NUMBER_PR_CHANGE="",IF(TITLE_NUMBER_PR="","",TITLE_NUMBER_PR),TITLE_NUMBER_PR_CHANGE)</f>
        <v>53/9</v>
      </c>
      <c r="W33" s="2763"/>
      <c r="X33" s="2763"/>
      <c r="Y33" s="2763"/>
      <c r="Z33" s="2763"/>
      <c r="AA33" s="2763"/>
      <c r="AB33" s="838"/>
      <c r="AC33" s="2763" t="str">
        <f>IF(TITLE_NUMBER_PR_CHANGE="",IF(TITLE_NUMBER_PR="","",TITLE_NUMBER_PR),TITLE_NUMBER_PR_CHANGE)</f>
        <v>53/9</v>
      </c>
      <c r="AD33" s="2763"/>
      <c r="AE33" s="2763"/>
      <c r="AF33" s="2763"/>
      <c r="AG33" s="2763"/>
      <c r="AH33" s="2763"/>
      <c r="AI33" s="838"/>
      <c r="AJ33" s="838"/>
      <c r="AK33" s="792"/>
      <c r="AL33" s="880"/>
      <c r="AM33" s="880"/>
      <c r="AN33" s="880"/>
      <c r="AO33" s="880"/>
      <c r="AP33" s="880"/>
      <c r="AQ33" s="930">
        <v>0</v>
      </c>
    </row>
    <row s="47026" customFormat="1" customHeight="1" ht="1.05">
      <c r="A34" s="1880"/>
      <c r="B34" s="1880"/>
      <c r="C34" s="1880"/>
      <c r="D34" s="1880"/>
      <c r="E34" s="1880"/>
      <c r="F34" s="1880"/>
      <c r="G34" s="1880"/>
      <c r="H34" s="1880"/>
      <c r="I34" s="1880"/>
      <c r="J34" s="1880"/>
      <c r="K34" s="1880"/>
      <c r="L34" s="1881"/>
      <c r="M34" s="1880"/>
      <c r="N34" s="1880"/>
      <c r="O34" s="1880"/>
      <c r="S34" s="835"/>
      <c r="T34" s="835"/>
      <c r="U34" s="1966"/>
      <c r="V34" s="838"/>
      <c r="W34" s="838"/>
      <c r="X34" s="838"/>
      <c r="Y34" s="838"/>
      <c r="Z34" s="838"/>
      <c r="AA34" s="838"/>
      <c r="AB34" s="790" t="s">
        <v>543</v>
      </c>
      <c r="AC34" s="838"/>
      <c r="AD34" s="838"/>
      <c r="AE34" s="838"/>
      <c r="AF34" s="838"/>
      <c r="AG34" s="838"/>
      <c r="AH34" s="838"/>
      <c r="AI34" s="790" t="s">
        <v>543</v>
      </c>
      <c r="AL34" s="880"/>
      <c r="AM34" s="880"/>
      <c r="AN34" s="880"/>
      <c r="AO34" s="880"/>
      <c r="AP34" s="880"/>
      <c r="AQ34" s="930">
        <v>1</v>
      </c>
    </row>
    <row customHeight="1" ht="14.699999999999998">
      <c r="Q35" s="888"/>
      <c r="R35" s="888"/>
      <c r="S35" s="1787"/>
      <c r="T35" s="875"/>
      <c r="U35" s="1756"/>
      <c r="V35" s="2764"/>
      <c r="W35" s="2764"/>
      <c r="X35" s="2764"/>
      <c r="Y35" s="2764"/>
      <c r="Z35" s="2764"/>
      <c r="AA35" s="2764"/>
      <c r="AB35" s="2764"/>
      <c r="AC35" s="2764"/>
      <c r="AD35" s="2764"/>
      <c r="AE35" s="2764"/>
      <c r="AF35" s="2764"/>
      <c r="AG35" s="2764"/>
      <c r="AH35" s="2764"/>
      <c r="AI35" s="2764"/>
      <c r="AQ35" s="1667">
        <v>14</v>
      </c>
    </row>
    <row customHeight="1" ht="14.699999999999998">
      <c r="Q36" s="888"/>
      <c r="R36" s="888"/>
      <c r="S36" s="2639" t="s">
        <v>418</v>
      </c>
      <c r="T36" s="2639"/>
      <c r="U36" s="2639"/>
      <c r="V36" s="2639"/>
      <c r="W36" s="2639"/>
      <c r="X36" s="2639"/>
      <c r="Y36" s="2639"/>
      <c r="Z36" s="2639"/>
      <c r="AA36" s="2639"/>
      <c r="AB36" s="2639"/>
      <c r="AC36" s="2639"/>
      <c r="AD36" s="2639"/>
      <c r="AE36" s="2639"/>
      <c r="AF36" s="2639"/>
      <c r="AG36" s="2639"/>
      <c r="AH36" s="2639"/>
      <c r="AI36" s="2639"/>
      <c r="AJ36" s="2639"/>
      <c r="AK36" s="2639" t="s">
        <v>419</v>
      </c>
      <c r="AQ36" s="1667">
        <v>14</v>
      </c>
    </row>
    <row customHeight="1" ht="14.699999999999998">
      <c r="Q37" s="888"/>
      <c r="R37" s="888"/>
      <c r="S37" s="2785" t="s">
        <v>90</v>
      </c>
      <c r="T37" s="2721" t="s">
        <v>544</v>
      </c>
      <c r="U37" s="813"/>
      <c r="V37" s="2786" t="s">
        <v>545</v>
      </c>
      <c r="W37" s="2787"/>
      <c r="X37" s="2787"/>
      <c r="Y37" s="2787"/>
      <c r="Z37" s="2787"/>
      <c r="AA37" s="2788"/>
      <c r="AB37" s="2789" t="s">
        <v>546</v>
      </c>
      <c r="AC37" s="2786" t="s">
        <v>545</v>
      </c>
      <c r="AD37" s="2787"/>
      <c r="AE37" s="2787"/>
      <c r="AF37" s="2787"/>
      <c r="AG37" s="2787"/>
      <c r="AH37" s="2788"/>
      <c r="AI37" s="2789" t="s">
        <v>547</v>
      </c>
      <c r="AJ37" s="2792" t="s">
        <v>548</v>
      </c>
      <c r="AK37" s="2639"/>
      <c r="AQ37" s="1667">
        <v>14</v>
      </c>
    </row>
    <row customHeight="1" ht="35.699999999999996">
      <c r="Q38" s="888"/>
      <c r="R38" s="888"/>
      <c r="S38" s="2785"/>
      <c r="T38" s="2721"/>
      <c r="U38" s="1543"/>
      <c r="V38" s="1964" t="s">
        <v>604</v>
      </c>
      <c r="W38" s="2774" t="s">
        <v>551</v>
      </c>
      <c r="X38" s="2775"/>
      <c r="Y38" s="2774" t="s">
        <v>552</v>
      </c>
      <c r="Z38" s="2781"/>
      <c r="AA38" s="2775"/>
      <c r="AB38" s="2790"/>
      <c r="AC38" s="1964" t="s">
        <v>604</v>
      </c>
      <c r="AD38" s="2774" t="s">
        <v>551</v>
      </c>
      <c r="AE38" s="2775"/>
      <c r="AF38" s="2774" t="s">
        <v>552</v>
      </c>
      <c r="AG38" s="2781"/>
      <c r="AH38" s="2775"/>
      <c r="AI38" s="2790"/>
      <c r="AJ38" s="2793"/>
      <c r="AK38" s="2639"/>
      <c r="AQ38" s="1667">
        <v>34</v>
      </c>
    </row>
    <row customHeight="1" ht="35.699999999999996">
      <c r="A39" s="1882"/>
      <c r="B39" s="1882" t="s">
        <v>191</v>
      </c>
      <c r="C39" s="1882" t="s">
        <v>192</v>
      </c>
      <c r="D39" s="1882" t="s">
        <v>193</v>
      </c>
      <c r="E39" s="1876" t="s">
        <v>553</v>
      </c>
      <c r="F39" s="1876" t="s">
        <v>554</v>
      </c>
      <c r="G39" s="1876" t="s">
        <v>555</v>
      </c>
      <c r="H39" s="1876"/>
      <c r="I39" s="1876" t="s">
        <v>605</v>
      </c>
      <c r="J39" s="1876" t="s">
        <v>558</v>
      </c>
      <c r="K39" s="1876" t="s">
        <v>606</v>
      </c>
      <c r="L39" s="1876" t="s">
        <v>534</v>
      </c>
      <c r="Q39" s="888"/>
      <c r="R39" s="888"/>
      <c r="S39" s="2785"/>
      <c r="T39" s="2721"/>
      <c r="U39" s="814"/>
      <c r="V39" s="1964" t="s">
        <v>607</v>
      </c>
      <c r="W39" s="1734" t="s">
        <v>608</v>
      </c>
      <c r="X39" s="1734" t="s">
        <v>609</v>
      </c>
      <c r="Y39" s="1967" t="s">
        <v>562</v>
      </c>
      <c r="Z39" s="2782" t="s">
        <v>563</v>
      </c>
      <c r="AA39" s="2783"/>
      <c r="AB39" s="2791"/>
      <c r="AC39" s="1964" t="s">
        <v>607</v>
      </c>
      <c r="AD39" s="1734" t="s">
        <v>608</v>
      </c>
      <c r="AE39" s="1734" t="s">
        <v>609</v>
      </c>
      <c r="AF39" s="1967" t="s">
        <v>562</v>
      </c>
      <c r="AG39" s="2782" t="s">
        <v>563</v>
      </c>
      <c r="AH39" s="2783"/>
      <c r="AI39" s="2791"/>
      <c r="AJ39" s="2794"/>
      <c r="AK39" s="2639"/>
      <c r="AQ39" s="1667">
        <v>34</v>
      </c>
    </row>
    <row s="47496" customFormat="1" customHeight="1" ht="0">
      <c r="A40" s="1882"/>
      <c r="B40" s="1882"/>
      <c r="C40" s="1882"/>
      <c r="D40" s="1882"/>
      <c r="E40" s="1882"/>
      <c r="F40" s="1882"/>
      <c r="G40" s="1882"/>
      <c r="H40" s="1882"/>
      <c r="I40" s="1882"/>
      <c r="J40" s="1882"/>
      <c r="K40" s="1882"/>
      <c r="L40" s="1876"/>
      <c r="M40" s="1874"/>
      <c r="N40" s="1874"/>
      <c r="O40" s="1874"/>
      <c r="P40" s="1758"/>
      <c r="Q40" s="1759"/>
      <c r="R40" s="1766">
        <v>1</v>
      </c>
      <c r="S40" s="1789" t="s">
        <v>101</v>
      </c>
      <c r="T40" s="1767" t="s">
        <v>105</v>
      </c>
      <c r="U40" s="1757" t="str">
        <f>OFFSET(U40,0,-1)</f>
        <v>2</v>
      </c>
      <c r="V40" s="1963">
        <f>OFFSET(V40,0,-1)+1</f>
        <v>3</v>
      </c>
      <c r="W40" s="1963">
        <f>OFFSET(W40,0,-1)+1</f>
        <v>4</v>
      </c>
      <c r="X40" s="1963">
        <f>OFFSET(X40,0,-1)+1</f>
        <v>5</v>
      </c>
      <c r="Y40" s="1963">
        <f>OFFSET(Y40,0,-1)+1</f>
        <v>6</v>
      </c>
      <c r="Z40" s="2784">
        <f>OFFSET(Z40,0,-1)+1</f>
        <v>7</v>
      </c>
      <c r="AA40" s="2784"/>
      <c r="AB40" s="1963">
        <f>OFFSET(AB40,0,-2)+1</f>
        <v>8</v>
      </c>
      <c r="AC40" s="1963">
        <f>OFFSET(AC40,0,-1)+1</f>
        <v>9</v>
      </c>
      <c r="AD40" s="1963">
        <f>OFFSET(AD40,0,-1)+1</f>
        <v>10</v>
      </c>
      <c r="AE40" s="1963">
        <f>OFFSET(AE40,0,-1)+1</f>
        <v>11</v>
      </c>
      <c r="AF40" s="1963">
        <f>OFFSET(AF40,0,-1)+1</f>
        <v>12</v>
      </c>
      <c r="AG40" s="2784">
        <f>OFFSET(AG40,0,-1)+1</f>
        <v>13</v>
      </c>
      <c r="AH40" s="2784"/>
      <c r="AI40" s="1963">
        <f>OFFSET(AI40,0,-2)+1</f>
        <v>14</v>
      </c>
      <c r="AJ40" s="1757">
        <f>OFFSET(AJ40,0,-1)</f>
        <v>14</v>
      </c>
      <c r="AK40" s="1963">
        <f>OFFSET(AK40,0,-1)+1</f>
        <v>15</v>
      </c>
      <c r="AL40" s="1023"/>
      <c r="AM40" s="1023"/>
      <c r="AN40" s="1023"/>
      <c r="AO40" s="1023"/>
      <c r="AP40" s="1023"/>
      <c r="AQ40" s="1008">
        <v>0</v>
      </c>
    </row>
    <row customHeight="1" ht="24">
      <c r="A41" s="1875" t="s">
        <v>280</v>
      </c>
      <c r="B41" s="1875"/>
      <c r="C41" s="1875"/>
      <c r="D41" s="1875"/>
      <c r="E41" s="2770">
        <v>1</v>
      </c>
      <c r="F41" s="1875"/>
      <c r="G41" s="1875"/>
      <c r="H41" s="1875"/>
      <c r="I41" s="1875"/>
      <c r="J41" s="1875"/>
      <c r="K41" s="1875"/>
      <c r="L41" s="1876"/>
      <c r="M41" s="1877"/>
      <c r="N41" s="1877"/>
      <c r="O41" s="1877"/>
      <c r="P41" s="873"/>
      <c r="Q41" s="872"/>
      <c r="R41" s="867"/>
      <c r="S41" s="1969">
        <f>INDEX(PT_DIFFERENTIATION_NUM_NTAR,MATCH(A41,PT_DIFFERENTIATION_NTAR_ID,0))</f>
        <v>0</v>
      </c>
      <c r="T41" s="810" t="s">
        <v>179</v>
      </c>
      <c r="U41" s="812"/>
      <c r="V41" s="2754"/>
      <c r="W41" s="2755"/>
      <c r="X41" s="2755"/>
      <c r="Y41" s="2755"/>
      <c r="Z41" s="2755"/>
      <c r="AA41" s="2755"/>
      <c r="AB41" s="2756"/>
      <c r="AC41" s="2754" t="str">
        <f>INDEX(PT_DIFFERENTIATION_NTAR,MATCH(A41,PT_DIFFERENTIATION_NTAR_ID,0))</f>
        <v/>
      </c>
      <c r="AD41" s="2755"/>
      <c r="AE41" s="2755"/>
      <c r="AF41" s="2755"/>
      <c r="AG41" s="2755"/>
      <c r="AH41" s="2755"/>
      <c r="AI41" s="2755"/>
      <c r="AJ41" s="2756"/>
      <c r="AK41"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1012"/>
      <c r="AN41" s="1012" t="str">
        <f>IF(T41="","",T41)</f>
        <v>Наименование тарифа</v>
      </c>
      <c r="AO41" s="1012"/>
      <c r="AP41" s="1012"/>
      <c r="AQ41" s="1667">
        <v>23</v>
      </c>
    </row>
    <row customHeight="1" ht="24">
      <c r="A42" s="1875" t="s">
        <v>280</v>
      </c>
      <c r="B42" s="1875" t="s">
        <v>281</v>
      </c>
      <c r="C42" s="1875"/>
      <c r="D42" s="1875"/>
      <c r="E42" s="2771"/>
      <c r="F42" s="2770">
        <v>1</v>
      </c>
      <c r="G42" s="1875"/>
      <c r="H42" s="1875"/>
      <c r="I42" s="1875"/>
      <c r="J42" s="1875"/>
      <c r="K42" s="1875"/>
      <c r="L42" s="1876"/>
      <c r="M42" s="1877"/>
      <c r="N42" s="1877"/>
      <c r="O42" s="1877"/>
      <c r="P42" s="1965"/>
      <c r="Q42" s="864"/>
      <c r="R42" s="865"/>
      <c r="S42" s="1969" t="str">
        <f>INDEX(PT_DIFFERENTIATION_NUM_TER,MATCH(B42,PT_DIFFERENTIATION_TER_ID,0))</f>
        <v>.</v>
      </c>
      <c r="T42" s="820" t="s">
        <v>515</v>
      </c>
      <c r="U42" s="812"/>
      <c r="V42" s="2754"/>
      <c r="W42" s="2755"/>
      <c r="X42" s="2755"/>
      <c r="Y42" s="2755"/>
      <c r="Z42" s="2755"/>
      <c r="AA42" s="2755"/>
      <c r="AB42" s="2756"/>
      <c r="AC42" s="2754" t="str">
        <f>INDEX(PT_DIFFERENTIATION_TER,MATCH(B42,PT_DIFFERENTIATION_TER_ID,0))</f>
        <v/>
      </c>
      <c r="AD42" s="2755"/>
      <c r="AE42" s="2755"/>
      <c r="AF42" s="2755"/>
      <c r="AG42" s="2755"/>
      <c r="AH42" s="2755"/>
      <c r="AI42" s="2755"/>
      <c r="AJ42" s="2756"/>
      <c r="AK42" s="1770" t="s">
        <v>516</v>
      </c>
      <c r="AM42" s="1012"/>
      <c r="AN42" s="1012" t="str">
        <f>IF(T42="","",T42)</f>
        <v>Территория действия тарифа</v>
      </c>
      <c r="AO42" s="1012"/>
      <c r="AP42" s="1012"/>
      <c r="AQ42" s="1667">
        <v>23</v>
      </c>
    </row>
    <row customHeight="1" ht="24">
      <c r="A43" s="1875" t="s">
        <v>280</v>
      </c>
      <c r="B43" s="1875" t="s">
        <v>281</v>
      </c>
      <c r="C43" s="1875" t="s">
        <v>282</v>
      </c>
      <c r="D43" s="1875"/>
      <c r="E43" s="2771"/>
      <c r="F43" s="2771"/>
      <c r="G43" s="2770">
        <v>1</v>
      </c>
      <c r="H43" s="1875"/>
      <c r="I43" s="1875"/>
      <c r="J43" s="1875"/>
      <c r="K43" s="1875"/>
      <c r="L43" s="1876"/>
      <c r="M43" s="1877"/>
      <c r="N43" s="1877"/>
      <c r="O43" s="1877"/>
      <c r="P43" s="866"/>
      <c r="Q43" s="864"/>
      <c r="R43" s="865"/>
      <c r="S43" s="1969" t="str">
        <f>INDEX(PT_DIFFERENTIATION_NUM_CS,MATCH(C43,PT_DIFFERENTIATION_CS_ID,0))</f>
        <v>..</v>
      </c>
      <c r="T43" s="821" t="s">
        <v>596</v>
      </c>
      <c r="U43" s="812"/>
      <c r="V43" s="2754"/>
      <c r="W43" s="2755"/>
      <c r="X43" s="2755"/>
      <c r="Y43" s="2755"/>
      <c r="Z43" s="2755"/>
      <c r="AA43" s="2755"/>
      <c r="AB43" s="2756"/>
      <c r="AC43" s="2754" t="str">
        <f>INDEX(PT_DIFFERENTIATION_CS,MATCH(C43,PT_DIFFERENTIATION_CS_ID,0))</f>
        <v/>
      </c>
      <c r="AD43" s="2755"/>
      <c r="AE43" s="2755"/>
      <c r="AF43" s="2755"/>
      <c r="AG43" s="2755"/>
      <c r="AH43" s="2755"/>
      <c r="AI43" s="2755"/>
      <c r="AJ43" s="2756"/>
      <c r="AK43" s="1770" t="s">
        <v>597</v>
      </c>
      <c r="AM43" s="1012"/>
      <c r="AN43" s="1012" t="str">
        <f>IF(T43="","",T43)</f>
        <v>Наименование централизованной системы холодного водоснабжения</v>
      </c>
      <c r="AO43" s="1012"/>
      <c r="AP43" s="1012"/>
      <c r="AQ43" s="1667">
        <v>23</v>
      </c>
    </row>
    <row customHeight="1" ht="24">
      <c r="A44" s="1875" t="s">
        <v>280</v>
      </c>
      <c r="B44" s="1875" t="s">
        <v>281</v>
      </c>
      <c r="C44" s="1875" t="s">
        <v>282</v>
      </c>
      <c r="D44" s="1875" t="s">
        <v>611</v>
      </c>
      <c r="E44" s="2771"/>
      <c r="F44" s="2771"/>
      <c r="G44" s="2771"/>
      <c r="H44" s="2771"/>
      <c r="I44" s="2768" t="str">
        <f>S43&amp;".1"</f>
        <v>...1</v>
      </c>
      <c r="J44" s="1875"/>
      <c r="K44" s="1875"/>
      <c r="L44" s="1876"/>
      <c r="P44" s="2769">
        <v>1</v>
      </c>
      <c r="Q44" s="1962"/>
      <c r="R44" s="868"/>
      <c r="S44" s="1969" t="str">
        <f>$I44</f>
        <v>...1</v>
      </c>
      <c r="T44" s="797" t="s">
        <v>598</v>
      </c>
      <c r="U44" s="812"/>
      <c r="V44" s="2862"/>
      <c r="W44" s="2863"/>
      <c r="X44" s="2863"/>
      <c r="Y44" s="2863"/>
      <c r="Z44" s="2863"/>
      <c r="AA44" s="2863"/>
      <c r="AB44" s="2864"/>
      <c r="AC44" s="2865"/>
      <c r="AD44" s="2866"/>
      <c r="AE44" s="2866"/>
      <c r="AF44" s="2866"/>
      <c r="AG44" s="2866"/>
      <c r="AH44" s="2866"/>
      <c r="AI44" s="2866"/>
      <c r="AJ44" s="2867"/>
      <c r="AK44" s="1770" t="s">
        <v>599</v>
      </c>
      <c r="AM44" s="1012"/>
      <c r="AN44" s="1012" t="str">
        <f>IF(T44="","",T44)</f>
        <v>Наименование признака дифференциации</v>
      </c>
      <c r="AO44" s="1012"/>
      <c r="AP44" s="1012"/>
      <c r="AQ44" s="1667">
        <v>23</v>
      </c>
    </row>
    <row customHeight="1" ht="24">
      <c r="A45" s="1875" t="s">
        <v>280</v>
      </c>
      <c r="B45" s="1875" t="s">
        <v>281</v>
      </c>
      <c r="C45" s="1875" t="s">
        <v>282</v>
      </c>
      <c r="D45" s="1875" t="s">
        <v>611</v>
      </c>
      <c r="E45" s="2771"/>
      <c r="F45" s="2771"/>
      <c r="G45" s="2771"/>
      <c r="H45" s="2771"/>
      <c r="I45" s="2798"/>
      <c r="J45" s="2768" t="str">
        <f>I44&amp;".1"</f>
        <v>...1.1</v>
      </c>
      <c r="K45" s="1875"/>
      <c r="L45" s="1876" t="s">
        <v>524</v>
      </c>
      <c r="P45" s="2769"/>
      <c r="Q45" s="2769">
        <v>1</v>
      </c>
      <c r="R45" s="869"/>
      <c r="S45" s="1969" t="str">
        <f>$J45</f>
        <v>...1.1</v>
      </c>
      <c r="T45" s="798" t="s">
        <v>525</v>
      </c>
      <c r="U45" s="812"/>
      <c r="V45" s="2757"/>
      <c r="W45" s="2758"/>
      <c r="X45" s="2758"/>
      <c r="Y45" s="2758"/>
      <c r="Z45" s="2758"/>
      <c r="AA45" s="2758"/>
      <c r="AB45" s="2759"/>
      <c r="AC45" s="2757"/>
      <c r="AD45" s="2758"/>
      <c r="AE45" s="2758"/>
      <c r="AF45" s="2758"/>
      <c r="AG45" s="2758"/>
      <c r="AH45" s="2758"/>
      <c r="AI45" s="2758"/>
      <c r="AJ45" s="2759"/>
      <c r="AK45" s="1819" t="s">
        <v>600</v>
      </c>
      <c r="AM45" s="1012"/>
      <c r="AN45" s="1012" t="str">
        <f>IF(T45="","",T45)</f>
        <v>Группа потребителей</v>
      </c>
      <c r="AO45" s="1012"/>
      <c r="AP45" s="1012"/>
      <c r="AQ45" s="1667">
        <v>23</v>
      </c>
    </row>
    <row customHeight="1" ht="24">
      <c r="A46" s="1875" t="s">
        <v>280</v>
      </c>
      <c r="B46" s="1875" t="s">
        <v>281</v>
      </c>
      <c r="C46" s="1875" t="s">
        <v>282</v>
      </c>
      <c r="D46" s="1875" t="s">
        <v>611</v>
      </c>
      <c r="E46" s="2771"/>
      <c r="F46" s="2771"/>
      <c r="G46" s="2771"/>
      <c r="H46" s="2771"/>
      <c r="I46" s="2798"/>
      <c r="J46" s="2798"/>
      <c r="K46" s="2768" t="str">
        <f>J45&amp;".1"</f>
        <v>...1.1.1</v>
      </c>
      <c r="L46" s="1876"/>
      <c r="P46" s="2769"/>
      <c r="Q46" s="2769"/>
      <c r="R46" s="869">
        <v>1</v>
      </c>
      <c r="S46" s="1969" t="str">
        <f>$K46</f>
        <v>...1.1.1</v>
      </c>
      <c r="T46" s="1949"/>
      <c r="U46" s="812"/>
      <c r="V46" s="1263"/>
      <c r="W46" s="1263"/>
      <c r="X46" s="1769"/>
      <c r="Y46" s="2777"/>
      <c r="Z46" s="2619" t="s">
        <v>63</v>
      </c>
      <c r="AA46" s="2777"/>
      <c r="AB46" s="2619" t="s">
        <v>63</v>
      </c>
      <c r="AC46" s="1263"/>
      <c r="AD46" s="1263"/>
      <c r="AE46" s="1769"/>
      <c r="AF46" s="2777"/>
      <c r="AG46" s="2619" t="s">
        <v>63</v>
      </c>
      <c r="AH46" s="2799"/>
      <c r="AI46" s="2619" t="s">
        <v>63</v>
      </c>
      <c r="AJ46" s="1950"/>
      <c r="AK46" s="28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023">
        <f>STRCHECKDATE(V47:AJ47)</f>
      </c>
      <c r="AM46" s="1012"/>
      <c r="AN46" s="1012" t="str">
        <f>IF(T46="","",T46)</f>
        <v/>
      </c>
      <c r="AO46" s="1012"/>
      <c r="AP46" s="1012"/>
      <c r="AQ46" s="1667">
        <v>23</v>
      </c>
    </row>
    <row customHeight="1" ht="0">
      <c r="A47" s="1875" t="s">
        <v>280</v>
      </c>
      <c r="B47" s="1875" t="s">
        <v>281</v>
      </c>
      <c r="C47" s="1875" t="s">
        <v>282</v>
      </c>
      <c r="D47" s="1875" t="s">
        <v>611</v>
      </c>
      <c r="E47" s="2771"/>
      <c r="F47" s="2771"/>
      <c r="G47" s="2771"/>
      <c r="H47" s="2771"/>
      <c r="I47" s="2798"/>
      <c r="J47" s="2798"/>
      <c r="K47" s="2768"/>
      <c r="L47" s="1876"/>
      <c r="P47" s="2769"/>
      <c r="Q47" s="2769"/>
      <c r="R47" s="869"/>
      <c r="S47" s="1968"/>
      <c r="T47" s="812"/>
      <c r="U47" s="812"/>
      <c r="V47" s="837"/>
      <c r="W47" s="837"/>
      <c r="X47" s="840" t="str">
        <f>Y46&amp;"-"&amp;AA46</f>
        <v>-</v>
      </c>
      <c r="Y47" s="2778"/>
      <c r="Z47" s="2619"/>
      <c r="AA47" s="2778"/>
      <c r="AB47" s="2619"/>
      <c r="AC47" s="837"/>
      <c r="AD47" s="837"/>
      <c r="AE47" s="840" t="str">
        <f>AF46&amp;"-"&amp;AH46</f>
        <v>-</v>
      </c>
      <c r="AF47" s="2778"/>
      <c r="AG47" s="2619"/>
      <c r="AH47" s="2800"/>
      <c r="AI47" s="2619"/>
      <c r="AJ47" s="1951"/>
      <c r="AK47" s="2861"/>
      <c r="AM47" s="1012"/>
      <c r="AN47" s="1012" t="str">
        <f>IF(T47="","",T47)</f>
        <v/>
      </c>
      <c r="AO47" s="1012"/>
      <c r="AP47" s="1012"/>
      <c r="AQ47" s="1667">
        <v>0</v>
      </c>
    </row>
    <row customHeight="1" ht="21">
      <c r="A48" s="1875" t="s">
        <v>280</v>
      </c>
      <c r="B48" s="1875" t="s">
        <v>281</v>
      </c>
      <c r="C48" s="1875" t="s">
        <v>282</v>
      </c>
      <c r="D48" s="1875" t="s">
        <v>611</v>
      </c>
      <c r="E48" s="2771"/>
      <c r="F48" s="2771"/>
      <c r="G48" s="2771"/>
      <c r="H48" s="2771"/>
      <c r="I48" s="2798"/>
      <c r="J48" s="2768"/>
      <c r="K48" s="1875"/>
      <c r="L48" s="1876"/>
      <c r="P48" s="2769"/>
      <c r="Q48" s="2769"/>
      <c r="R48" s="868"/>
      <c r="S48" s="1790"/>
      <c r="T48" s="799" t="s">
        <v>601</v>
      </c>
      <c r="U48" s="879"/>
      <c r="V48" s="879"/>
      <c r="W48" s="879"/>
      <c r="X48" s="879"/>
      <c r="Y48" s="879"/>
      <c r="Z48" s="879"/>
      <c r="AA48" s="879"/>
      <c r="AB48" s="879"/>
      <c r="AC48" s="879"/>
      <c r="AD48" s="879"/>
      <c r="AE48" s="879"/>
      <c r="AF48" s="879"/>
      <c r="AG48" s="879"/>
      <c r="AH48" s="879"/>
      <c r="AI48" s="879"/>
      <c r="AJ48" s="879"/>
      <c r="AK48" s="1770" t="s">
        <v>602</v>
      </c>
      <c r="AM48" s="1012"/>
      <c r="AN48" s="1012" t="str">
        <f>IF(T48="","",T48)</f>
        <v>Добавить значение признака дифференциации</v>
      </c>
      <c r="AO48" s="1012"/>
      <c r="AP48" s="1012"/>
      <c r="AQ48" s="1667">
        <v>20</v>
      </c>
    </row>
    <row customHeight="1" ht="22.049999999999997">
      <c r="A49" s="1875" t="s">
        <v>280</v>
      </c>
      <c r="B49" s="1875" t="s">
        <v>281</v>
      </c>
      <c r="C49" s="1875" t="s">
        <v>282</v>
      </c>
      <c r="D49" s="1875" t="s">
        <v>611</v>
      </c>
      <c r="E49" s="2771"/>
      <c r="F49" s="2771"/>
      <c r="G49" s="2771"/>
      <c r="H49" s="2771"/>
      <c r="I49" s="2768"/>
      <c r="J49" s="1875"/>
      <c r="K49" s="1875"/>
      <c r="L49" s="1876"/>
      <c r="P49" s="2769"/>
      <c r="Q49" s="1962"/>
      <c r="R49" s="868"/>
      <c r="S49" s="1790"/>
      <c r="T49" s="877" t="s">
        <v>530</v>
      </c>
      <c r="U49" s="879"/>
      <c r="V49" s="879"/>
      <c r="W49" s="879"/>
      <c r="X49" s="879"/>
      <c r="Y49" s="879"/>
      <c r="Z49" s="879"/>
      <c r="AA49" s="879"/>
      <c r="AB49" s="878"/>
      <c r="AC49" s="879"/>
      <c r="AD49" s="879"/>
      <c r="AE49" s="879"/>
      <c r="AF49" s="879"/>
      <c r="AG49" s="879"/>
      <c r="AH49" s="879"/>
      <c r="AI49" s="878"/>
      <c r="AJ49" s="879"/>
      <c r="AK49" s="1952"/>
      <c r="AM49" s="1012"/>
      <c r="AN49" s="1012" t="str">
        <f>IF(T49="","",T49)</f>
        <v>Добавить группу потребителей</v>
      </c>
      <c r="AO49" s="1012"/>
      <c r="AP49" s="1012"/>
      <c r="AQ49" s="1667">
        <v>21</v>
      </c>
    </row>
    <row customHeight="1" ht="22.049999999999997">
      <c r="A50" s="1875" t="s">
        <v>280</v>
      </c>
      <c r="B50" s="1875" t="s">
        <v>281</v>
      </c>
      <c r="C50" s="1875" t="s">
        <v>282</v>
      </c>
      <c r="D50" s="1875" t="s">
        <v>611</v>
      </c>
      <c r="E50" s="2771"/>
      <c r="F50" s="2771"/>
      <c r="G50" s="2771"/>
      <c r="H50" s="2770"/>
      <c r="I50" s="1875"/>
      <c r="J50" s="1875"/>
      <c r="K50" s="1875"/>
      <c r="L50" s="1876"/>
      <c r="M50" s="1877"/>
      <c r="N50" s="1877"/>
      <c r="O50" s="1049"/>
      <c r="P50" s="872"/>
      <c r="Q50" s="887"/>
      <c r="R50" s="867"/>
      <c r="S50" s="1790"/>
      <c r="T50" s="884" t="s">
        <v>603</v>
      </c>
      <c r="U50" s="879"/>
      <c r="V50" s="879"/>
      <c r="W50" s="879"/>
      <c r="X50" s="879"/>
      <c r="Y50" s="879"/>
      <c r="Z50" s="879"/>
      <c r="AA50" s="879"/>
      <c r="AB50" s="878"/>
      <c r="AC50" s="879"/>
      <c r="AD50" s="879"/>
      <c r="AE50" s="879"/>
      <c r="AF50" s="879"/>
      <c r="AG50" s="879"/>
      <c r="AH50" s="879"/>
      <c r="AI50" s="878"/>
      <c r="AJ50" s="879"/>
      <c r="AK50" s="815"/>
      <c r="AM50" s="1012"/>
      <c r="AN50" s="1012" t="str">
        <f>IF(T50="","",T50)</f>
        <v>Добавить наименование признака дифференциации</v>
      </c>
      <c r="AO50" s="1012"/>
      <c r="AP50" s="1012"/>
      <c r="AQ50" s="1667">
        <v>21</v>
      </c>
    </row>
    <row s="46890" customFormat="1" customHeight="1" ht="0">
      <c r="A51" s="1855" t="s">
        <v>280</v>
      </c>
      <c r="B51" s="1855" t="s">
        <v>281</v>
      </c>
      <c r="C51" s="1826"/>
      <c r="D51" s="1826"/>
      <c r="E51" s="2771"/>
      <c r="F51" s="2770"/>
      <c r="G51" s="1826"/>
      <c r="H51" s="1826"/>
      <c r="I51" s="1826"/>
      <c r="J51" s="1826"/>
      <c r="K51" s="1826"/>
      <c r="L51" s="1970"/>
      <c r="M51" s="1833"/>
      <c r="N51" s="1833"/>
      <c r="P51" s="1828"/>
      <c r="Q51" s="1829"/>
      <c r="R51" s="1828"/>
      <c r="S51" s="1834"/>
      <c r="T51" s="1837" t="s">
        <v>321</v>
      </c>
      <c r="U51" s="1836"/>
      <c r="V51" s="1836"/>
      <c r="W51" s="1836"/>
      <c r="X51" s="1836"/>
      <c r="Y51" s="1836"/>
      <c r="Z51" s="1836"/>
      <c r="AA51" s="1836"/>
      <c r="AB51" s="1836"/>
      <c r="AC51" s="1836"/>
      <c r="AD51" s="1836"/>
      <c r="AE51" s="1836"/>
      <c r="AF51" s="1836"/>
      <c r="AG51" s="1836"/>
      <c r="AH51" s="1836"/>
      <c r="AI51" s="1836"/>
      <c r="AJ51" s="1836"/>
      <c r="AK51" s="1836"/>
      <c r="AM51" s="1301"/>
      <c r="AN51" s="1301" t="str">
        <f>IF(T51="","",T51)</f>
        <v>Добавить централизованную систему для дифференциации</v>
      </c>
      <c r="AO51" s="1301"/>
      <c r="AP51" s="1301"/>
      <c r="AQ51" s="1030">
        <v>0</v>
      </c>
    </row>
    <row s="46890" customFormat="1" customHeight="1" ht="0">
      <c r="A52" s="1855" t="s">
        <v>280</v>
      </c>
      <c r="B52" s="1855"/>
      <c r="C52" s="1855"/>
      <c r="D52" s="1855"/>
      <c r="E52" s="2770"/>
      <c r="F52" s="1855"/>
      <c r="G52" s="1855"/>
      <c r="H52" s="1855"/>
      <c r="I52" s="1855"/>
      <c r="J52" s="1855"/>
      <c r="K52" s="1855"/>
      <c r="L52" s="1858"/>
      <c r="M52" s="1833"/>
      <c r="N52" s="1833"/>
      <c r="O52" s="1030"/>
      <c r="P52" s="892"/>
      <c r="Q52" s="1856"/>
      <c r="R52" s="892"/>
      <c r="S52" s="1834"/>
      <c r="T52" s="1837" t="s">
        <v>385</v>
      </c>
      <c r="U52" s="1836"/>
      <c r="V52" s="1836"/>
      <c r="W52" s="1836"/>
      <c r="X52" s="1836"/>
      <c r="Y52" s="1836"/>
      <c r="Z52" s="1836"/>
      <c r="AA52" s="1836"/>
      <c r="AB52" s="1836"/>
      <c r="AC52" s="1836"/>
      <c r="AD52" s="1836"/>
      <c r="AE52" s="1836"/>
      <c r="AF52" s="1836"/>
      <c r="AG52" s="1836"/>
      <c r="AH52" s="1836"/>
      <c r="AI52" s="1836"/>
      <c r="AJ52" s="1836"/>
      <c r="AK52" s="1836"/>
      <c r="AM52" s="1012"/>
      <c r="AN52" s="1012" t="str">
        <f>IF(T52="","",T52)</f>
        <v>Добавить территорию для дифференциации</v>
      </c>
      <c r="AO52" s="1012"/>
      <c r="AP52" s="1012"/>
      <c r="AQ52" s="1023">
        <v>0</v>
      </c>
    </row>
    <row s="46890" customFormat="1" customHeight="1" ht="0">
      <c r="A53" s="1826"/>
      <c r="B53" s="1826"/>
      <c r="C53" s="1826"/>
      <c r="D53" s="1826"/>
      <c r="E53" s="1855"/>
      <c r="F53" s="1826"/>
      <c r="G53" s="1826"/>
      <c r="H53" s="1826"/>
      <c r="I53" s="1826"/>
      <c r="J53" s="1826"/>
      <c r="K53" s="1826"/>
      <c r="L53" s="1970"/>
      <c r="M53" s="1833"/>
      <c r="N53" s="1833"/>
      <c r="P53" s="1828"/>
      <c r="Q53" s="1829"/>
      <c r="R53" s="1828"/>
      <c r="S53" s="1834"/>
      <c r="T53" s="1837" t="s">
        <v>386</v>
      </c>
      <c r="U53" s="1836"/>
      <c r="V53" s="1836"/>
      <c r="W53" s="1836"/>
      <c r="X53" s="1836"/>
      <c r="Y53" s="1836"/>
      <c r="Z53" s="1836"/>
      <c r="AA53" s="1836"/>
      <c r="AB53" s="1836"/>
      <c r="AC53" s="1836"/>
      <c r="AD53" s="1836"/>
      <c r="AE53" s="1836"/>
      <c r="AF53" s="1836"/>
      <c r="AG53" s="1836"/>
      <c r="AH53" s="1836"/>
      <c r="AI53" s="1836"/>
      <c r="AJ53" s="1836"/>
      <c r="AK53" s="1836"/>
      <c r="AM53" s="1301"/>
      <c r="AN53" s="1301" t="str">
        <f>IF(T53="","",T53)</f>
        <v>Добавить наименование тарифа</v>
      </c>
      <c r="AO53" s="1301"/>
      <c r="AP53" s="1301"/>
      <c r="AQ53" s="1030">
        <v>0</v>
      </c>
    </row>
    <row customHeight="1" ht="11.549999999999999">
      <c r="M54" s="1672"/>
      <c r="N54" s="1672"/>
      <c r="O54" s="1049"/>
      <c r="P54" s="1667"/>
      <c r="Q54" s="1667"/>
      <c r="R54" s="1667"/>
      <c r="S54" s="1667"/>
      <c r="AL54" s="1667"/>
      <c r="AM54" s="1667"/>
      <c r="AN54" s="1667"/>
      <c r="AO54" s="1667"/>
      <c r="AP54" s="1667"/>
      <c r="AQ54" s="1667">
        <v>11</v>
      </c>
    </row>
    <row customHeight="1" ht="14.699999999999998">
      <c r="O55" s="1049"/>
      <c r="S55" s="1765"/>
      <c r="T55" s="2797"/>
      <c r="U55" s="2797"/>
      <c r="V55" s="2797"/>
      <c r="W55" s="2797"/>
      <c r="X55" s="2797"/>
      <c r="Y55" s="2797"/>
      <c r="Z55" s="2797"/>
      <c r="AA55" s="2797"/>
      <c r="AB55" s="2797"/>
      <c r="AC55" s="2797"/>
      <c r="AD55" s="2797"/>
      <c r="AE55" s="2797"/>
      <c r="AF55" s="2797"/>
      <c r="AG55" s="2797"/>
      <c r="AH55" s="2797"/>
      <c r="AI55" s="2797"/>
      <c r="AJ55" s="2797"/>
      <c r="AK55" s="2797"/>
      <c r="AQ55" s="1667">
        <v>14</v>
      </c>
    </row>
    <row customHeight="1" ht="14.699999999999998">
      <c r="O56" s="1049"/>
      <c r="AQ56" s="1667">
        <v>14</v>
      </c>
    </row>
    <row customHeight="1" ht="14.699999999999998">
      <c r="O57" s="1049"/>
      <c r="S57" s="1765"/>
      <c r="T57" s="2797"/>
      <c r="U57" s="2797"/>
      <c r="V57" s="2797"/>
      <c r="W57" s="2797"/>
      <c r="X57" s="2797"/>
      <c r="Y57" s="2797"/>
      <c r="Z57" s="2797"/>
      <c r="AA57" s="2797"/>
      <c r="AB57" s="2797"/>
      <c r="AC57" s="2797"/>
      <c r="AD57" s="2797"/>
      <c r="AE57" s="2797"/>
      <c r="AF57" s="2797"/>
      <c r="AG57" s="2797"/>
      <c r="AH57" s="2797"/>
      <c r="AI57" s="2797"/>
      <c r="AJ57" s="2797"/>
      <c r="AK57" s="2797"/>
      <c r="AQ57" s="1667">
        <v>14</v>
      </c>
    </row>
    <row customHeight="1" ht="22.5" hidden="1">
      <c r="A58" s="1672" t="s">
        <v>84</v>
      </c>
      <c r="B58" s="1672">
        <v>0</v>
      </c>
      <c r="C58" s="1672">
        <v>0</v>
      </c>
      <c r="D58" s="1672">
        <v>0</v>
      </c>
      <c r="E58" s="1672">
        <v>0</v>
      </c>
      <c r="F58" s="1672">
        <v>0</v>
      </c>
      <c r="G58" s="1672">
        <v>0</v>
      </c>
      <c r="H58" s="1672">
        <v>0</v>
      </c>
      <c r="I58" s="1672">
        <v>0</v>
      </c>
      <c r="J58" s="1672">
        <v>0</v>
      </c>
      <c r="K58" s="1672">
        <v>0</v>
      </c>
      <c r="L58" s="1959">
        <v>0</v>
      </c>
      <c r="M58" s="1874">
        <v>0</v>
      </c>
      <c r="N58" s="1874">
        <v>0</v>
      </c>
      <c r="O58" s="1874">
        <v>0</v>
      </c>
      <c r="P58" s="1958">
        <v>3</v>
      </c>
      <c r="Q58" s="856">
        <v>3</v>
      </c>
      <c r="R58" s="856">
        <v>3</v>
      </c>
      <c r="S58" s="1093">
        <v>12</v>
      </c>
      <c r="T58" s="1667">
        <v>35</v>
      </c>
      <c r="U58" s="1667">
        <v>0</v>
      </c>
      <c r="V58" s="1667">
        <v>0</v>
      </c>
      <c r="W58" s="1667">
        <v>0</v>
      </c>
      <c r="X58" s="1667">
        <v>0</v>
      </c>
      <c r="Y58" s="1667">
        <v>0</v>
      </c>
      <c r="Z58" s="1667">
        <v>0</v>
      </c>
      <c r="AA58" s="1667">
        <v>0</v>
      </c>
      <c r="AB58" s="1667">
        <v>0</v>
      </c>
      <c r="AC58" s="1667">
        <v>24</v>
      </c>
      <c r="AD58" s="1667">
        <v>24</v>
      </c>
      <c r="AE58" s="1667">
        <v>24</v>
      </c>
      <c r="AF58" s="1667">
        <v>11</v>
      </c>
      <c r="AG58" s="1667">
        <v>3</v>
      </c>
      <c r="AH58" s="1667">
        <v>11</v>
      </c>
      <c r="AI58" s="1667">
        <v>0</v>
      </c>
      <c r="AJ58" s="1667">
        <v>4</v>
      </c>
      <c r="AK58" s="1667">
        <v>115</v>
      </c>
      <c r="AL58" s="1023">
        <v>10</v>
      </c>
      <c r="AM58" s="1023">
        <v>10</v>
      </c>
      <c r="AN58" s="1023">
        <v>10</v>
      </c>
      <c r="AO58" s="1023">
        <v>10</v>
      </c>
      <c r="AP58" s="1023">
        <v>10</v>
      </c>
      <c r="AQ58" s="1667">
        <v>23</v>
      </c>
    </row>
  </sheetData>
  <sheetProtection formatColumns="0" formatRows="0" autoFilter="0" sort="0" insertRows="0" insertColumns="1" deleteRows="0" deleteColumns="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565C5B8-E3A2-E9AB-3A59-6C575F009036}"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46889" width="10.57421875" hidden="1"/>
    <col min="2" max="2" style="46889" width="11.00390625" hidden="1" customWidth="1"/>
    <col min="3" max="3" style="46889" width="10.57421875" hidden="1"/>
    <col min="4" max="4" style="46889" width="11.8515625" hidden="1" customWidth="1"/>
    <col min="5" max="5" style="46889" width="10.00390625" hidden="1" customWidth="1"/>
    <col min="6" max="6" style="46889" width="8.7109375" hidden="1" customWidth="1"/>
    <col min="7" max="7" style="46889" width="7.57421875" hidden="1" customWidth="1"/>
    <col min="8" max="8" style="46889" width="11.421875" hidden="1" customWidth="1"/>
    <col min="9" max="9" style="46889" width="14.140625" hidden="1" customWidth="1"/>
    <col min="10" max="10" style="46889" width="9.8515625" hidden="1" customWidth="1"/>
    <col min="11" max="11" style="46889" width="14.7109375" hidden="1" customWidth="1"/>
    <col min="12" max="12" style="47738" width="19.140625" hidden="1" customWidth="1"/>
    <col min="13" max="14" style="47739" width="12.28125" hidden="1" customWidth="1"/>
    <col min="15" max="15" style="47739" width="23.421875" hidden="1" customWidth="1"/>
    <col min="16" max="16" style="47740" width="3.00390625" customWidth="1"/>
    <col min="17" max="18" style="47741" width="3.00390625" customWidth="1"/>
    <col min="19" max="19" style="47742" width="12.00390625" customWidth="1"/>
    <col min="20" max="20" style="46808" width="35.00390625" customWidth="1"/>
    <col min="21" max="21" style="46808" width="0.140625" customWidth="1"/>
    <col min="22" max="24" style="46808" width="24.7109375" hidden="1" customWidth="1"/>
    <col min="25" max="25" style="46808" width="11.7109375" hidden="1" customWidth="1"/>
    <col min="26" max="26" style="46808" width="3.7109375" hidden="1" customWidth="1"/>
    <col min="27" max="27" style="46808" width="11.7109375" hidden="1" customWidth="1"/>
    <col min="28" max="28" style="46808" width="8.57421875" hidden="1" customWidth="1"/>
    <col min="29" max="29" style="46808" width="24.7109375" customWidth="1"/>
    <col min="30" max="31" style="46808" width="24.00390625" customWidth="1"/>
    <col min="32" max="32" style="46808" width="11.00390625" customWidth="1"/>
    <col min="33" max="33" style="46808" width="3.7109375" customWidth="1"/>
    <col min="34" max="34" style="46808" width="11.00390625" customWidth="1"/>
    <col min="35" max="35" style="46808" width="8.57421875" hidden="1" customWidth="1"/>
    <col min="36" max="36" style="46808" width="4.00390625" customWidth="1"/>
    <col min="37" max="37" style="46808" width="115.00390625" customWidth="1"/>
    <col min="38" max="42" style="46890" width="10.00390625" customWidth="1"/>
    <col min="43" max="43" style="46808" width="10.57421875" hidden="1"/>
  </cols>
  <sheetData>
    <row customHeight="1" ht="22.5" hidden="1">
      <c r="X1" s="839"/>
      <c r="Y1" s="839"/>
      <c r="AE1" s="839"/>
      <c r="AF1" s="839"/>
      <c r="AQ1" s="1667" t="s">
        <v>14</v>
      </c>
    </row>
    <row customHeight="1" ht="23.25" hidden="1">
      <c r="A2" s="1875"/>
      <c r="B2" s="1875"/>
      <c r="C2" s="1875"/>
      <c r="D2" s="1875"/>
      <c r="E2" s="2770">
        <v>1</v>
      </c>
      <c r="F2" s="1875"/>
      <c r="G2" s="1875"/>
      <c r="H2" s="1875"/>
      <c r="I2" s="1875"/>
      <c r="J2" s="1875"/>
      <c r="K2" s="1875"/>
      <c r="L2" s="1876"/>
      <c r="M2" s="1877"/>
      <c r="N2" s="1877"/>
      <c r="O2" s="1877"/>
      <c r="P2" s="873"/>
      <c r="Q2" s="872"/>
      <c r="R2" s="867"/>
      <c r="S2" s="1969">
        <f>INDEX(PT_DIFFERENTIATION_NUM_NTAR,MATCH(A2,PT_DIFFERENTIATION_NTAR_ID,0))</f>
      </c>
      <c r="T2" s="810" t="s">
        <v>179</v>
      </c>
      <c r="U2" s="812"/>
      <c r="V2" s="2754"/>
      <c r="W2" s="2755"/>
      <c r="X2" s="2755"/>
      <c r="Y2" s="2755"/>
      <c r="Z2" s="2755"/>
      <c r="AA2" s="2755"/>
      <c r="AB2" s="2756"/>
      <c r="AC2" s="2754">
        <f>INDEX(PT_DIFFERENTIATION_NTAR,MATCH(A2,PT_DIFFERENTIATION_NTAR_ID,0))</f>
      </c>
      <c r="AD2" s="2755"/>
      <c r="AE2" s="2755"/>
      <c r="AF2" s="2755"/>
      <c r="AG2" s="2755"/>
      <c r="AH2" s="2755"/>
      <c r="AI2" s="2755"/>
      <c r="AJ2" s="2756"/>
      <c r="AK2"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1012"/>
      <c r="AN2" s="1012" t="str">
        <f>IF(T2="","",T2)</f>
        <v>Наименование тарифа</v>
      </c>
      <c r="AO2" s="1012"/>
      <c r="AP2" s="1012"/>
      <c r="AQ2" s="1667">
        <v>0</v>
      </c>
    </row>
    <row customHeight="1" ht="23.25" hidden="1">
      <c r="A3" s="1875"/>
      <c r="B3" s="1875"/>
      <c r="C3" s="1875"/>
      <c r="D3" s="1875"/>
      <c r="E3" s="2771"/>
      <c r="F3" s="2770">
        <v>1</v>
      </c>
      <c r="G3" s="1875"/>
      <c r="H3" s="1875"/>
      <c r="I3" s="1875"/>
      <c r="J3" s="1875"/>
      <c r="K3" s="1875"/>
      <c r="L3" s="1876"/>
      <c r="M3" s="1877"/>
      <c r="N3" s="1877"/>
      <c r="O3" s="1877"/>
      <c r="P3" s="1965"/>
      <c r="Q3" s="864"/>
      <c r="R3" s="865"/>
      <c r="S3" s="1969">
        <f>INDEX(PT_DIFFERENTIATION_NUM_TER,MATCH(B3,PT_DIFFERENTIATION_TER_ID,0))</f>
      </c>
      <c r="T3" s="820" t="s">
        <v>515</v>
      </c>
      <c r="U3" s="812"/>
      <c r="V3" s="2754"/>
      <c r="W3" s="2755"/>
      <c r="X3" s="2755"/>
      <c r="Y3" s="2755"/>
      <c r="Z3" s="2755"/>
      <c r="AA3" s="2755"/>
      <c r="AB3" s="2756"/>
      <c r="AC3" s="2754">
        <f>INDEX(PT_DIFFERENTIATION_TER,MATCH(B3,PT_DIFFERENTIATION_TER_ID,0))</f>
      </c>
      <c r="AD3" s="2755"/>
      <c r="AE3" s="2755"/>
      <c r="AF3" s="2755"/>
      <c r="AG3" s="2755"/>
      <c r="AH3" s="2755"/>
      <c r="AI3" s="2755"/>
      <c r="AJ3" s="2756"/>
      <c r="AK3" s="1770" t="s">
        <v>516</v>
      </c>
      <c r="AM3" s="1012"/>
      <c r="AN3" s="1012" t="str">
        <f>IF(T3="","",T3)</f>
        <v>Территория действия тарифа</v>
      </c>
      <c r="AO3" s="1012"/>
      <c r="AP3" s="1012"/>
      <c r="AQ3" s="1667">
        <v>0</v>
      </c>
    </row>
    <row customHeight="1" ht="23.25" hidden="1">
      <c r="A4" s="1875"/>
      <c r="B4" s="1875"/>
      <c r="C4" s="1875"/>
      <c r="D4" s="1875"/>
      <c r="E4" s="2771"/>
      <c r="F4" s="2771"/>
      <c r="G4" s="2770">
        <v>1</v>
      </c>
      <c r="H4" s="1875"/>
      <c r="I4" s="1875"/>
      <c r="J4" s="1875"/>
      <c r="K4" s="1875"/>
      <c r="L4" s="1876"/>
      <c r="M4" s="1877"/>
      <c r="N4" s="1877"/>
      <c r="O4" s="1877"/>
      <c r="P4" s="866"/>
      <c r="Q4" s="864"/>
      <c r="R4" s="865"/>
      <c r="S4" s="1969">
        <f>INDEX(PT_DIFFERENTIATION_NUM_CS,MATCH(C4,PT_DIFFERENTIATION_CS_ID,0))</f>
      </c>
      <c r="T4" s="821" t="s">
        <v>596</v>
      </c>
      <c r="U4" s="812"/>
      <c r="V4" s="2754"/>
      <c r="W4" s="2755"/>
      <c r="X4" s="2755"/>
      <c r="Y4" s="2755"/>
      <c r="Z4" s="2755"/>
      <c r="AA4" s="2755"/>
      <c r="AB4" s="2756"/>
      <c r="AC4" s="2754">
        <f>INDEX(PT_DIFFERENTIATION_CS,MATCH(C4,PT_DIFFERENTIATION_CS_ID,0))</f>
      </c>
      <c r="AD4" s="2755"/>
      <c r="AE4" s="2755"/>
      <c r="AF4" s="2755"/>
      <c r="AG4" s="2755"/>
      <c r="AH4" s="2755"/>
      <c r="AI4" s="2755"/>
      <c r="AJ4" s="2756"/>
      <c r="AK4" s="1770" t="s">
        <v>597</v>
      </c>
      <c r="AM4" s="1012"/>
      <c r="AN4" s="1012" t="str">
        <f>IF(T4="","",T4)</f>
        <v>Наименование централизованной системы холодного водоснабжения</v>
      </c>
      <c r="AO4" s="1012"/>
      <c r="AP4" s="1012"/>
      <c r="AQ4" s="1667">
        <v>0</v>
      </c>
    </row>
    <row customHeight="1" ht="23.25" hidden="1">
      <c r="A5" s="1875"/>
      <c r="B5" s="1875"/>
      <c r="C5" s="1875"/>
      <c r="D5" s="1875"/>
      <c r="E5" s="2771"/>
      <c r="F5" s="2771"/>
      <c r="G5" s="2771"/>
      <c r="H5" s="2771"/>
      <c r="I5" s="2768">
        <f>S4&amp;".1"</f>
      </c>
      <c r="J5" s="1875"/>
      <c r="K5" s="1875"/>
      <c r="L5" s="1876"/>
      <c r="P5" s="2769">
        <v>1</v>
      </c>
      <c r="Q5" s="1962"/>
      <c r="R5" s="868"/>
      <c r="S5" s="1969">
        <f>$I5</f>
      </c>
      <c r="T5" s="797" t="s">
        <v>598</v>
      </c>
      <c r="U5" s="812"/>
      <c r="V5" s="2862"/>
      <c r="W5" s="2863"/>
      <c r="X5" s="2863"/>
      <c r="Y5" s="2863"/>
      <c r="Z5" s="2863"/>
      <c r="AA5" s="2863"/>
      <c r="AB5" s="2864"/>
      <c r="AC5" s="2865"/>
      <c r="AD5" s="2866"/>
      <c r="AE5" s="2866"/>
      <c r="AF5" s="2866"/>
      <c r="AG5" s="2866"/>
      <c r="AH5" s="2866"/>
      <c r="AI5" s="2866"/>
      <c r="AJ5" s="2867"/>
      <c r="AK5" s="1770" t="s">
        <v>599</v>
      </c>
      <c r="AM5" s="1012"/>
      <c r="AN5" s="1012" t="str">
        <f>IF(T5="","",T5)</f>
        <v>Наименование признака дифференциации</v>
      </c>
      <c r="AO5" s="1012"/>
      <c r="AP5" s="1012"/>
      <c r="AQ5" s="1667">
        <v>0</v>
      </c>
    </row>
    <row customHeight="1" ht="23.25" hidden="1">
      <c r="A6" s="1875"/>
      <c r="B6" s="1875"/>
      <c r="C6" s="1875"/>
      <c r="D6" s="1875"/>
      <c r="E6" s="2771"/>
      <c r="F6" s="2771"/>
      <c r="G6" s="2771"/>
      <c r="H6" s="2771"/>
      <c r="I6" s="2798"/>
      <c r="J6" s="2768">
        <f>I5&amp;".1"</f>
      </c>
      <c r="K6" s="1875"/>
      <c r="L6" s="1876" t="s">
        <v>524</v>
      </c>
      <c r="P6" s="2769"/>
      <c r="Q6" s="2769">
        <v>1</v>
      </c>
      <c r="R6" s="869"/>
      <c r="S6" s="1969">
        <f>$J6</f>
      </c>
      <c r="T6" s="798" t="s">
        <v>525</v>
      </c>
      <c r="U6" s="812"/>
      <c r="V6" s="2757"/>
      <c r="W6" s="2758"/>
      <c r="X6" s="2758"/>
      <c r="Y6" s="2758"/>
      <c r="Z6" s="2758"/>
      <c r="AA6" s="2758"/>
      <c r="AB6" s="2759"/>
      <c r="AC6" s="2757"/>
      <c r="AD6" s="2758"/>
      <c r="AE6" s="2758"/>
      <c r="AF6" s="2758"/>
      <c r="AG6" s="2758"/>
      <c r="AH6" s="2758"/>
      <c r="AI6" s="2758"/>
      <c r="AJ6" s="2759"/>
      <c r="AK6" s="1819" t="s">
        <v>600</v>
      </c>
      <c r="AM6" s="1012"/>
      <c r="AN6" s="1012" t="str">
        <f>IF(T6="","",T6)</f>
        <v>Группа потребителей</v>
      </c>
      <c r="AO6" s="1012"/>
      <c r="AP6" s="1012"/>
      <c r="AQ6" s="1667">
        <v>0</v>
      </c>
    </row>
    <row customHeight="1" ht="23.25" hidden="1">
      <c r="A7" s="1875"/>
      <c r="B7" s="1875"/>
      <c r="C7" s="1875"/>
      <c r="D7" s="1875"/>
      <c r="E7" s="2771"/>
      <c r="F7" s="2771"/>
      <c r="G7" s="2771"/>
      <c r="H7" s="2771"/>
      <c r="I7" s="2798"/>
      <c r="J7" s="2798"/>
      <c r="K7" s="2768">
        <f>J6&amp;".1"</f>
      </c>
      <c r="L7" s="1876"/>
      <c r="P7" s="2769"/>
      <c r="Q7" s="2769"/>
      <c r="R7" s="869">
        <v>1</v>
      </c>
      <c r="S7" s="1969">
        <f>$K7</f>
      </c>
      <c r="T7" s="1949"/>
      <c r="U7" s="812"/>
      <c r="V7" s="1263"/>
      <c r="W7" s="1263"/>
      <c r="X7" s="1769"/>
      <c r="Y7" s="2777"/>
      <c r="Z7" s="2619" t="s">
        <v>63</v>
      </c>
      <c r="AA7" s="2777"/>
      <c r="AB7" s="2619" t="s">
        <v>63</v>
      </c>
      <c r="AC7" s="1263"/>
      <c r="AD7" s="1263"/>
      <c r="AE7" s="1769"/>
      <c r="AF7" s="2777"/>
      <c r="AG7" s="2619" t="s">
        <v>63</v>
      </c>
      <c r="AH7" s="2799"/>
      <c r="AI7" s="2619" t="s">
        <v>63</v>
      </c>
      <c r="AJ7" s="1950"/>
      <c r="AK7" s="28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023">
        <f>STRCHECKDATE(V8:AJ8)</f>
      </c>
      <c r="AM7" s="1012"/>
      <c r="AN7" s="1012" t="str">
        <f>IF(T7="","",T7)</f>
        <v/>
      </c>
      <c r="AO7" s="1012"/>
      <c r="AP7" s="1012"/>
      <c r="AQ7" s="1667">
        <v>0</v>
      </c>
    </row>
    <row customHeight="1" ht="14.25" hidden="1">
      <c r="A8" s="1875"/>
      <c r="B8" s="1875"/>
      <c r="C8" s="1875"/>
      <c r="D8" s="1875"/>
      <c r="E8" s="2771"/>
      <c r="F8" s="2771"/>
      <c r="G8" s="2771"/>
      <c r="H8" s="2771"/>
      <c r="I8" s="2798"/>
      <c r="J8" s="2798"/>
      <c r="K8" s="2768"/>
      <c r="L8" s="1876"/>
      <c r="P8" s="2769"/>
      <c r="Q8" s="2769"/>
      <c r="R8" s="869"/>
      <c r="S8" s="1968"/>
      <c r="T8" s="812"/>
      <c r="U8" s="812"/>
      <c r="V8" s="837"/>
      <c r="W8" s="837"/>
      <c r="X8" s="840" t="str">
        <f>Y7&amp;"-"&amp;AA7</f>
        <v>-</v>
      </c>
      <c r="Y8" s="2778"/>
      <c r="Z8" s="2619"/>
      <c r="AA8" s="2778"/>
      <c r="AB8" s="2619"/>
      <c r="AC8" s="837"/>
      <c r="AD8" s="837"/>
      <c r="AE8" s="840" t="str">
        <f>AF7&amp;"-"&amp;AH7</f>
        <v>-</v>
      </c>
      <c r="AF8" s="2778"/>
      <c r="AG8" s="2619"/>
      <c r="AH8" s="2800"/>
      <c r="AI8" s="2619"/>
      <c r="AJ8" s="1951"/>
      <c r="AK8" s="2861"/>
      <c r="AM8" s="1012"/>
      <c r="AN8" s="1012" t="str">
        <f>IF(T8="","",T8)</f>
        <v/>
      </c>
      <c r="AO8" s="1012"/>
      <c r="AP8" s="1012"/>
      <c r="AQ8" s="1667">
        <v>0</v>
      </c>
    </row>
    <row customHeight="1" ht="21" hidden="1">
      <c r="A9" s="1875"/>
      <c r="B9" s="1875"/>
      <c r="C9" s="1875"/>
      <c r="D9" s="1875"/>
      <c r="E9" s="2771"/>
      <c r="F9" s="2771"/>
      <c r="G9" s="2771"/>
      <c r="H9" s="2771"/>
      <c r="I9" s="2798"/>
      <c r="J9" s="2768"/>
      <c r="K9" s="1875"/>
      <c r="L9" s="1876"/>
      <c r="P9" s="2769"/>
      <c r="Q9" s="2769"/>
      <c r="R9" s="868"/>
      <c r="S9" s="1790"/>
      <c r="T9" s="799" t="s">
        <v>601</v>
      </c>
      <c r="U9" s="879"/>
      <c r="V9" s="879"/>
      <c r="W9" s="879"/>
      <c r="X9" s="879"/>
      <c r="Y9" s="879"/>
      <c r="Z9" s="879"/>
      <c r="AA9" s="879"/>
      <c r="AB9" s="879"/>
      <c r="AC9" s="879"/>
      <c r="AD9" s="879"/>
      <c r="AE9" s="879"/>
      <c r="AF9" s="879"/>
      <c r="AG9" s="879"/>
      <c r="AH9" s="879"/>
      <c r="AI9" s="879"/>
      <c r="AJ9" s="879"/>
      <c r="AK9" s="1770" t="s">
        <v>602</v>
      </c>
      <c r="AM9" s="1012"/>
      <c r="AN9" s="1012" t="str">
        <f>IF(T9="","",T9)</f>
        <v>Добавить значение признака дифференциации</v>
      </c>
      <c r="AO9" s="1012"/>
      <c r="AP9" s="1012"/>
      <c r="AQ9" s="1667">
        <v>0</v>
      </c>
    </row>
    <row customHeight="1" ht="21" hidden="1">
      <c r="A10" s="1875"/>
      <c r="B10" s="1875"/>
      <c r="C10" s="1875"/>
      <c r="D10" s="1875"/>
      <c r="E10" s="2771"/>
      <c r="F10" s="2771"/>
      <c r="G10" s="2771"/>
      <c r="H10" s="2771"/>
      <c r="I10" s="2768"/>
      <c r="J10" s="1875"/>
      <c r="K10" s="1875"/>
      <c r="L10" s="1876"/>
      <c r="P10" s="2769"/>
      <c r="Q10" s="1962"/>
      <c r="R10" s="868"/>
      <c r="S10" s="1790"/>
      <c r="T10" s="877" t="s">
        <v>530</v>
      </c>
      <c r="U10" s="879"/>
      <c r="V10" s="879"/>
      <c r="W10" s="879"/>
      <c r="X10" s="879"/>
      <c r="Y10" s="879"/>
      <c r="Z10" s="879"/>
      <c r="AA10" s="879"/>
      <c r="AB10" s="878"/>
      <c r="AC10" s="879"/>
      <c r="AD10" s="879"/>
      <c r="AE10" s="879"/>
      <c r="AF10" s="879"/>
      <c r="AG10" s="879"/>
      <c r="AH10" s="879"/>
      <c r="AI10" s="878"/>
      <c r="AJ10" s="879"/>
      <c r="AK10" s="1952"/>
      <c r="AM10" s="1012"/>
      <c r="AN10" s="1012" t="str">
        <f>IF(T10="","",T10)</f>
        <v>Добавить группу потребителей</v>
      </c>
      <c r="AO10" s="1012"/>
      <c r="AP10" s="1012"/>
      <c r="AQ10" s="1667">
        <v>0</v>
      </c>
    </row>
    <row customHeight="1" ht="21" hidden="1">
      <c r="A11" s="1875"/>
      <c r="B11" s="1875"/>
      <c r="C11" s="1875"/>
      <c r="D11" s="1875"/>
      <c r="E11" s="2771"/>
      <c r="F11" s="2771"/>
      <c r="G11" s="2771"/>
      <c r="H11" s="2770"/>
      <c r="I11" s="1875"/>
      <c r="J11" s="1875"/>
      <c r="K11" s="1875"/>
      <c r="L11" s="1876"/>
      <c r="M11" s="1877"/>
      <c r="N11" s="1877"/>
      <c r="O11" s="1049"/>
      <c r="P11" s="872"/>
      <c r="Q11" s="887"/>
      <c r="R11" s="867"/>
      <c r="S11" s="1790"/>
      <c r="T11" s="884" t="s">
        <v>603</v>
      </c>
      <c r="U11" s="879"/>
      <c r="V11" s="879"/>
      <c r="W11" s="879"/>
      <c r="X11" s="879"/>
      <c r="Y11" s="879"/>
      <c r="Z11" s="879"/>
      <c r="AA11" s="879"/>
      <c r="AB11" s="878"/>
      <c r="AC11" s="879"/>
      <c r="AD11" s="879"/>
      <c r="AE11" s="879"/>
      <c r="AF11" s="879"/>
      <c r="AG11" s="879"/>
      <c r="AH11" s="879"/>
      <c r="AI11" s="878"/>
      <c r="AJ11" s="879"/>
      <c r="AK11" s="815"/>
      <c r="AM11" s="1012"/>
      <c r="AN11" s="1012" t="str">
        <f>IF(T11="","",T11)</f>
        <v>Добавить наименование признака дифференциации</v>
      </c>
      <c r="AO11" s="1012"/>
      <c r="AP11" s="1012"/>
      <c r="AQ11" s="1667">
        <v>0</v>
      </c>
    </row>
    <row s="46890" customFormat="1" customHeight="1" ht="14.25" hidden="1">
      <c r="A12" s="1855"/>
      <c r="B12" s="1855"/>
      <c r="C12" s="1826"/>
      <c r="D12" s="1826"/>
      <c r="E12" s="2771"/>
      <c r="F12" s="2770"/>
      <c r="G12" s="1826"/>
      <c r="H12" s="1826"/>
      <c r="I12" s="1826"/>
      <c r="J12" s="1826"/>
      <c r="K12" s="1826"/>
      <c r="L12" s="1970"/>
      <c r="M12" s="1833"/>
      <c r="N12" s="1833"/>
      <c r="P12" s="1828"/>
      <c r="Q12" s="1829"/>
      <c r="R12" s="1828"/>
      <c r="S12" s="1834"/>
      <c r="T12" s="1837" t="s">
        <v>321</v>
      </c>
      <c r="U12" s="1836"/>
      <c r="V12" s="1836"/>
      <c r="W12" s="1836"/>
      <c r="X12" s="1836"/>
      <c r="Y12" s="1836"/>
      <c r="Z12" s="1836"/>
      <c r="AA12" s="1836"/>
      <c r="AB12" s="1836"/>
      <c r="AC12" s="1836"/>
      <c r="AD12" s="1836"/>
      <c r="AE12" s="1836"/>
      <c r="AF12" s="1836"/>
      <c r="AG12" s="1836"/>
      <c r="AH12" s="1836"/>
      <c r="AI12" s="1836"/>
      <c r="AJ12" s="1836"/>
      <c r="AK12" s="1836"/>
      <c r="AM12" s="1301"/>
      <c r="AN12" s="1301" t="str">
        <f>IF(T12="","",T12)</f>
        <v>Добавить централизованную систему для дифференциации</v>
      </c>
      <c r="AO12" s="1301"/>
      <c r="AP12" s="1301"/>
      <c r="AQ12" s="1030">
        <v>0</v>
      </c>
    </row>
    <row s="46890" customFormat="1" customHeight="1" ht="14.25" hidden="1">
      <c r="A13" s="1855"/>
      <c r="B13" s="1855"/>
      <c r="C13" s="1855"/>
      <c r="D13" s="1855"/>
      <c r="E13" s="2770"/>
      <c r="F13" s="1855"/>
      <c r="G13" s="1855"/>
      <c r="H13" s="1855"/>
      <c r="I13" s="1855"/>
      <c r="J13" s="1855"/>
      <c r="K13" s="1855"/>
      <c r="L13" s="1858"/>
      <c r="M13" s="1833"/>
      <c r="N13" s="1833"/>
      <c r="O13" s="1030"/>
      <c r="P13" s="892"/>
      <c r="Q13" s="1856"/>
      <c r="R13" s="892"/>
      <c r="S13" s="1834"/>
      <c r="T13" s="1837" t="s">
        <v>385</v>
      </c>
      <c r="U13" s="1836"/>
      <c r="V13" s="1836"/>
      <c r="W13" s="1836"/>
      <c r="X13" s="1836"/>
      <c r="Y13" s="1836"/>
      <c r="Z13" s="1836"/>
      <c r="AA13" s="1836"/>
      <c r="AB13" s="1836"/>
      <c r="AC13" s="1836"/>
      <c r="AD13" s="1836"/>
      <c r="AE13" s="1836"/>
      <c r="AF13" s="1836"/>
      <c r="AG13" s="1836"/>
      <c r="AH13" s="1836"/>
      <c r="AI13" s="1836"/>
      <c r="AJ13" s="1836"/>
      <c r="AK13" s="1836"/>
      <c r="AM13" s="1012"/>
      <c r="AN13" s="1012" t="str">
        <f>IF(T13="","",T13)</f>
        <v>Добавить территорию для дифференциации</v>
      </c>
      <c r="AO13" s="1012"/>
      <c r="AP13" s="1012"/>
      <c r="AQ13" s="1023">
        <v>0</v>
      </c>
    </row>
    <row customHeight="1" ht="14.25" hidden="1">
      <c r="AB14" s="839"/>
      <c r="AI14" s="839"/>
      <c r="AQ14" s="1667">
        <v>0</v>
      </c>
    </row>
    <row customHeight="1" ht="14.25" hidden="1">
      <c r="AC15" s="1872"/>
      <c r="AD15" s="1872"/>
      <c r="AE15" s="1873"/>
      <c r="AF15" s="2779"/>
      <c r="AG15" s="2780" t="s">
        <v>63</v>
      </c>
      <c r="AH15" s="2779"/>
      <c r="AI15" s="2780" t="s">
        <v>63</v>
      </c>
      <c r="AQ15" s="1667">
        <v>0</v>
      </c>
    </row>
    <row customHeight="1" ht="14.25" hidden="1">
      <c r="AC16" s="1872"/>
      <c r="AD16" s="1872"/>
      <c r="AE16" s="840" t="str">
        <f>AF15&amp;"-"&amp;AH15</f>
        <v>-</v>
      </c>
      <c r="AF16" s="2780"/>
      <c r="AG16" s="2780"/>
      <c r="AH16" s="2780"/>
      <c r="AI16" s="2780"/>
      <c r="AQ16" s="1667">
        <v>0</v>
      </c>
    </row>
    <row customHeight="1" ht="14.25" hidden="1">
      <c r="AI17" s="839"/>
      <c r="AQ17" s="1667">
        <v>0</v>
      </c>
    </row>
    <row s="46889" customFormat="1" customHeight="1" ht="22.5" hidden="1">
      <c r="L18" s="1959"/>
      <c r="M18" s="1874"/>
      <c r="N18" s="1874"/>
      <c r="O18" s="1879" t="s">
        <v>533</v>
      </c>
      <c r="P18" s="1874"/>
      <c r="Q18" s="1883"/>
      <c r="R18" s="1883"/>
      <c r="S18" s="1241"/>
      <c r="Y18" s="1879"/>
      <c r="AA18" s="1879"/>
      <c r="AB18" s="1878"/>
      <c r="AF18" s="1879"/>
      <c r="AH18" s="1879"/>
      <c r="AI18" s="1878"/>
      <c r="AL18" s="1023"/>
      <c r="AM18" s="1023"/>
      <c r="AN18" s="1023"/>
      <c r="AO18" s="1023"/>
      <c r="AP18" s="1023"/>
      <c r="AQ18" s="1672">
        <v>0</v>
      </c>
    </row>
    <row s="46889" customFormat="1" customHeight="1" ht="14.25" hidden="1">
      <c r="L19" s="1959"/>
      <c r="M19" s="1874"/>
      <c r="N19" s="1874"/>
      <c r="O19" s="1874"/>
      <c r="P19" s="1874"/>
      <c r="Q19" s="1883"/>
      <c r="R19" s="1883"/>
      <c r="S19" s="1241"/>
      <c r="AB19" s="1878"/>
      <c r="AI19" s="1878"/>
      <c r="AL19" s="1023"/>
      <c r="AM19" s="1023"/>
      <c r="AN19" s="1023"/>
      <c r="AO19" s="1023"/>
      <c r="AP19" s="1023"/>
      <c r="AQ19" s="1672">
        <v>0</v>
      </c>
    </row>
    <row s="46889" customFormat="1" customHeight="1" ht="12" hidden="1">
      <c r="L20" s="1959"/>
      <c r="M20" s="1874"/>
      <c r="N20" s="1874"/>
      <c r="O20" s="1876" t="s">
        <v>534</v>
      </c>
      <c r="P20" s="1874"/>
      <c r="Q20" s="1954"/>
      <c r="R20" s="1954"/>
      <c r="S20" s="1241"/>
      <c r="T20" s="1672" t="s">
        <v>535</v>
      </c>
      <c r="Z20" s="698" t="s">
        <v>536</v>
      </c>
      <c r="AB20" s="698" t="s">
        <v>537</v>
      </c>
      <c r="AC20" s="1672" t="s">
        <v>535</v>
      </c>
      <c r="AG20" s="698" t="s">
        <v>538</v>
      </c>
      <c r="AI20" s="698" t="s">
        <v>537</v>
      </c>
      <c r="AQ20" s="1672">
        <v>0</v>
      </c>
    </row>
    <row customHeight="1" ht="14.25" hidden="1">
      <c r="O21" s="1876"/>
      <c r="AQ21" s="1667">
        <v>0</v>
      </c>
    </row>
    <row customHeight="1" ht="14.25" hidden="1">
      <c r="O22" s="1876"/>
      <c r="AQ22" s="1667">
        <v>0</v>
      </c>
    </row>
    <row customHeight="1" ht="14.699999999999998">
      <c r="Q23" s="888"/>
      <c r="R23" s="888"/>
      <c r="S23" s="1787"/>
      <c r="T23" s="875"/>
      <c r="U23" s="875"/>
      <c r="V23" s="1021"/>
      <c r="W23" s="1021"/>
      <c r="X23" s="1021"/>
      <c r="Y23" s="1021"/>
      <c r="Z23" s="1021"/>
      <c r="AA23" s="1021"/>
      <c r="AB23" s="1021"/>
      <c r="AC23" s="1021"/>
      <c r="AD23" s="1021"/>
      <c r="AE23" s="1021"/>
      <c r="AF23" s="1021"/>
      <c r="AG23" s="1021"/>
      <c r="AH23" s="1021"/>
      <c r="AI23" s="1021"/>
      <c r="AQ23" s="1667">
        <v>14</v>
      </c>
    </row>
    <row customHeight="1" ht="14.699999999999998">
      <c r="Q24" s="888"/>
      <c r="R24" s="888"/>
      <c r="S24" s="2760" t="str">
        <f>IF(TEMPLATE_GROUP="P",PT_P_FORM_COLDVSNA_4_NAME_FORM,PT_R_FORM_COLDVSNA_16_NAME_FORM)</f>
        <v>Форма 2. Информация
о тарифах в сфере холодного водоснабжения на товары (услуги) организации холодного водоснабжения, подлежащих регулированию</v>
      </c>
      <c r="T24" s="2760"/>
      <c r="U24" s="2760"/>
      <c r="V24" s="2760"/>
      <c r="W24" s="2760"/>
      <c r="X24" s="2760"/>
      <c r="Y24" s="2760"/>
      <c r="Z24" s="2760"/>
      <c r="AA24" s="2760"/>
      <c r="AB24" s="2760"/>
      <c r="AC24" s="2760"/>
      <c r="AD24" s="2760"/>
      <c r="AE24" s="2760"/>
      <c r="AF24" s="2760"/>
      <c r="AG24" s="2760"/>
      <c r="AH24" s="2760"/>
      <c r="AI24" s="1755"/>
      <c r="AQ24" s="1667">
        <v>14</v>
      </c>
    </row>
    <row customHeight="1" ht="14.699999999999998">
      <c r="Q25" s="888"/>
      <c r="R25" s="888"/>
      <c r="S25" s="2761" t="str">
        <f>IF(org=0,"Не определено",org)</f>
        <v>КГУП "Примтеплоэнерго"</v>
      </c>
      <c r="T25" s="2761"/>
      <c r="U25" s="2761"/>
      <c r="V25" s="2761"/>
      <c r="W25" s="2761"/>
      <c r="X25" s="2761"/>
      <c r="Y25" s="2761"/>
      <c r="Z25" s="2761"/>
      <c r="AA25" s="2761"/>
      <c r="AB25" s="2761"/>
      <c r="AC25" s="2761"/>
      <c r="AD25" s="2761"/>
      <c r="AE25" s="2761"/>
      <c r="AF25" s="2761"/>
      <c r="AG25" s="2761"/>
      <c r="AH25" s="2761"/>
      <c r="AI25" s="1755"/>
      <c r="AQ25" s="1667">
        <v>14</v>
      </c>
    </row>
    <row customHeight="1" ht="14.25">
      <c r="Q26" s="888"/>
      <c r="R26" s="888"/>
      <c r="S26" s="1787"/>
      <c r="T26" s="875"/>
      <c r="U26" s="875"/>
      <c r="V26" s="834"/>
      <c r="W26" s="834"/>
      <c r="X26" s="834"/>
      <c r="Y26" s="834"/>
      <c r="Z26" s="834"/>
      <c r="AA26" s="834"/>
      <c r="AB26" s="834"/>
      <c r="AC26" s="834"/>
      <c r="AD26" s="834"/>
      <c r="AE26" s="834"/>
      <c r="AF26" s="834"/>
      <c r="AG26" s="834"/>
      <c r="AH26" s="834"/>
      <c r="AI26" s="834"/>
      <c r="AJ26" s="1021"/>
      <c r="AQ26" s="1667">
        <v>0</v>
      </c>
    </row>
    <row s="47026" customFormat="1" customHeight="1" ht="25.5">
      <c r="A27" s="1880"/>
      <c r="B27" s="1880"/>
      <c r="C27" s="1880"/>
      <c r="D27" s="1880"/>
      <c r="E27" s="1880"/>
      <c r="F27" s="1880"/>
      <c r="G27" s="1880"/>
      <c r="H27" s="1880"/>
      <c r="I27" s="1880"/>
      <c r="J27" s="1880"/>
      <c r="K27" s="1880"/>
      <c r="L27" s="1881"/>
      <c r="M27" s="1880"/>
      <c r="N27" s="1880"/>
      <c r="O27" s="1880"/>
      <c r="S27" s="2762" t="s">
        <v>42</v>
      </c>
      <c r="T27" s="2762"/>
      <c r="U27" s="1884"/>
      <c r="V27" s="2763" t="str">
        <f>IF(TITLE_NAME_OR_PR_CHANGE="",IF(TITLE_NAME_OR_PR="","",TITLE_NAME_OR_PR),TITLE_NAME_OR_PR_CHANGE)</f>
        <v>Агентство по тарифам Приморского края</v>
      </c>
      <c r="W27" s="2763"/>
      <c r="X27" s="2763"/>
      <c r="Y27" s="2763"/>
      <c r="Z27" s="2763"/>
      <c r="AA27" s="2763"/>
      <c r="AB27" s="838"/>
      <c r="AC27" s="2763" t="str">
        <f>IF(TITLE_NAME_OR_PR_CHANGE="",IF(TITLE_NAME_OR_PR="","",TITLE_NAME_OR_PR),TITLE_NAME_OR_PR_CHANGE)</f>
        <v>Агентство по тарифам Приморского края</v>
      </c>
      <c r="AD27" s="2763"/>
      <c r="AE27" s="2763"/>
      <c r="AF27" s="2763"/>
      <c r="AG27" s="2763"/>
      <c r="AH27" s="2763"/>
      <c r="AI27" s="838"/>
      <c r="AJ27" s="838"/>
      <c r="AK27" s="792"/>
      <c r="AL27" s="880"/>
      <c r="AM27" s="880"/>
      <c r="AN27" s="880"/>
      <c r="AO27" s="880"/>
      <c r="AP27" s="880"/>
      <c r="AQ27" s="930">
        <v>0</v>
      </c>
    </row>
    <row s="47026" customFormat="1" customHeight="1" ht="18.75">
      <c r="A28" s="1880"/>
      <c r="B28" s="1880"/>
      <c r="C28" s="1880"/>
      <c r="D28" s="1880"/>
      <c r="E28" s="1880"/>
      <c r="F28" s="1880"/>
      <c r="G28" s="1880"/>
      <c r="H28" s="1880"/>
      <c r="I28" s="1880"/>
      <c r="J28" s="1880"/>
      <c r="K28" s="1880"/>
      <c r="L28" s="1881"/>
      <c r="M28" s="1880"/>
      <c r="N28" s="1880"/>
      <c r="O28" s="1880"/>
      <c r="S28" s="2762" t="s">
        <v>539</v>
      </c>
      <c r="T28" s="2762"/>
      <c r="U28" s="1884"/>
      <c r="V28" s="2776" t="str">
        <f>IF(TITLE_DATE_PR_CHANGE="",IF(TITLE_DATE_PR="","",TITLE_DATE_PR),TITLE_DATE_PR_CHANGE)</f>
        <v>45631.495844907404</v>
      </c>
      <c r="W28" s="2776"/>
      <c r="X28" s="2776"/>
      <c r="Y28" s="2776"/>
      <c r="Z28" s="2776"/>
      <c r="AA28" s="2776"/>
      <c r="AB28" s="838"/>
      <c r="AC28" s="2776" t="str">
        <f>IF(TITLE_DATE_PR_CHANGE="",IF(TITLE_DATE_PR="","",TITLE_DATE_PR),TITLE_DATE_PR_CHANGE)</f>
        <v>45631.495844907404</v>
      </c>
      <c r="AD28" s="2776"/>
      <c r="AE28" s="2776"/>
      <c r="AF28" s="2776"/>
      <c r="AG28" s="2776"/>
      <c r="AH28" s="2776"/>
      <c r="AI28" s="838"/>
      <c r="AJ28" s="838"/>
      <c r="AK28" s="792"/>
      <c r="AL28" s="880"/>
      <c r="AM28" s="880"/>
      <c r="AN28" s="880"/>
      <c r="AO28" s="880"/>
      <c r="AP28" s="880"/>
      <c r="AQ28" s="930">
        <v>0</v>
      </c>
    </row>
    <row s="47026" customFormat="1" customHeight="1" ht="18.75">
      <c r="A29" s="1880"/>
      <c r="B29" s="1880"/>
      <c r="C29" s="1880"/>
      <c r="D29" s="1880"/>
      <c r="E29" s="1880"/>
      <c r="F29" s="1880"/>
      <c r="G29" s="1880"/>
      <c r="H29" s="1880"/>
      <c r="I29" s="1880"/>
      <c r="J29" s="1880"/>
      <c r="K29" s="1880"/>
      <c r="L29" s="1881"/>
      <c r="M29" s="1880"/>
      <c r="N29" s="1880"/>
      <c r="O29" s="1880"/>
      <c r="S29" s="2762" t="s">
        <v>540</v>
      </c>
      <c r="T29" s="2762"/>
      <c r="U29" s="1884"/>
      <c r="V29" s="2763" t="str">
        <f>IF(TITLE_NUMBER_PR_CHANGE="",IF(TITLE_NUMBER_PR="","",TITLE_NUMBER_PR),TITLE_NUMBER_PR_CHANGE)</f>
        <v>53/9</v>
      </c>
      <c r="W29" s="2763"/>
      <c r="X29" s="2763"/>
      <c r="Y29" s="2763"/>
      <c r="Z29" s="2763"/>
      <c r="AA29" s="2763"/>
      <c r="AB29" s="838"/>
      <c r="AC29" s="2763" t="str">
        <f>IF(TITLE_NUMBER_PR_CHANGE="",IF(TITLE_NUMBER_PR="","",TITLE_NUMBER_PR),TITLE_NUMBER_PR_CHANGE)</f>
        <v>53/9</v>
      </c>
      <c r="AD29" s="2763"/>
      <c r="AE29" s="2763"/>
      <c r="AF29" s="2763"/>
      <c r="AG29" s="2763"/>
      <c r="AH29" s="2763"/>
      <c r="AI29" s="838"/>
      <c r="AJ29" s="838"/>
      <c r="AK29" s="792"/>
      <c r="AL29" s="880"/>
      <c r="AM29" s="880"/>
      <c r="AN29" s="880"/>
      <c r="AO29" s="880"/>
      <c r="AP29" s="880"/>
      <c r="AQ29" s="930">
        <v>0</v>
      </c>
    </row>
    <row s="47026" customFormat="1" customHeight="1" ht="18.75">
      <c r="A30" s="1880"/>
      <c r="B30" s="1880"/>
      <c r="C30" s="1880"/>
      <c r="D30" s="1880"/>
      <c r="E30" s="1880"/>
      <c r="F30" s="1880"/>
      <c r="G30" s="1880"/>
      <c r="H30" s="1880"/>
      <c r="I30" s="1880"/>
      <c r="J30" s="1880"/>
      <c r="K30" s="1880"/>
      <c r="L30" s="1881"/>
      <c r="M30" s="1880"/>
      <c r="N30" s="1880"/>
      <c r="O30" s="1880"/>
      <c r="S30" s="2762" t="s">
        <v>44</v>
      </c>
      <c r="T30" s="2762"/>
      <c r="U30" s="1884"/>
      <c r="V30" s="2763" t="str">
        <f>IF(TITLE_IST_PUB_CHANGE="",IF(TITLE_IST_PUB="","",TITLE_IST_PUB),TITLE_IST_PUB_CHANGE)</f>
        <v>http://pravo.gov.ru</v>
      </c>
      <c r="W30" s="2763"/>
      <c r="X30" s="2763"/>
      <c r="Y30" s="2763"/>
      <c r="Z30" s="2763"/>
      <c r="AA30" s="2763"/>
      <c r="AB30" s="838"/>
      <c r="AC30" s="2763" t="str">
        <f>IF(TITLE_IST_PUB_CHANGE="",IF(TITLE_IST_PUB="","",TITLE_IST_PUB),TITLE_IST_PUB_CHANGE)</f>
        <v>http://pravo.gov.ru</v>
      </c>
      <c r="AD30" s="2763"/>
      <c r="AE30" s="2763"/>
      <c r="AF30" s="2763"/>
      <c r="AG30" s="2763"/>
      <c r="AH30" s="2763"/>
      <c r="AI30" s="838"/>
      <c r="AJ30" s="838"/>
      <c r="AK30" s="792"/>
      <c r="AL30" s="880"/>
      <c r="AM30" s="880"/>
      <c r="AN30" s="880"/>
      <c r="AO30" s="880"/>
      <c r="AP30" s="880"/>
      <c r="AQ30" s="930">
        <v>0</v>
      </c>
    </row>
    <row customHeight="1" ht="14.25" hidden="1">
      <c r="Q31" s="888"/>
      <c r="R31" s="888"/>
      <c r="S31" s="1787"/>
      <c r="T31" s="875"/>
      <c r="U31" s="875"/>
      <c r="V31" s="834"/>
      <c r="W31" s="834"/>
      <c r="X31" s="834"/>
      <c r="Y31" s="834"/>
      <c r="Z31" s="834"/>
      <c r="AA31" s="834"/>
      <c r="AB31" s="834"/>
      <c r="AC31" s="834"/>
      <c r="AD31" s="834"/>
      <c r="AE31" s="834"/>
      <c r="AF31" s="834"/>
      <c r="AG31" s="834"/>
      <c r="AH31" s="834"/>
      <c r="AI31" s="834"/>
      <c r="AJ31" s="1021"/>
      <c r="AQ31" s="1667">
        <v>0</v>
      </c>
    </row>
    <row s="47026" customFormat="1" customHeight="1" ht="18.75" hidden="1">
      <c r="A32" s="1880"/>
      <c r="B32" s="1880"/>
      <c r="C32" s="1880"/>
      <c r="D32" s="1880"/>
      <c r="E32" s="1880"/>
      <c r="F32" s="1880"/>
      <c r="G32" s="1880"/>
      <c r="H32" s="1880"/>
      <c r="I32" s="1880"/>
      <c r="J32" s="1880"/>
      <c r="K32" s="1880"/>
      <c r="L32" s="1881"/>
      <c r="M32" s="1880"/>
      <c r="N32" s="1880"/>
      <c r="O32" s="1880"/>
      <c r="S32" s="2762" t="s">
        <v>541</v>
      </c>
      <c r="T32" s="2762"/>
      <c r="U32" s="1884"/>
      <c r="V32" s="2776" t="str">
        <f>IF(TITLE_DATE_PR_CHANGE="",IF(TITLE_DATE_PR="","",TITLE_DATE_PR),TITLE_DATE_PR_CHANGE)</f>
        <v>45631.495844907404</v>
      </c>
      <c r="W32" s="2776"/>
      <c r="X32" s="2776"/>
      <c r="Y32" s="2776"/>
      <c r="Z32" s="2776"/>
      <c r="AA32" s="2776"/>
      <c r="AB32" s="838"/>
      <c r="AC32" s="2776" t="str">
        <f>IF(TITLE_DATE_PR_CHANGE="",IF(TITLE_DATE_PR="","",TITLE_DATE_PR),TITLE_DATE_PR_CHANGE)</f>
        <v>45631.495844907404</v>
      </c>
      <c r="AD32" s="2776"/>
      <c r="AE32" s="2776"/>
      <c r="AF32" s="2776"/>
      <c r="AG32" s="2776"/>
      <c r="AH32" s="2776"/>
      <c r="AI32" s="838"/>
      <c r="AJ32" s="838"/>
      <c r="AK32" s="792"/>
      <c r="AL32" s="880"/>
      <c r="AM32" s="880"/>
      <c r="AN32" s="880"/>
      <c r="AO32" s="880"/>
      <c r="AP32" s="880"/>
      <c r="AQ32" s="930">
        <v>0</v>
      </c>
    </row>
    <row s="47026" customFormat="1" customHeight="1" ht="18.75" hidden="1">
      <c r="A33" s="1880"/>
      <c r="B33" s="1880"/>
      <c r="C33" s="1880"/>
      <c r="D33" s="1880"/>
      <c r="E33" s="1880"/>
      <c r="F33" s="1880"/>
      <c r="G33" s="1880"/>
      <c r="H33" s="1880"/>
      <c r="I33" s="1880"/>
      <c r="J33" s="1880"/>
      <c r="K33" s="1880"/>
      <c r="L33" s="1881"/>
      <c r="M33" s="1880"/>
      <c r="N33" s="1880"/>
      <c r="O33" s="1880"/>
      <c r="S33" s="2762" t="s">
        <v>542</v>
      </c>
      <c r="T33" s="2762"/>
      <c r="U33" s="1884"/>
      <c r="V33" s="2763" t="str">
        <f>IF(TITLE_NUMBER_PR_CHANGE="",IF(TITLE_NUMBER_PR="","",TITLE_NUMBER_PR),TITLE_NUMBER_PR_CHANGE)</f>
        <v>53/9</v>
      </c>
      <c r="W33" s="2763"/>
      <c r="X33" s="2763"/>
      <c r="Y33" s="2763"/>
      <c r="Z33" s="2763"/>
      <c r="AA33" s="2763"/>
      <c r="AB33" s="838"/>
      <c r="AC33" s="2763" t="str">
        <f>IF(TITLE_NUMBER_PR_CHANGE="",IF(TITLE_NUMBER_PR="","",TITLE_NUMBER_PR),TITLE_NUMBER_PR_CHANGE)</f>
        <v>53/9</v>
      </c>
      <c r="AD33" s="2763"/>
      <c r="AE33" s="2763"/>
      <c r="AF33" s="2763"/>
      <c r="AG33" s="2763"/>
      <c r="AH33" s="2763"/>
      <c r="AI33" s="838"/>
      <c r="AJ33" s="838"/>
      <c r="AK33" s="792"/>
      <c r="AL33" s="880"/>
      <c r="AM33" s="880"/>
      <c r="AN33" s="880"/>
      <c r="AO33" s="880"/>
      <c r="AP33" s="880"/>
      <c r="AQ33" s="930">
        <v>0</v>
      </c>
    </row>
    <row s="47026" customFormat="1" customHeight="1" ht="1.05">
      <c r="A34" s="1880"/>
      <c r="B34" s="1880"/>
      <c r="C34" s="1880"/>
      <c r="D34" s="1880"/>
      <c r="E34" s="1880"/>
      <c r="F34" s="1880"/>
      <c r="G34" s="1880"/>
      <c r="H34" s="1880"/>
      <c r="I34" s="1880"/>
      <c r="J34" s="1880"/>
      <c r="K34" s="1880"/>
      <c r="L34" s="1881"/>
      <c r="M34" s="1880"/>
      <c r="N34" s="1880"/>
      <c r="O34" s="1880"/>
      <c r="S34" s="835"/>
      <c r="T34" s="835"/>
      <c r="U34" s="1966"/>
      <c r="V34" s="838"/>
      <c r="W34" s="838"/>
      <c r="X34" s="838"/>
      <c r="Y34" s="838"/>
      <c r="Z34" s="838"/>
      <c r="AA34" s="838"/>
      <c r="AB34" s="790" t="s">
        <v>543</v>
      </c>
      <c r="AC34" s="838"/>
      <c r="AD34" s="838"/>
      <c r="AE34" s="838"/>
      <c r="AF34" s="838"/>
      <c r="AG34" s="838"/>
      <c r="AH34" s="838"/>
      <c r="AI34" s="790" t="s">
        <v>543</v>
      </c>
      <c r="AL34" s="880"/>
      <c r="AM34" s="880"/>
      <c r="AN34" s="880"/>
      <c r="AO34" s="880"/>
      <c r="AP34" s="880"/>
      <c r="AQ34" s="930">
        <v>1</v>
      </c>
    </row>
    <row customHeight="1" ht="14.699999999999998">
      <c r="Q35" s="888"/>
      <c r="R35" s="888"/>
      <c r="S35" s="1787"/>
      <c r="T35" s="875"/>
      <c r="U35" s="1756"/>
      <c r="V35" s="2764"/>
      <c r="W35" s="2764"/>
      <c r="X35" s="2764"/>
      <c r="Y35" s="2764"/>
      <c r="Z35" s="2764"/>
      <c r="AA35" s="2764"/>
      <c r="AB35" s="2764"/>
      <c r="AC35" s="2764"/>
      <c r="AD35" s="2764"/>
      <c r="AE35" s="2764"/>
      <c r="AF35" s="2764"/>
      <c r="AG35" s="2764"/>
      <c r="AH35" s="2764"/>
      <c r="AI35" s="2764"/>
      <c r="AQ35" s="1667">
        <v>14</v>
      </c>
    </row>
    <row customHeight="1" ht="14.699999999999998">
      <c r="Q36" s="888"/>
      <c r="R36" s="888"/>
      <c r="S36" s="2639" t="s">
        <v>418</v>
      </c>
      <c r="T36" s="2639"/>
      <c r="U36" s="2639"/>
      <c r="V36" s="2639"/>
      <c r="W36" s="2639"/>
      <c r="X36" s="2639"/>
      <c r="Y36" s="2639"/>
      <c r="Z36" s="2639"/>
      <c r="AA36" s="2639"/>
      <c r="AB36" s="2639"/>
      <c r="AC36" s="2639"/>
      <c r="AD36" s="2639"/>
      <c r="AE36" s="2639"/>
      <c r="AF36" s="2639"/>
      <c r="AG36" s="2639"/>
      <c r="AH36" s="2639"/>
      <c r="AI36" s="2639"/>
      <c r="AJ36" s="2639"/>
      <c r="AK36" s="2639" t="s">
        <v>419</v>
      </c>
      <c r="AQ36" s="1667">
        <v>14</v>
      </c>
    </row>
    <row customHeight="1" ht="14.699999999999998">
      <c r="Q37" s="888"/>
      <c r="R37" s="888"/>
      <c r="S37" s="2785" t="s">
        <v>90</v>
      </c>
      <c r="T37" s="2721" t="s">
        <v>544</v>
      </c>
      <c r="U37" s="813"/>
      <c r="V37" s="2786" t="s">
        <v>545</v>
      </c>
      <c r="W37" s="2787"/>
      <c r="X37" s="2787"/>
      <c r="Y37" s="2787"/>
      <c r="Z37" s="2787"/>
      <c r="AA37" s="2788"/>
      <c r="AB37" s="2789" t="s">
        <v>546</v>
      </c>
      <c r="AC37" s="2786" t="s">
        <v>545</v>
      </c>
      <c r="AD37" s="2787"/>
      <c r="AE37" s="2787"/>
      <c r="AF37" s="2787"/>
      <c r="AG37" s="2787"/>
      <c r="AH37" s="2788"/>
      <c r="AI37" s="2789" t="s">
        <v>547</v>
      </c>
      <c r="AJ37" s="2792" t="s">
        <v>548</v>
      </c>
      <c r="AK37" s="2639"/>
      <c r="AQ37" s="1667">
        <v>14</v>
      </c>
    </row>
    <row customHeight="1" ht="35.699999999999996">
      <c r="Q38" s="888"/>
      <c r="R38" s="888"/>
      <c r="S38" s="2785"/>
      <c r="T38" s="2721"/>
      <c r="U38" s="1543"/>
      <c r="V38" s="1964" t="s">
        <v>604</v>
      </c>
      <c r="W38" s="2774" t="s">
        <v>551</v>
      </c>
      <c r="X38" s="2775"/>
      <c r="Y38" s="2774" t="s">
        <v>552</v>
      </c>
      <c r="Z38" s="2781"/>
      <c r="AA38" s="2775"/>
      <c r="AB38" s="2790"/>
      <c r="AC38" s="1964" t="s">
        <v>604</v>
      </c>
      <c r="AD38" s="2774" t="s">
        <v>551</v>
      </c>
      <c r="AE38" s="2775"/>
      <c r="AF38" s="2774" t="s">
        <v>552</v>
      </c>
      <c r="AG38" s="2781"/>
      <c r="AH38" s="2775"/>
      <c r="AI38" s="2790"/>
      <c r="AJ38" s="2793"/>
      <c r="AK38" s="2639"/>
      <c r="AQ38" s="1667">
        <v>34</v>
      </c>
    </row>
    <row customHeight="1" ht="35.699999999999996">
      <c r="A39" s="1882"/>
      <c r="B39" s="1882" t="s">
        <v>191</v>
      </c>
      <c r="C39" s="1882" t="s">
        <v>192</v>
      </c>
      <c r="D39" s="1882" t="s">
        <v>193</v>
      </c>
      <c r="E39" s="1876" t="s">
        <v>553</v>
      </c>
      <c r="F39" s="1876" t="s">
        <v>554</v>
      </c>
      <c r="G39" s="1876" t="s">
        <v>555</v>
      </c>
      <c r="H39" s="1876"/>
      <c r="I39" s="1876" t="s">
        <v>605</v>
      </c>
      <c r="J39" s="1876" t="s">
        <v>558</v>
      </c>
      <c r="K39" s="1876" t="s">
        <v>606</v>
      </c>
      <c r="L39" s="1876" t="s">
        <v>534</v>
      </c>
      <c r="Q39" s="888"/>
      <c r="R39" s="888"/>
      <c r="S39" s="2785"/>
      <c r="T39" s="2721"/>
      <c r="U39" s="814"/>
      <c r="V39" s="1964" t="s">
        <v>607</v>
      </c>
      <c r="W39" s="1734" t="s">
        <v>608</v>
      </c>
      <c r="X39" s="1734" t="s">
        <v>609</v>
      </c>
      <c r="Y39" s="1967" t="s">
        <v>562</v>
      </c>
      <c r="Z39" s="2782" t="s">
        <v>563</v>
      </c>
      <c r="AA39" s="2783"/>
      <c r="AB39" s="2791"/>
      <c r="AC39" s="1964" t="s">
        <v>607</v>
      </c>
      <c r="AD39" s="1734" t="s">
        <v>608</v>
      </c>
      <c r="AE39" s="1734" t="s">
        <v>609</v>
      </c>
      <c r="AF39" s="1967" t="s">
        <v>562</v>
      </c>
      <c r="AG39" s="2782" t="s">
        <v>563</v>
      </c>
      <c r="AH39" s="2783"/>
      <c r="AI39" s="2791"/>
      <c r="AJ39" s="2794"/>
      <c r="AK39" s="2639"/>
      <c r="AQ39" s="1667">
        <v>34</v>
      </c>
    </row>
    <row s="47496" customFormat="1" customHeight="1" ht="0">
      <c r="A40" s="1882"/>
      <c r="B40" s="1882"/>
      <c r="C40" s="1882"/>
      <c r="D40" s="1882"/>
      <c r="E40" s="1882"/>
      <c r="F40" s="1882"/>
      <c r="G40" s="1882"/>
      <c r="H40" s="1882"/>
      <c r="I40" s="1882"/>
      <c r="J40" s="1882"/>
      <c r="K40" s="1882"/>
      <c r="L40" s="1876"/>
      <c r="M40" s="1874"/>
      <c r="N40" s="1874"/>
      <c r="O40" s="1874"/>
      <c r="P40" s="1758"/>
      <c r="Q40" s="1759"/>
      <c r="R40" s="1766">
        <v>1</v>
      </c>
      <c r="S40" s="1789" t="s">
        <v>101</v>
      </c>
      <c r="T40" s="1767" t="s">
        <v>105</v>
      </c>
      <c r="U40" s="1757" t="str">
        <f>OFFSET(U40,0,-1)</f>
        <v>2</v>
      </c>
      <c r="V40" s="1963">
        <f>OFFSET(V40,0,-1)+1</f>
        <v>3</v>
      </c>
      <c r="W40" s="1963">
        <f>OFFSET(W40,0,-1)+1</f>
        <v>4</v>
      </c>
      <c r="X40" s="1963">
        <f>OFFSET(X40,0,-1)+1</f>
        <v>5</v>
      </c>
      <c r="Y40" s="1963">
        <f>OFFSET(Y40,0,-1)+1</f>
        <v>6</v>
      </c>
      <c r="Z40" s="2784">
        <f>OFFSET(Z40,0,-1)+1</f>
        <v>7</v>
      </c>
      <c r="AA40" s="2784"/>
      <c r="AB40" s="1963">
        <f>OFFSET(AB40,0,-2)+1</f>
        <v>8</v>
      </c>
      <c r="AC40" s="1963">
        <f>OFFSET(AC40,0,-1)+1</f>
        <v>9</v>
      </c>
      <c r="AD40" s="1963">
        <f>OFFSET(AD40,0,-1)+1</f>
        <v>10</v>
      </c>
      <c r="AE40" s="1963">
        <f>OFFSET(AE40,0,-1)+1</f>
        <v>11</v>
      </c>
      <c r="AF40" s="1963">
        <f>OFFSET(AF40,0,-1)+1</f>
        <v>12</v>
      </c>
      <c r="AG40" s="2784">
        <f>OFFSET(AG40,0,-1)+1</f>
        <v>13</v>
      </c>
      <c r="AH40" s="2784"/>
      <c r="AI40" s="1963">
        <f>OFFSET(AI40,0,-2)+1</f>
        <v>14</v>
      </c>
      <c r="AJ40" s="1757">
        <f>OFFSET(AJ40,0,-1)</f>
        <v>14</v>
      </c>
      <c r="AK40" s="1963">
        <f>OFFSET(AK40,0,-1)+1</f>
        <v>15</v>
      </c>
      <c r="AL40" s="1023"/>
      <c r="AM40" s="1023"/>
      <c r="AN40" s="1023"/>
      <c r="AO40" s="1023"/>
      <c r="AP40" s="1023"/>
      <c r="AQ40" s="1008">
        <v>0</v>
      </c>
    </row>
    <row customHeight="1" ht="24">
      <c r="A41" s="1875" t="s">
        <v>285</v>
      </c>
      <c r="B41" s="1875"/>
      <c r="C41" s="1875"/>
      <c r="D41" s="1875"/>
      <c r="E41" s="2770">
        <v>1</v>
      </c>
      <c r="F41" s="1875"/>
      <c r="G41" s="1875"/>
      <c r="H41" s="1875"/>
      <c r="I41" s="1875"/>
      <c r="J41" s="1875"/>
      <c r="K41" s="1875"/>
      <c r="L41" s="1876"/>
      <c r="M41" s="1877"/>
      <c r="N41" s="1877"/>
      <c r="O41" s="1877"/>
      <c r="P41" s="873"/>
      <c r="Q41" s="872"/>
      <c r="R41" s="867"/>
      <c r="S41" s="1969">
        <f>INDEX(PT_DIFFERENTIATION_NUM_NTAR,MATCH(A41,PT_DIFFERENTIATION_NTAR_ID,0))</f>
        <v>0</v>
      </c>
      <c r="T41" s="810" t="s">
        <v>179</v>
      </c>
      <c r="U41" s="812"/>
      <c r="V41" s="2754"/>
      <c r="W41" s="2755"/>
      <c r="X41" s="2755"/>
      <c r="Y41" s="2755"/>
      <c r="Z41" s="2755"/>
      <c r="AA41" s="2755"/>
      <c r="AB41" s="2756"/>
      <c r="AC41" s="2754" t="str">
        <f>INDEX(PT_DIFFERENTIATION_NTAR,MATCH(A41,PT_DIFFERENTIATION_NTAR_ID,0))</f>
        <v/>
      </c>
      <c r="AD41" s="2755"/>
      <c r="AE41" s="2755"/>
      <c r="AF41" s="2755"/>
      <c r="AG41" s="2755"/>
      <c r="AH41" s="2755"/>
      <c r="AI41" s="2755"/>
      <c r="AJ41" s="2756"/>
      <c r="AK41"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1012"/>
      <c r="AN41" s="1012" t="str">
        <f>IF(T41="","",T41)</f>
        <v>Наименование тарифа</v>
      </c>
      <c r="AO41" s="1012"/>
      <c r="AP41" s="1012"/>
      <c r="AQ41" s="1667">
        <v>23</v>
      </c>
    </row>
    <row customHeight="1" ht="24">
      <c r="A42" s="1875" t="s">
        <v>285</v>
      </c>
      <c r="B42" s="1875" t="s">
        <v>286</v>
      </c>
      <c r="C42" s="1875"/>
      <c r="D42" s="1875"/>
      <c r="E42" s="2771"/>
      <c r="F42" s="2770">
        <v>1</v>
      </c>
      <c r="G42" s="1875"/>
      <c r="H42" s="1875"/>
      <c r="I42" s="1875"/>
      <c r="J42" s="1875"/>
      <c r="K42" s="1875"/>
      <c r="L42" s="1876"/>
      <c r="M42" s="1877"/>
      <c r="N42" s="1877"/>
      <c r="O42" s="1877"/>
      <c r="P42" s="1965"/>
      <c r="Q42" s="864"/>
      <c r="R42" s="865"/>
      <c r="S42" s="1969" t="str">
        <f>INDEX(PT_DIFFERENTIATION_NUM_TER,MATCH(B42,PT_DIFFERENTIATION_TER_ID,0))</f>
        <v>.</v>
      </c>
      <c r="T42" s="820" t="s">
        <v>515</v>
      </c>
      <c r="U42" s="812"/>
      <c r="V42" s="2754"/>
      <c r="W42" s="2755"/>
      <c r="X42" s="2755"/>
      <c r="Y42" s="2755"/>
      <c r="Z42" s="2755"/>
      <c r="AA42" s="2755"/>
      <c r="AB42" s="2756"/>
      <c r="AC42" s="2754" t="str">
        <f>INDEX(PT_DIFFERENTIATION_TER,MATCH(B42,PT_DIFFERENTIATION_TER_ID,0))</f>
        <v/>
      </c>
      <c r="AD42" s="2755"/>
      <c r="AE42" s="2755"/>
      <c r="AF42" s="2755"/>
      <c r="AG42" s="2755"/>
      <c r="AH42" s="2755"/>
      <c r="AI42" s="2755"/>
      <c r="AJ42" s="2756"/>
      <c r="AK42" s="1770" t="s">
        <v>516</v>
      </c>
      <c r="AM42" s="1012"/>
      <c r="AN42" s="1012" t="str">
        <f>IF(T42="","",T42)</f>
        <v>Территория действия тарифа</v>
      </c>
      <c r="AO42" s="1012"/>
      <c r="AP42" s="1012"/>
      <c r="AQ42" s="1667">
        <v>23</v>
      </c>
    </row>
    <row customHeight="1" ht="24">
      <c r="A43" s="1875" t="s">
        <v>285</v>
      </c>
      <c r="B43" s="1875" t="s">
        <v>286</v>
      </c>
      <c r="C43" s="1875" t="s">
        <v>287</v>
      </c>
      <c r="D43" s="1875"/>
      <c r="E43" s="2771"/>
      <c r="F43" s="2771"/>
      <c r="G43" s="2770">
        <v>1</v>
      </c>
      <c r="H43" s="1875"/>
      <c r="I43" s="1875"/>
      <c r="J43" s="1875"/>
      <c r="K43" s="1875"/>
      <c r="L43" s="1876"/>
      <c r="M43" s="1877"/>
      <c r="N43" s="1877"/>
      <c r="O43" s="1877"/>
      <c r="P43" s="866"/>
      <c r="Q43" s="864"/>
      <c r="R43" s="865"/>
      <c r="S43" s="1969" t="str">
        <f>INDEX(PT_DIFFERENTIATION_NUM_CS,MATCH(C43,PT_DIFFERENTIATION_CS_ID,0))</f>
        <v>..</v>
      </c>
      <c r="T43" s="821" t="s">
        <v>596</v>
      </c>
      <c r="U43" s="812"/>
      <c r="V43" s="2754"/>
      <c r="W43" s="2755"/>
      <c r="X43" s="2755"/>
      <c r="Y43" s="2755"/>
      <c r="Z43" s="2755"/>
      <c r="AA43" s="2755"/>
      <c r="AB43" s="2756"/>
      <c r="AC43" s="2754" t="str">
        <f>INDEX(PT_DIFFERENTIATION_CS,MATCH(C43,PT_DIFFERENTIATION_CS_ID,0))</f>
        <v/>
      </c>
      <c r="AD43" s="2755"/>
      <c r="AE43" s="2755"/>
      <c r="AF43" s="2755"/>
      <c r="AG43" s="2755"/>
      <c r="AH43" s="2755"/>
      <c r="AI43" s="2755"/>
      <c r="AJ43" s="2756"/>
      <c r="AK43" s="1770" t="s">
        <v>597</v>
      </c>
      <c r="AM43" s="1012"/>
      <c r="AN43" s="1012" t="str">
        <f>IF(T43="","",T43)</f>
        <v>Наименование централизованной системы холодного водоснабжения</v>
      </c>
      <c r="AO43" s="1012"/>
      <c r="AP43" s="1012"/>
      <c r="AQ43" s="1667">
        <v>23</v>
      </c>
    </row>
    <row customHeight="1" ht="24">
      <c r="A44" s="1875" t="s">
        <v>285</v>
      </c>
      <c r="B44" s="1875" t="s">
        <v>286</v>
      </c>
      <c r="C44" s="1875" t="s">
        <v>287</v>
      </c>
      <c r="D44" s="1875" t="s">
        <v>612</v>
      </c>
      <c r="E44" s="2771"/>
      <c r="F44" s="2771"/>
      <c r="G44" s="2771"/>
      <c r="H44" s="2771"/>
      <c r="I44" s="2768" t="str">
        <f>S43&amp;".1"</f>
        <v>...1</v>
      </c>
      <c r="J44" s="1875"/>
      <c r="K44" s="1875"/>
      <c r="L44" s="1876"/>
      <c r="P44" s="2769">
        <v>1</v>
      </c>
      <c r="Q44" s="1962"/>
      <c r="R44" s="868"/>
      <c r="S44" s="1969" t="str">
        <f>$I44</f>
        <v>...1</v>
      </c>
      <c r="T44" s="797" t="s">
        <v>598</v>
      </c>
      <c r="U44" s="812"/>
      <c r="V44" s="2862"/>
      <c r="W44" s="2863"/>
      <c r="X44" s="2863"/>
      <c r="Y44" s="2863"/>
      <c r="Z44" s="2863"/>
      <c r="AA44" s="2863"/>
      <c r="AB44" s="2864"/>
      <c r="AC44" s="2865"/>
      <c r="AD44" s="2866"/>
      <c r="AE44" s="2866"/>
      <c r="AF44" s="2866"/>
      <c r="AG44" s="2866"/>
      <c r="AH44" s="2866"/>
      <c r="AI44" s="2866"/>
      <c r="AJ44" s="2867"/>
      <c r="AK44" s="1770" t="s">
        <v>599</v>
      </c>
      <c r="AM44" s="1012"/>
      <c r="AN44" s="1012" t="str">
        <f>IF(T44="","",T44)</f>
        <v>Наименование признака дифференциации</v>
      </c>
      <c r="AO44" s="1012"/>
      <c r="AP44" s="1012"/>
      <c r="AQ44" s="1667">
        <v>23</v>
      </c>
    </row>
    <row customHeight="1" ht="24">
      <c r="A45" s="1875" t="s">
        <v>285</v>
      </c>
      <c r="B45" s="1875" t="s">
        <v>286</v>
      </c>
      <c r="C45" s="1875" t="s">
        <v>287</v>
      </c>
      <c r="D45" s="1875" t="s">
        <v>612</v>
      </c>
      <c r="E45" s="2771"/>
      <c r="F45" s="2771"/>
      <c r="G45" s="2771"/>
      <c r="H45" s="2771"/>
      <c r="I45" s="2798"/>
      <c r="J45" s="2768" t="str">
        <f>I44&amp;".1"</f>
        <v>...1.1</v>
      </c>
      <c r="K45" s="1875"/>
      <c r="L45" s="1876" t="s">
        <v>524</v>
      </c>
      <c r="P45" s="2769"/>
      <c r="Q45" s="2769">
        <v>1</v>
      </c>
      <c r="R45" s="869"/>
      <c r="S45" s="1969" t="str">
        <f>$J45</f>
        <v>...1.1</v>
      </c>
      <c r="T45" s="798" t="s">
        <v>525</v>
      </c>
      <c r="U45" s="812"/>
      <c r="V45" s="2757"/>
      <c r="W45" s="2758"/>
      <c r="X45" s="2758"/>
      <c r="Y45" s="2758"/>
      <c r="Z45" s="2758"/>
      <c r="AA45" s="2758"/>
      <c r="AB45" s="2759"/>
      <c r="AC45" s="2757"/>
      <c r="AD45" s="2758"/>
      <c r="AE45" s="2758"/>
      <c r="AF45" s="2758"/>
      <c r="AG45" s="2758"/>
      <c r="AH45" s="2758"/>
      <c r="AI45" s="2758"/>
      <c r="AJ45" s="2759"/>
      <c r="AK45" s="1819" t="s">
        <v>600</v>
      </c>
      <c r="AM45" s="1012"/>
      <c r="AN45" s="1012" t="str">
        <f>IF(T45="","",T45)</f>
        <v>Группа потребителей</v>
      </c>
      <c r="AO45" s="1012"/>
      <c r="AP45" s="1012"/>
      <c r="AQ45" s="1667">
        <v>23</v>
      </c>
    </row>
    <row customHeight="1" ht="24">
      <c r="A46" s="1875" t="s">
        <v>285</v>
      </c>
      <c r="B46" s="1875" t="s">
        <v>286</v>
      </c>
      <c r="C46" s="1875" t="s">
        <v>287</v>
      </c>
      <c r="D46" s="1875" t="s">
        <v>612</v>
      </c>
      <c r="E46" s="2771"/>
      <c r="F46" s="2771"/>
      <c r="G46" s="2771"/>
      <c r="H46" s="2771"/>
      <c r="I46" s="2798"/>
      <c r="J46" s="2798"/>
      <c r="K46" s="2768" t="str">
        <f>J45&amp;".1"</f>
        <v>...1.1.1</v>
      </c>
      <c r="L46" s="1876"/>
      <c r="P46" s="2769"/>
      <c r="Q46" s="2769"/>
      <c r="R46" s="869">
        <v>1</v>
      </c>
      <c r="S46" s="1969" t="str">
        <f>$K46</f>
        <v>...1.1.1</v>
      </c>
      <c r="T46" s="1949"/>
      <c r="U46" s="812"/>
      <c r="V46" s="1263"/>
      <c r="W46" s="1263"/>
      <c r="X46" s="1769"/>
      <c r="Y46" s="2777"/>
      <c r="Z46" s="2619" t="s">
        <v>63</v>
      </c>
      <c r="AA46" s="2777"/>
      <c r="AB46" s="2619" t="s">
        <v>63</v>
      </c>
      <c r="AC46" s="1263"/>
      <c r="AD46" s="1263"/>
      <c r="AE46" s="1769"/>
      <c r="AF46" s="2777"/>
      <c r="AG46" s="2619" t="s">
        <v>63</v>
      </c>
      <c r="AH46" s="2799"/>
      <c r="AI46" s="2619" t="s">
        <v>63</v>
      </c>
      <c r="AJ46" s="1950"/>
      <c r="AK46" s="28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023">
        <f>STRCHECKDATE(V47:AJ47)</f>
      </c>
      <c r="AM46" s="1012"/>
      <c r="AN46" s="1012" t="str">
        <f>IF(T46="","",T46)</f>
        <v/>
      </c>
      <c r="AO46" s="1012"/>
      <c r="AP46" s="1012"/>
      <c r="AQ46" s="1667">
        <v>23</v>
      </c>
    </row>
    <row customHeight="1" ht="0">
      <c r="A47" s="1875" t="s">
        <v>285</v>
      </c>
      <c r="B47" s="1875" t="s">
        <v>286</v>
      </c>
      <c r="C47" s="1875" t="s">
        <v>287</v>
      </c>
      <c r="D47" s="1875" t="s">
        <v>612</v>
      </c>
      <c r="E47" s="2771"/>
      <c r="F47" s="2771"/>
      <c r="G47" s="2771"/>
      <c r="H47" s="2771"/>
      <c r="I47" s="2798"/>
      <c r="J47" s="2798"/>
      <c r="K47" s="2768"/>
      <c r="L47" s="1876"/>
      <c r="P47" s="2769"/>
      <c r="Q47" s="2769"/>
      <c r="R47" s="869"/>
      <c r="S47" s="1968"/>
      <c r="T47" s="812"/>
      <c r="U47" s="812"/>
      <c r="V47" s="837"/>
      <c r="W47" s="837"/>
      <c r="X47" s="840" t="str">
        <f>Y46&amp;"-"&amp;AA46</f>
        <v>-</v>
      </c>
      <c r="Y47" s="2778"/>
      <c r="Z47" s="2619"/>
      <c r="AA47" s="2778"/>
      <c r="AB47" s="2619"/>
      <c r="AC47" s="837"/>
      <c r="AD47" s="837"/>
      <c r="AE47" s="840" t="str">
        <f>AF46&amp;"-"&amp;AH46</f>
        <v>-</v>
      </c>
      <c r="AF47" s="2778"/>
      <c r="AG47" s="2619"/>
      <c r="AH47" s="2800"/>
      <c r="AI47" s="2619"/>
      <c r="AJ47" s="1951"/>
      <c r="AK47" s="2861"/>
      <c r="AM47" s="1012"/>
      <c r="AN47" s="1012" t="str">
        <f>IF(T47="","",T47)</f>
        <v/>
      </c>
      <c r="AO47" s="1012"/>
      <c r="AP47" s="1012"/>
      <c r="AQ47" s="1667">
        <v>0</v>
      </c>
    </row>
    <row customHeight="1" ht="21">
      <c r="A48" s="1875" t="s">
        <v>285</v>
      </c>
      <c r="B48" s="1875" t="s">
        <v>286</v>
      </c>
      <c r="C48" s="1875" t="s">
        <v>287</v>
      </c>
      <c r="D48" s="1875" t="s">
        <v>612</v>
      </c>
      <c r="E48" s="2771"/>
      <c r="F48" s="2771"/>
      <c r="G48" s="2771"/>
      <c r="H48" s="2771"/>
      <c r="I48" s="2798"/>
      <c r="J48" s="2768"/>
      <c r="K48" s="1875"/>
      <c r="L48" s="1876"/>
      <c r="P48" s="2769"/>
      <c r="Q48" s="2769"/>
      <c r="R48" s="868"/>
      <c r="S48" s="1790"/>
      <c r="T48" s="799" t="s">
        <v>601</v>
      </c>
      <c r="U48" s="879"/>
      <c r="V48" s="879"/>
      <c r="W48" s="879"/>
      <c r="X48" s="879"/>
      <c r="Y48" s="879"/>
      <c r="Z48" s="879"/>
      <c r="AA48" s="879"/>
      <c r="AB48" s="879"/>
      <c r="AC48" s="879"/>
      <c r="AD48" s="879"/>
      <c r="AE48" s="879"/>
      <c r="AF48" s="879"/>
      <c r="AG48" s="879"/>
      <c r="AH48" s="879"/>
      <c r="AI48" s="879"/>
      <c r="AJ48" s="879"/>
      <c r="AK48" s="1770" t="s">
        <v>602</v>
      </c>
      <c r="AM48" s="1012"/>
      <c r="AN48" s="1012" t="str">
        <f>IF(T48="","",T48)</f>
        <v>Добавить значение признака дифференциации</v>
      </c>
      <c r="AO48" s="1012"/>
      <c r="AP48" s="1012"/>
      <c r="AQ48" s="1667">
        <v>20</v>
      </c>
    </row>
    <row customHeight="1" ht="22.049999999999997">
      <c r="A49" s="1875" t="s">
        <v>285</v>
      </c>
      <c r="B49" s="1875" t="s">
        <v>286</v>
      </c>
      <c r="C49" s="1875" t="s">
        <v>287</v>
      </c>
      <c r="D49" s="1875" t="s">
        <v>612</v>
      </c>
      <c r="E49" s="2771"/>
      <c r="F49" s="2771"/>
      <c r="G49" s="2771"/>
      <c r="H49" s="2771"/>
      <c r="I49" s="2768"/>
      <c r="J49" s="1875"/>
      <c r="K49" s="1875"/>
      <c r="L49" s="1876"/>
      <c r="P49" s="2769"/>
      <c r="Q49" s="1962"/>
      <c r="R49" s="868"/>
      <c r="S49" s="1790"/>
      <c r="T49" s="877" t="s">
        <v>530</v>
      </c>
      <c r="U49" s="879"/>
      <c r="V49" s="879"/>
      <c r="W49" s="879"/>
      <c r="X49" s="879"/>
      <c r="Y49" s="879"/>
      <c r="Z49" s="879"/>
      <c r="AA49" s="879"/>
      <c r="AB49" s="878"/>
      <c r="AC49" s="879"/>
      <c r="AD49" s="879"/>
      <c r="AE49" s="879"/>
      <c r="AF49" s="879"/>
      <c r="AG49" s="879"/>
      <c r="AH49" s="879"/>
      <c r="AI49" s="878"/>
      <c r="AJ49" s="879"/>
      <c r="AK49" s="1952"/>
      <c r="AM49" s="1012"/>
      <c r="AN49" s="1012" t="str">
        <f>IF(T49="","",T49)</f>
        <v>Добавить группу потребителей</v>
      </c>
      <c r="AO49" s="1012"/>
      <c r="AP49" s="1012"/>
      <c r="AQ49" s="1667">
        <v>21</v>
      </c>
    </row>
    <row customHeight="1" ht="22.049999999999997">
      <c r="A50" s="1875" t="s">
        <v>285</v>
      </c>
      <c r="B50" s="1875" t="s">
        <v>286</v>
      </c>
      <c r="C50" s="1875" t="s">
        <v>287</v>
      </c>
      <c r="D50" s="1875" t="s">
        <v>612</v>
      </c>
      <c r="E50" s="2771"/>
      <c r="F50" s="2771"/>
      <c r="G50" s="2771"/>
      <c r="H50" s="2770"/>
      <c r="I50" s="1875"/>
      <c r="J50" s="1875"/>
      <c r="K50" s="1875"/>
      <c r="L50" s="1876"/>
      <c r="M50" s="1877"/>
      <c r="N50" s="1877"/>
      <c r="O50" s="1049"/>
      <c r="P50" s="872"/>
      <c r="Q50" s="887"/>
      <c r="R50" s="867"/>
      <c r="S50" s="1790"/>
      <c r="T50" s="884" t="s">
        <v>603</v>
      </c>
      <c r="U50" s="879"/>
      <c r="V50" s="879"/>
      <c r="W50" s="879"/>
      <c r="X50" s="879"/>
      <c r="Y50" s="879"/>
      <c r="Z50" s="879"/>
      <c r="AA50" s="879"/>
      <c r="AB50" s="878"/>
      <c r="AC50" s="879"/>
      <c r="AD50" s="879"/>
      <c r="AE50" s="879"/>
      <c r="AF50" s="879"/>
      <c r="AG50" s="879"/>
      <c r="AH50" s="879"/>
      <c r="AI50" s="878"/>
      <c r="AJ50" s="879"/>
      <c r="AK50" s="815"/>
      <c r="AM50" s="1012"/>
      <c r="AN50" s="1012" t="str">
        <f>IF(T50="","",T50)</f>
        <v>Добавить наименование признака дифференциации</v>
      </c>
      <c r="AO50" s="1012"/>
      <c r="AP50" s="1012"/>
      <c r="AQ50" s="1667">
        <v>21</v>
      </c>
    </row>
    <row s="46890" customFormat="1" customHeight="1" ht="0">
      <c r="A51" s="1855" t="s">
        <v>285</v>
      </c>
      <c r="B51" s="1855" t="s">
        <v>286</v>
      </c>
      <c r="C51" s="1826"/>
      <c r="D51" s="1826"/>
      <c r="E51" s="2771"/>
      <c r="F51" s="2770"/>
      <c r="G51" s="1826"/>
      <c r="H51" s="1826"/>
      <c r="I51" s="1826"/>
      <c r="J51" s="1826"/>
      <c r="K51" s="1826"/>
      <c r="L51" s="1970"/>
      <c r="M51" s="1833"/>
      <c r="N51" s="1833"/>
      <c r="P51" s="1828"/>
      <c r="Q51" s="1829"/>
      <c r="R51" s="1828"/>
      <c r="S51" s="1834"/>
      <c r="T51" s="1837" t="s">
        <v>321</v>
      </c>
      <c r="U51" s="1836"/>
      <c r="V51" s="1836"/>
      <c r="W51" s="1836"/>
      <c r="X51" s="1836"/>
      <c r="Y51" s="1836"/>
      <c r="Z51" s="1836"/>
      <c r="AA51" s="1836"/>
      <c r="AB51" s="1836"/>
      <c r="AC51" s="1836"/>
      <c r="AD51" s="1836"/>
      <c r="AE51" s="1836"/>
      <c r="AF51" s="1836"/>
      <c r="AG51" s="1836"/>
      <c r="AH51" s="1836"/>
      <c r="AI51" s="1836"/>
      <c r="AJ51" s="1836"/>
      <c r="AK51" s="1836"/>
      <c r="AM51" s="1301"/>
      <c r="AN51" s="1301" t="str">
        <f>IF(T51="","",T51)</f>
        <v>Добавить централизованную систему для дифференциации</v>
      </c>
      <c r="AO51" s="1301"/>
      <c r="AP51" s="1301"/>
      <c r="AQ51" s="1030">
        <v>0</v>
      </c>
    </row>
    <row s="46890" customFormat="1" customHeight="1" ht="0">
      <c r="A52" s="1855" t="s">
        <v>285</v>
      </c>
      <c r="B52" s="1855"/>
      <c r="C52" s="1855"/>
      <c r="D52" s="1855"/>
      <c r="E52" s="2770"/>
      <c r="F52" s="1855"/>
      <c r="G52" s="1855"/>
      <c r="H52" s="1855"/>
      <c r="I52" s="1855"/>
      <c r="J52" s="1855"/>
      <c r="K52" s="1855"/>
      <c r="L52" s="1858"/>
      <c r="M52" s="1833"/>
      <c r="N52" s="1833"/>
      <c r="O52" s="1030"/>
      <c r="P52" s="892"/>
      <c r="Q52" s="1856"/>
      <c r="R52" s="892"/>
      <c r="S52" s="1834"/>
      <c r="T52" s="1837" t="s">
        <v>385</v>
      </c>
      <c r="U52" s="1836"/>
      <c r="V52" s="1836"/>
      <c r="W52" s="1836"/>
      <c r="X52" s="1836"/>
      <c r="Y52" s="1836"/>
      <c r="Z52" s="1836"/>
      <c r="AA52" s="1836"/>
      <c r="AB52" s="1836"/>
      <c r="AC52" s="1836"/>
      <c r="AD52" s="1836"/>
      <c r="AE52" s="1836"/>
      <c r="AF52" s="1836"/>
      <c r="AG52" s="1836"/>
      <c r="AH52" s="1836"/>
      <c r="AI52" s="1836"/>
      <c r="AJ52" s="1836"/>
      <c r="AK52" s="1836"/>
      <c r="AM52" s="1012"/>
      <c r="AN52" s="1012" t="str">
        <f>IF(T52="","",T52)</f>
        <v>Добавить территорию для дифференциации</v>
      </c>
      <c r="AO52" s="1012"/>
      <c r="AP52" s="1012"/>
      <c r="AQ52" s="1023">
        <v>0</v>
      </c>
    </row>
    <row s="46890" customFormat="1" customHeight="1" ht="0">
      <c r="A53" s="1826"/>
      <c r="B53" s="1826"/>
      <c r="C53" s="1826"/>
      <c r="D53" s="1826"/>
      <c r="E53" s="1855"/>
      <c r="F53" s="1826"/>
      <c r="G53" s="1826"/>
      <c r="H53" s="1826"/>
      <c r="I53" s="1826"/>
      <c r="J53" s="1826"/>
      <c r="K53" s="1826"/>
      <c r="L53" s="1970"/>
      <c r="M53" s="1833"/>
      <c r="N53" s="1833"/>
      <c r="P53" s="1828"/>
      <c r="Q53" s="1829"/>
      <c r="R53" s="1828"/>
      <c r="S53" s="1834"/>
      <c r="T53" s="1837" t="s">
        <v>386</v>
      </c>
      <c r="U53" s="1836"/>
      <c r="V53" s="1836"/>
      <c r="W53" s="1836"/>
      <c r="X53" s="1836"/>
      <c r="Y53" s="1836"/>
      <c r="Z53" s="1836"/>
      <c r="AA53" s="1836"/>
      <c r="AB53" s="1836"/>
      <c r="AC53" s="1836"/>
      <c r="AD53" s="1836"/>
      <c r="AE53" s="1836"/>
      <c r="AF53" s="1836"/>
      <c r="AG53" s="1836"/>
      <c r="AH53" s="1836"/>
      <c r="AI53" s="1836"/>
      <c r="AJ53" s="1836"/>
      <c r="AK53" s="1836"/>
      <c r="AM53" s="1301"/>
      <c r="AN53" s="1301" t="str">
        <f>IF(T53="","",T53)</f>
        <v>Добавить наименование тарифа</v>
      </c>
      <c r="AO53" s="1301"/>
      <c r="AP53" s="1301"/>
      <c r="AQ53" s="1030">
        <v>0</v>
      </c>
    </row>
    <row customHeight="1" ht="11.549999999999999">
      <c r="M54" s="1672"/>
      <c r="N54" s="1672"/>
      <c r="O54" s="1049"/>
      <c r="P54" s="1667"/>
      <c r="Q54" s="1667"/>
      <c r="R54" s="1667"/>
      <c r="S54" s="1667"/>
      <c r="AL54" s="1667"/>
      <c r="AM54" s="1667"/>
      <c r="AN54" s="1667"/>
      <c r="AO54" s="1667"/>
      <c r="AP54" s="1667"/>
      <c r="AQ54" s="1667">
        <v>11</v>
      </c>
    </row>
    <row customHeight="1" ht="14.699999999999998">
      <c r="O55" s="1049"/>
      <c r="S55" s="1765"/>
      <c r="T55" s="2797"/>
      <c r="U55" s="2797"/>
      <c r="V55" s="2797"/>
      <c r="W55" s="2797"/>
      <c r="X55" s="2797"/>
      <c r="Y55" s="2797"/>
      <c r="Z55" s="2797"/>
      <c r="AA55" s="2797"/>
      <c r="AB55" s="2797"/>
      <c r="AC55" s="2797"/>
      <c r="AD55" s="2797"/>
      <c r="AE55" s="2797"/>
      <c r="AF55" s="2797"/>
      <c r="AG55" s="2797"/>
      <c r="AH55" s="2797"/>
      <c r="AI55" s="2797"/>
      <c r="AJ55" s="2797"/>
      <c r="AK55" s="2797"/>
      <c r="AQ55" s="1667">
        <v>14</v>
      </c>
    </row>
    <row customHeight="1" ht="14.699999999999998">
      <c r="O56" s="1049"/>
      <c r="AQ56" s="1667">
        <v>14</v>
      </c>
    </row>
    <row customHeight="1" ht="14.699999999999998">
      <c r="O57" s="1049"/>
      <c r="S57" s="1765"/>
      <c r="T57" s="2797"/>
      <c r="U57" s="2797"/>
      <c r="V57" s="2797"/>
      <c r="W57" s="2797"/>
      <c r="X57" s="2797"/>
      <c r="Y57" s="2797"/>
      <c r="Z57" s="2797"/>
      <c r="AA57" s="2797"/>
      <c r="AB57" s="2797"/>
      <c r="AC57" s="2797"/>
      <c r="AD57" s="2797"/>
      <c r="AE57" s="2797"/>
      <c r="AF57" s="2797"/>
      <c r="AG57" s="2797"/>
      <c r="AH57" s="2797"/>
      <c r="AI57" s="2797"/>
      <c r="AJ57" s="2797"/>
      <c r="AK57" s="2797"/>
      <c r="AQ57" s="1667">
        <v>14</v>
      </c>
    </row>
    <row customHeight="1" ht="22.5" hidden="1">
      <c r="A58" s="1672" t="s">
        <v>84</v>
      </c>
      <c r="B58" s="1672">
        <v>0</v>
      </c>
      <c r="C58" s="1672">
        <v>0</v>
      </c>
      <c r="D58" s="1672">
        <v>0</v>
      </c>
      <c r="E58" s="1672">
        <v>0</v>
      </c>
      <c r="F58" s="1672">
        <v>0</v>
      </c>
      <c r="G58" s="1672">
        <v>0</v>
      </c>
      <c r="H58" s="1672">
        <v>0</v>
      </c>
      <c r="I58" s="1672">
        <v>0</v>
      </c>
      <c r="J58" s="1672">
        <v>0</v>
      </c>
      <c r="K58" s="1672">
        <v>0</v>
      </c>
      <c r="L58" s="1959">
        <v>0</v>
      </c>
      <c r="M58" s="1874">
        <v>0</v>
      </c>
      <c r="N58" s="1874">
        <v>0</v>
      </c>
      <c r="O58" s="1874">
        <v>0</v>
      </c>
      <c r="P58" s="1958">
        <v>3</v>
      </c>
      <c r="Q58" s="856">
        <v>3</v>
      </c>
      <c r="R58" s="856">
        <v>3</v>
      </c>
      <c r="S58" s="1093">
        <v>12</v>
      </c>
      <c r="T58" s="1667">
        <v>35</v>
      </c>
      <c r="U58" s="1667">
        <v>0</v>
      </c>
      <c r="V58" s="1667">
        <v>0</v>
      </c>
      <c r="W58" s="1667">
        <v>0</v>
      </c>
      <c r="X58" s="1667">
        <v>0</v>
      </c>
      <c r="Y58" s="1667">
        <v>0</v>
      </c>
      <c r="Z58" s="1667">
        <v>0</v>
      </c>
      <c r="AA58" s="1667">
        <v>0</v>
      </c>
      <c r="AB58" s="1667">
        <v>0</v>
      </c>
      <c r="AC58" s="1667">
        <v>24</v>
      </c>
      <c r="AD58" s="1667">
        <v>24</v>
      </c>
      <c r="AE58" s="1667">
        <v>24</v>
      </c>
      <c r="AF58" s="1667">
        <v>11</v>
      </c>
      <c r="AG58" s="1667">
        <v>3</v>
      </c>
      <c r="AH58" s="1667">
        <v>11</v>
      </c>
      <c r="AI58" s="1667">
        <v>0</v>
      </c>
      <c r="AJ58" s="1667">
        <v>4</v>
      </c>
      <c r="AK58" s="1667">
        <v>115</v>
      </c>
      <c r="AL58" s="1023">
        <v>10</v>
      </c>
      <c r="AM58" s="1023">
        <v>10</v>
      </c>
      <c r="AN58" s="1023">
        <v>10</v>
      </c>
      <c r="AO58" s="1023">
        <v>10</v>
      </c>
      <c r="AP58" s="1023">
        <v>10</v>
      </c>
      <c r="AQ58" s="1667">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75D978E-18F8-089F-3381-4A973485C578}"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46889" width="10.57421875" hidden="1"/>
    <col min="2" max="2" style="46889" width="11.00390625" hidden="1" customWidth="1"/>
    <col min="3" max="3" style="46889" width="10.57421875" hidden="1"/>
    <col min="4" max="4" style="46889" width="11.8515625" hidden="1" customWidth="1"/>
    <col min="5" max="5" style="46889" width="10.00390625" hidden="1" customWidth="1"/>
    <col min="6" max="6" style="46889" width="8.7109375" hidden="1" customWidth="1"/>
    <col min="7" max="7" style="46889" width="7.57421875" hidden="1" customWidth="1"/>
    <col min="8" max="8" style="46889" width="11.421875" hidden="1" customWidth="1"/>
    <col min="9" max="9" style="46889" width="14.140625" hidden="1" customWidth="1"/>
    <col min="10" max="10" style="46889" width="9.8515625" hidden="1" customWidth="1"/>
    <col min="11" max="11" style="46889" width="14.7109375" hidden="1" customWidth="1"/>
    <col min="12" max="12" style="47738" width="19.140625" hidden="1" customWidth="1"/>
    <col min="13" max="14" style="47739" width="12.28125" hidden="1" customWidth="1"/>
    <col min="15" max="15" style="47739" width="23.421875" hidden="1" customWidth="1"/>
    <col min="16" max="16" style="47740" width="3.00390625" customWidth="1"/>
    <col min="17" max="18" style="47741" width="3.00390625" customWidth="1"/>
    <col min="19" max="19" style="47742" width="12.00390625" customWidth="1"/>
    <col min="20" max="20" style="46808" width="35.00390625" customWidth="1"/>
    <col min="21" max="21" style="46808" width="0.140625" customWidth="1"/>
    <col min="22" max="24" style="46808" width="24.7109375" hidden="1" customWidth="1"/>
    <col min="25" max="25" style="46808" width="11.7109375" hidden="1" customWidth="1"/>
    <col min="26" max="26" style="46808" width="3.7109375" hidden="1" customWidth="1"/>
    <col min="27" max="27" style="46808" width="11.7109375" hidden="1" customWidth="1"/>
    <col min="28" max="28" style="46808" width="8.57421875" hidden="1" customWidth="1"/>
    <col min="29" max="29" style="46808" width="24.7109375" customWidth="1"/>
    <col min="30" max="31" style="46808" width="24.00390625" customWidth="1"/>
    <col min="32" max="32" style="46808" width="11.00390625" customWidth="1"/>
    <col min="33" max="33" style="46808" width="3.7109375" customWidth="1"/>
    <col min="34" max="34" style="46808" width="11.00390625" customWidth="1"/>
    <col min="35" max="35" style="46808" width="8.57421875" hidden="1" customWidth="1"/>
    <col min="36" max="36" style="46808" width="4.00390625" customWidth="1"/>
    <col min="37" max="37" style="46808" width="115.00390625" customWidth="1"/>
    <col min="38" max="42" style="46890" width="10.00390625" customWidth="1"/>
    <col min="43" max="43" style="46808" width="10.57421875" hidden="1"/>
  </cols>
  <sheetData>
    <row customHeight="1" ht="22.5" hidden="1">
      <c r="X1" s="839"/>
      <c r="Y1" s="839"/>
      <c r="AE1" s="839"/>
      <c r="AF1" s="839"/>
      <c r="AQ1" s="1667" t="s">
        <v>14</v>
      </c>
    </row>
    <row customHeight="1" ht="23.25" hidden="1">
      <c r="A2" s="1875"/>
      <c r="B2" s="1875"/>
      <c r="C2" s="1875"/>
      <c r="D2" s="1875"/>
      <c r="E2" s="2770">
        <v>1</v>
      </c>
      <c r="F2" s="1875"/>
      <c r="G2" s="1875"/>
      <c r="H2" s="1875"/>
      <c r="I2" s="1875"/>
      <c r="J2" s="1875"/>
      <c r="K2" s="1875"/>
      <c r="L2" s="1876"/>
      <c r="M2" s="1877"/>
      <c r="N2" s="1877"/>
      <c r="O2" s="1877"/>
      <c r="P2" s="873"/>
      <c r="Q2" s="872"/>
      <c r="R2" s="867"/>
      <c r="S2" s="1969">
        <f>INDEX(PT_DIFFERENTIATION_NUM_NTAR,MATCH(A2,PT_DIFFERENTIATION_NTAR_ID,0))</f>
      </c>
      <c r="T2" s="810" t="s">
        <v>179</v>
      </c>
      <c r="U2" s="812"/>
      <c r="V2" s="2754"/>
      <c r="W2" s="2755"/>
      <c r="X2" s="2755"/>
      <c r="Y2" s="2755"/>
      <c r="Z2" s="2755"/>
      <c r="AA2" s="2755"/>
      <c r="AB2" s="2756"/>
      <c r="AC2" s="2754">
        <f>INDEX(PT_DIFFERENTIATION_NTAR,MATCH(A2,PT_DIFFERENTIATION_NTAR_ID,0))</f>
      </c>
      <c r="AD2" s="2755"/>
      <c r="AE2" s="2755"/>
      <c r="AF2" s="2755"/>
      <c r="AG2" s="2755"/>
      <c r="AH2" s="2755"/>
      <c r="AI2" s="2755"/>
      <c r="AJ2" s="2756"/>
      <c r="AK2"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1012"/>
      <c r="AN2" s="1012" t="str">
        <f>IF(T2="","",T2)</f>
        <v>Наименование тарифа</v>
      </c>
      <c r="AO2" s="1012"/>
      <c r="AP2" s="1012"/>
      <c r="AQ2" s="1667">
        <v>0</v>
      </c>
    </row>
    <row customHeight="1" ht="23.25" hidden="1">
      <c r="A3" s="1875"/>
      <c r="B3" s="1875"/>
      <c r="C3" s="1875"/>
      <c r="D3" s="1875"/>
      <c r="E3" s="2771"/>
      <c r="F3" s="2770">
        <v>1</v>
      </c>
      <c r="G3" s="1875"/>
      <c r="H3" s="1875"/>
      <c r="I3" s="1875"/>
      <c r="J3" s="1875"/>
      <c r="K3" s="1875"/>
      <c r="L3" s="1876"/>
      <c r="M3" s="1877"/>
      <c r="N3" s="1877"/>
      <c r="O3" s="1877"/>
      <c r="P3" s="1965"/>
      <c r="Q3" s="864"/>
      <c r="R3" s="865"/>
      <c r="S3" s="1969">
        <f>INDEX(PT_DIFFERENTIATION_NUM_TER,MATCH(B3,PT_DIFFERENTIATION_TER_ID,0))</f>
      </c>
      <c r="T3" s="820" t="s">
        <v>515</v>
      </c>
      <c r="U3" s="812"/>
      <c r="V3" s="2754"/>
      <c r="W3" s="2755"/>
      <c r="X3" s="2755"/>
      <c r="Y3" s="2755"/>
      <c r="Z3" s="2755"/>
      <c r="AA3" s="2755"/>
      <c r="AB3" s="2756"/>
      <c r="AC3" s="2754">
        <f>INDEX(PT_DIFFERENTIATION_TER,MATCH(B3,PT_DIFFERENTIATION_TER_ID,0))</f>
      </c>
      <c r="AD3" s="2755"/>
      <c r="AE3" s="2755"/>
      <c r="AF3" s="2755"/>
      <c r="AG3" s="2755"/>
      <c r="AH3" s="2755"/>
      <c r="AI3" s="2755"/>
      <c r="AJ3" s="2756"/>
      <c r="AK3" s="1770" t="s">
        <v>516</v>
      </c>
      <c r="AM3" s="1012"/>
      <c r="AN3" s="1012" t="str">
        <f>IF(T3="","",T3)</f>
        <v>Территория действия тарифа</v>
      </c>
      <c r="AO3" s="1012"/>
      <c r="AP3" s="1012"/>
      <c r="AQ3" s="1667">
        <v>0</v>
      </c>
    </row>
    <row customHeight="1" ht="23.25" hidden="1">
      <c r="A4" s="1875"/>
      <c r="B4" s="1875"/>
      <c r="C4" s="1875"/>
      <c r="D4" s="1875"/>
      <c r="E4" s="2771"/>
      <c r="F4" s="2771"/>
      <c r="G4" s="2770">
        <v>1</v>
      </c>
      <c r="H4" s="1875"/>
      <c r="I4" s="1875"/>
      <c r="J4" s="1875"/>
      <c r="K4" s="1875"/>
      <c r="L4" s="1876"/>
      <c r="M4" s="1877"/>
      <c r="N4" s="1877"/>
      <c r="O4" s="1877"/>
      <c r="P4" s="866"/>
      <c r="Q4" s="864"/>
      <c r="R4" s="865"/>
      <c r="S4" s="1969">
        <f>INDEX(PT_DIFFERENTIATION_NUM_CS,MATCH(C4,PT_DIFFERENTIATION_CS_ID,0))</f>
      </c>
      <c r="T4" s="821" t="s">
        <v>596</v>
      </c>
      <c r="U4" s="812"/>
      <c r="V4" s="2754"/>
      <c r="W4" s="2755"/>
      <c r="X4" s="2755"/>
      <c r="Y4" s="2755"/>
      <c r="Z4" s="2755"/>
      <c r="AA4" s="2755"/>
      <c r="AB4" s="2756"/>
      <c r="AC4" s="2754">
        <f>INDEX(PT_DIFFERENTIATION_CS,MATCH(C4,PT_DIFFERENTIATION_CS_ID,0))</f>
      </c>
      <c r="AD4" s="2755"/>
      <c r="AE4" s="2755"/>
      <c r="AF4" s="2755"/>
      <c r="AG4" s="2755"/>
      <c r="AH4" s="2755"/>
      <c r="AI4" s="2755"/>
      <c r="AJ4" s="2756"/>
      <c r="AK4" s="1770" t="s">
        <v>597</v>
      </c>
      <c r="AM4" s="1012"/>
      <c r="AN4" s="1012" t="str">
        <f>IF(T4="","",T4)</f>
        <v>Наименование централизованной системы холодного водоснабжения</v>
      </c>
      <c r="AO4" s="1012"/>
      <c r="AP4" s="1012"/>
      <c r="AQ4" s="1667">
        <v>0</v>
      </c>
    </row>
    <row customHeight="1" ht="23.25" hidden="1">
      <c r="A5" s="1875"/>
      <c r="B5" s="1875"/>
      <c r="C5" s="1875"/>
      <c r="D5" s="1875"/>
      <c r="E5" s="2771"/>
      <c r="F5" s="2771"/>
      <c r="G5" s="2771"/>
      <c r="H5" s="2771"/>
      <c r="I5" s="2768">
        <f>S4&amp;".1"</f>
      </c>
      <c r="J5" s="1875"/>
      <c r="K5" s="1875"/>
      <c r="L5" s="1876"/>
      <c r="P5" s="2769">
        <v>1</v>
      </c>
      <c r="Q5" s="1962"/>
      <c r="R5" s="868"/>
      <c r="S5" s="1969">
        <f>$I5</f>
      </c>
      <c r="T5" s="797" t="s">
        <v>598</v>
      </c>
      <c r="U5" s="812"/>
      <c r="V5" s="2862"/>
      <c r="W5" s="2863"/>
      <c r="X5" s="2863"/>
      <c r="Y5" s="2863"/>
      <c r="Z5" s="2863"/>
      <c r="AA5" s="2863"/>
      <c r="AB5" s="2864"/>
      <c r="AC5" s="2865"/>
      <c r="AD5" s="2866"/>
      <c r="AE5" s="2866"/>
      <c r="AF5" s="2866"/>
      <c r="AG5" s="2866"/>
      <c r="AH5" s="2866"/>
      <c r="AI5" s="2866"/>
      <c r="AJ5" s="2867"/>
      <c r="AK5" s="1770" t="s">
        <v>599</v>
      </c>
      <c r="AM5" s="1012"/>
      <c r="AN5" s="1012" t="str">
        <f>IF(T5="","",T5)</f>
        <v>Наименование признака дифференциации</v>
      </c>
      <c r="AO5" s="1012"/>
      <c r="AP5" s="1012"/>
      <c r="AQ5" s="1667">
        <v>0</v>
      </c>
    </row>
    <row customHeight="1" ht="23.25" hidden="1">
      <c r="A6" s="1875"/>
      <c r="B6" s="1875"/>
      <c r="C6" s="1875"/>
      <c r="D6" s="1875"/>
      <c r="E6" s="2771"/>
      <c r="F6" s="2771"/>
      <c r="G6" s="2771"/>
      <c r="H6" s="2771"/>
      <c r="I6" s="2798"/>
      <c r="J6" s="2768">
        <f>I5&amp;".1"</f>
      </c>
      <c r="K6" s="1875"/>
      <c r="L6" s="1876" t="s">
        <v>524</v>
      </c>
      <c r="P6" s="2769"/>
      <c r="Q6" s="2769">
        <v>1</v>
      </c>
      <c r="R6" s="869"/>
      <c r="S6" s="1969">
        <f>$J6</f>
      </c>
      <c r="T6" s="798" t="s">
        <v>525</v>
      </c>
      <c r="U6" s="812"/>
      <c r="V6" s="2757"/>
      <c r="W6" s="2758"/>
      <c r="X6" s="2758"/>
      <c r="Y6" s="2758"/>
      <c r="Z6" s="2758"/>
      <c r="AA6" s="2758"/>
      <c r="AB6" s="2759"/>
      <c r="AC6" s="2757"/>
      <c r="AD6" s="2758"/>
      <c r="AE6" s="2758"/>
      <c r="AF6" s="2758"/>
      <c r="AG6" s="2758"/>
      <c r="AH6" s="2758"/>
      <c r="AI6" s="2758"/>
      <c r="AJ6" s="2759"/>
      <c r="AK6" s="1819" t="s">
        <v>600</v>
      </c>
      <c r="AM6" s="1012"/>
      <c r="AN6" s="1012" t="str">
        <f>IF(T6="","",T6)</f>
        <v>Группа потребителей</v>
      </c>
      <c r="AO6" s="1012"/>
      <c r="AP6" s="1012"/>
      <c r="AQ6" s="1667">
        <v>0</v>
      </c>
    </row>
    <row customHeight="1" ht="23.25" hidden="1">
      <c r="A7" s="1875"/>
      <c r="B7" s="1875"/>
      <c r="C7" s="1875"/>
      <c r="D7" s="1875"/>
      <c r="E7" s="2771"/>
      <c r="F7" s="2771"/>
      <c r="G7" s="2771"/>
      <c r="H7" s="2771"/>
      <c r="I7" s="2798"/>
      <c r="J7" s="2798"/>
      <c r="K7" s="2768">
        <f>J6&amp;".1"</f>
      </c>
      <c r="L7" s="1876"/>
      <c r="P7" s="2769"/>
      <c r="Q7" s="2769"/>
      <c r="R7" s="869">
        <v>1</v>
      </c>
      <c r="S7" s="1969">
        <f>$K7</f>
      </c>
      <c r="T7" s="1949"/>
      <c r="U7" s="812"/>
      <c r="V7" s="1263"/>
      <c r="W7" s="1263"/>
      <c r="X7" s="1769"/>
      <c r="Y7" s="2777"/>
      <c r="Z7" s="2619" t="s">
        <v>63</v>
      </c>
      <c r="AA7" s="2777"/>
      <c r="AB7" s="2619" t="s">
        <v>63</v>
      </c>
      <c r="AC7" s="1263"/>
      <c r="AD7" s="1263"/>
      <c r="AE7" s="1769"/>
      <c r="AF7" s="2777"/>
      <c r="AG7" s="2619" t="s">
        <v>63</v>
      </c>
      <c r="AH7" s="2799"/>
      <c r="AI7" s="2619" t="s">
        <v>63</v>
      </c>
      <c r="AJ7" s="1950"/>
      <c r="AK7" s="28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023">
        <f>STRCHECKDATE(V8:AJ8)</f>
      </c>
      <c r="AM7" s="1012"/>
      <c r="AN7" s="1012" t="str">
        <f>IF(T7="","",T7)</f>
        <v/>
      </c>
      <c r="AO7" s="1012"/>
      <c r="AP7" s="1012"/>
      <c r="AQ7" s="1667">
        <v>0</v>
      </c>
    </row>
    <row customHeight="1" ht="14.25" hidden="1">
      <c r="A8" s="1875"/>
      <c r="B8" s="1875"/>
      <c r="C8" s="1875"/>
      <c r="D8" s="1875"/>
      <c r="E8" s="2771"/>
      <c r="F8" s="2771"/>
      <c r="G8" s="2771"/>
      <c r="H8" s="2771"/>
      <c r="I8" s="2798"/>
      <c r="J8" s="2798"/>
      <c r="K8" s="2768"/>
      <c r="L8" s="1876"/>
      <c r="P8" s="2769"/>
      <c r="Q8" s="2769"/>
      <c r="R8" s="869"/>
      <c r="S8" s="1968"/>
      <c r="T8" s="812"/>
      <c r="U8" s="812"/>
      <c r="V8" s="837"/>
      <c r="W8" s="837"/>
      <c r="X8" s="840" t="str">
        <f>Y7&amp;"-"&amp;AA7</f>
        <v>-</v>
      </c>
      <c r="Y8" s="2778"/>
      <c r="Z8" s="2619"/>
      <c r="AA8" s="2778"/>
      <c r="AB8" s="2619"/>
      <c r="AC8" s="837"/>
      <c r="AD8" s="837"/>
      <c r="AE8" s="840" t="str">
        <f>AF7&amp;"-"&amp;AH7</f>
        <v>-</v>
      </c>
      <c r="AF8" s="2778"/>
      <c r="AG8" s="2619"/>
      <c r="AH8" s="2800"/>
      <c r="AI8" s="2619"/>
      <c r="AJ8" s="1951"/>
      <c r="AK8" s="2861"/>
      <c r="AM8" s="1012"/>
      <c r="AN8" s="1012" t="str">
        <f>IF(T8="","",T8)</f>
        <v/>
      </c>
      <c r="AO8" s="1012"/>
      <c r="AP8" s="1012"/>
      <c r="AQ8" s="1667">
        <v>0</v>
      </c>
    </row>
    <row customHeight="1" ht="21" hidden="1">
      <c r="A9" s="1875"/>
      <c r="B9" s="1875"/>
      <c r="C9" s="1875"/>
      <c r="D9" s="1875"/>
      <c r="E9" s="2771"/>
      <c r="F9" s="2771"/>
      <c r="G9" s="2771"/>
      <c r="H9" s="2771"/>
      <c r="I9" s="2798"/>
      <c r="J9" s="2768"/>
      <c r="K9" s="1875"/>
      <c r="L9" s="1876"/>
      <c r="P9" s="2769"/>
      <c r="Q9" s="2769"/>
      <c r="R9" s="868"/>
      <c r="S9" s="1790"/>
      <c r="T9" s="799" t="s">
        <v>601</v>
      </c>
      <c r="U9" s="879"/>
      <c r="V9" s="879"/>
      <c r="W9" s="879"/>
      <c r="X9" s="879"/>
      <c r="Y9" s="879"/>
      <c r="Z9" s="879"/>
      <c r="AA9" s="879"/>
      <c r="AB9" s="879"/>
      <c r="AC9" s="879"/>
      <c r="AD9" s="879"/>
      <c r="AE9" s="879"/>
      <c r="AF9" s="879"/>
      <c r="AG9" s="879"/>
      <c r="AH9" s="879"/>
      <c r="AI9" s="879"/>
      <c r="AJ9" s="879"/>
      <c r="AK9" s="1770" t="s">
        <v>602</v>
      </c>
      <c r="AM9" s="1012"/>
      <c r="AN9" s="1012" t="str">
        <f>IF(T9="","",T9)</f>
        <v>Добавить значение признака дифференциации</v>
      </c>
      <c r="AO9" s="1012"/>
      <c r="AP9" s="1012"/>
      <c r="AQ9" s="1667">
        <v>0</v>
      </c>
    </row>
    <row customHeight="1" ht="21" hidden="1">
      <c r="A10" s="1875"/>
      <c r="B10" s="1875"/>
      <c r="C10" s="1875"/>
      <c r="D10" s="1875"/>
      <c r="E10" s="2771"/>
      <c r="F10" s="2771"/>
      <c r="G10" s="2771"/>
      <c r="H10" s="2771"/>
      <c r="I10" s="2768"/>
      <c r="J10" s="1875"/>
      <c r="K10" s="1875"/>
      <c r="L10" s="1876"/>
      <c r="P10" s="2769"/>
      <c r="Q10" s="1962"/>
      <c r="R10" s="868"/>
      <c r="S10" s="1790"/>
      <c r="T10" s="877" t="s">
        <v>530</v>
      </c>
      <c r="U10" s="879"/>
      <c r="V10" s="879"/>
      <c r="W10" s="879"/>
      <c r="X10" s="879"/>
      <c r="Y10" s="879"/>
      <c r="Z10" s="879"/>
      <c r="AA10" s="879"/>
      <c r="AB10" s="878"/>
      <c r="AC10" s="879"/>
      <c r="AD10" s="879"/>
      <c r="AE10" s="879"/>
      <c r="AF10" s="879"/>
      <c r="AG10" s="879"/>
      <c r="AH10" s="879"/>
      <c r="AI10" s="878"/>
      <c r="AJ10" s="879"/>
      <c r="AK10" s="1952"/>
      <c r="AM10" s="1012"/>
      <c r="AN10" s="1012" t="str">
        <f>IF(T10="","",T10)</f>
        <v>Добавить группу потребителей</v>
      </c>
      <c r="AO10" s="1012"/>
      <c r="AP10" s="1012"/>
      <c r="AQ10" s="1667">
        <v>0</v>
      </c>
    </row>
    <row customHeight="1" ht="21" hidden="1">
      <c r="A11" s="1875"/>
      <c r="B11" s="1875"/>
      <c r="C11" s="1875"/>
      <c r="D11" s="1875"/>
      <c r="E11" s="2771"/>
      <c r="F11" s="2771"/>
      <c r="G11" s="2771"/>
      <c r="H11" s="2770"/>
      <c r="I11" s="1875"/>
      <c r="J11" s="1875"/>
      <c r="K11" s="1875"/>
      <c r="L11" s="1876"/>
      <c r="M11" s="1877"/>
      <c r="N11" s="1877"/>
      <c r="O11" s="1049"/>
      <c r="P11" s="872"/>
      <c r="Q11" s="887"/>
      <c r="R11" s="867"/>
      <c r="S11" s="1790"/>
      <c r="T11" s="884" t="s">
        <v>603</v>
      </c>
      <c r="U11" s="879"/>
      <c r="V11" s="879"/>
      <c r="W11" s="879"/>
      <c r="X11" s="879"/>
      <c r="Y11" s="879"/>
      <c r="Z11" s="879"/>
      <c r="AA11" s="879"/>
      <c r="AB11" s="878"/>
      <c r="AC11" s="879"/>
      <c r="AD11" s="879"/>
      <c r="AE11" s="879"/>
      <c r="AF11" s="879"/>
      <c r="AG11" s="879"/>
      <c r="AH11" s="879"/>
      <c r="AI11" s="878"/>
      <c r="AJ11" s="879"/>
      <c r="AK11" s="815"/>
      <c r="AM11" s="1012"/>
      <c r="AN11" s="1012" t="str">
        <f>IF(T11="","",T11)</f>
        <v>Добавить наименование признака дифференциации</v>
      </c>
      <c r="AO11" s="1012"/>
      <c r="AP11" s="1012"/>
      <c r="AQ11" s="1667">
        <v>0</v>
      </c>
    </row>
    <row s="46890" customFormat="1" customHeight="1" ht="14.25" hidden="1">
      <c r="A12" s="1855"/>
      <c r="B12" s="1855"/>
      <c r="C12" s="1826"/>
      <c r="D12" s="1826"/>
      <c r="E12" s="2771"/>
      <c r="F12" s="2770"/>
      <c r="G12" s="1826"/>
      <c r="H12" s="1826"/>
      <c r="I12" s="1826"/>
      <c r="J12" s="1826"/>
      <c r="K12" s="1826"/>
      <c r="L12" s="1970"/>
      <c r="M12" s="1833"/>
      <c r="N12" s="1833"/>
      <c r="P12" s="1828"/>
      <c r="Q12" s="1829"/>
      <c r="R12" s="1828"/>
      <c r="S12" s="1834"/>
      <c r="T12" s="1837" t="s">
        <v>321</v>
      </c>
      <c r="U12" s="1836"/>
      <c r="V12" s="1836"/>
      <c r="W12" s="1836"/>
      <c r="X12" s="1836"/>
      <c r="Y12" s="1836"/>
      <c r="Z12" s="1836"/>
      <c r="AA12" s="1836"/>
      <c r="AB12" s="1836"/>
      <c r="AC12" s="1836"/>
      <c r="AD12" s="1836"/>
      <c r="AE12" s="1836"/>
      <c r="AF12" s="1836"/>
      <c r="AG12" s="1836"/>
      <c r="AH12" s="1836"/>
      <c r="AI12" s="1836"/>
      <c r="AJ12" s="1836"/>
      <c r="AK12" s="1836"/>
      <c r="AM12" s="1301"/>
      <c r="AN12" s="1301" t="str">
        <f>IF(T12="","",T12)</f>
        <v>Добавить централизованную систему для дифференциации</v>
      </c>
      <c r="AO12" s="1301"/>
      <c r="AP12" s="1301"/>
      <c r="AQ12" s="1030">
        <v>0</v>
      </c>
    </row>
    <row s="46890" customFormat="1" customHeight="1" ht="14.25" hidden="1">
      <c r="A13" s="1855"/>
      <c r="B13" s="1855"/>
      <c r="C13" s="1855"/>
      <c r="D13" s="1855"/>
      <c r="E13" s="2770"/>
      <c r="F13" s="1855"/>
      <c r="G13" s="1855"/>
      <c r="H13" s="1855"/>
      <c r="I13" s="1855"/>
      <c r="J13" s="1855"/>
      <c r="K13" s="1855"/>
      <c r="L13" s="1858"/>
      <c r="M13" s="1833"/>
      <c r="N13" s="1833"/>
      <c r="O13" s="1030"/>
      <c r="P13" s="892"/>
      <c r="Q13" s="1856"/>
      <c r="R13" s="892"/>
      <c r="S13" s="1834"/>
      <c r="T13" s="1837" t="s">
        <v>385</v>
      </c>
      <c r="U13" s="1836"/>
      <c r="V13" s="1836"/>
      <c r="W13" s="1836"/>
      <c r="X13" s="1836"/>
      <c r="Y13" s="1836"/>
      <c r="Z13" s="1836"/>
      <c r="AA13" s="1836"/>
      <c r="AB13" s="1836"/>
      <c r="AC13" s="1836"/>
      <c r="AD13" s="1836"/>
      <c r="AE13" s="1836"/>
      <c r="AF13" s="1836"/>
      <c r="AG13" s="1836"/>
      <c r="AH13" s="1836"/>
      <c r="AI13" s="1836"/>
      <c r="AJ13" s="1836"/>
      <c r="AK13" s="1836"/>
      <c r="AM13" s="1012"/>
      <c r="AN13" s="1012" t="str">
        <f>IF(T13="","",T13)</f>
        <v>Добавить территорию для дифференциации</v>
      </c>
      <c r="AO13" s="1012"/>
      <c r="AP13" s="1012"/>
      <c r="AQ13" s="1023">
        <v>0</v>
      </c>
    </row>
    <row customHeight="1" ht="14.25" hidden="1">
      <c r="AB14" s="839"/>
      <c r="AI14" s="839"/>
      <c r="AQ14" s="1667">
        <v>0</v>
      </c>
    </row>
    <row customHeight="1" ht="14.25" hidden="1">
      <c r="AC15" s="1872"/>
      <c r="AD15" s="1872"/>
      <c r="AE15" s="1873"/>
      <c r="AF15" s="2779"/>
      <c r="AG15" s="2780" t="s">
        <v>63</v>
      </c>
      <c r="AH15" s="2779"/>
      <c r="AI15" s="2780" t="s">
        <v>63</v>
      </c>
      <c r="AQ15" s="1667">
        <v>0</v>
      </c>
    </row>
    <row customHeight="1" ht="14.25" hidden="1">
      <c r="AC16" s="1872"/>
      <c r="AD16" s="1872"/>
      <c r="AE16" s="840" t="str">
        <f>AF15&amp;"-"&amp;AH15</f>
        <v>-</v>
      </c>
      <c r="AF16" s="2780"/>
      <c r="AG16" s="2780"/>
      <c r="AH16" s="2780"/>
      <c r="AI16" s="2780"/>
      <c r="AQ16" s="1667">
        <v>0</v>
      </c>
    </row>
    <row customHeight="1" ht="14.25" hidden="1">
      <c r="AI17" s="839"/>
      <c r="AQ17" s="1667">
        <v>0</v>
      </c>
    </row>
    <row s="46889" customFormat="1" customHeight="1" ht="22.5" hidden="1">
      <c r="L18" s="1959"/>
      <c r="M18" s="1874"/>
      <c r="N18" s="1874"/>
      <c r="O18" s="1879" t="s">
        <v>533</v>
      </c>
      <c r="P18" s="1874"/>
      <c r="Q18" s="1883"/>
      <c r="R18" s="1883"/>
      <c r="S18" s="1241"/>
      <c r="Y18" s="1879"/>
      <c r="AA18" s="1879"/>
      <c r="AB18" s="1878"/>
      <c r="AF18" s="1879"/>
      <c r="AH18" s="1879"/>
      <c r="AI18" s="1878"/>
      <c r="AL18" s="1023"/>
      <c r="AM18" s="1023"/>
      <c r="AN18" s="1023"/>
      <c r="AO18" s="1023"/>
      <c r="AP18" s="1023"/>
      <c r="AQ18" s="1672">
        <v>0</v>
      </c>
    </row>
    <row s="46889" customFormat="1" customHeight="1" ht="14.25" hidden="1">
      <c r="L19" s="1959"/>
      <c r="M19" s="1874"/>
      <c r="N19" s="1874"/>
      <c r="O19" s="1874"/>
      <c r="P19" s="1874"/>
      <c r="Q19" s="1883"/>
      <c r="R19" s="1883"/>
      <c r="S19" s="1241"/>
      <c r="AB19" s="1878"/>
      <c r="AI19" s="1878"/>
      <c r="AL19" s="1023"/>
      <c r="AM19" s="1023"/>
      <c r="AN19" s="1023"/>
      <c r="AO19" s="1023"/>
      <c r="AP19" s="1023"/>
      <c r="AQ19" s="1672">
        <v>0</v>
      </c>
    </row>
    <row s="46889" customFormat="1" customHeight="1" ht="12" hidden="1">
      <c r="L20" s="1959"/>
      <c r="M20" s="1874"/>
      <c r="N20" s="1874"/>
      <c r="O20" s="1876" t="s">
        <v>534</v>
      </c>
      <c r="P20" s="1874"/>
      <c r="Q20" s="1954"/>
      <c r="R20" s="1954"/>
      <c r="S20" s="1241"/>
      <c r="T20" s="1672" t="s">
        <v>535</v>
      </c>
      <c r="Z20" s="698" t="s">
        <v>536</v>
      </c>
      <c r="AB20" s="698" t="s">
        <v>537</v>
      </c>
      <c r="AC20" s="1672" t="s">
        <v>535</v>
      </c>
      <c r="AG20" s="698" t="s">
        <v>538</v>
      </c>
      <c r="AI20" s="698" t="s">
        <v>537</v>
      </c>
      <c r="AQ20" s="1672">
        <v>0</v>
      </c>
    </row>
    <row customHeight="1" ht="14.25" hidden="1">
      <c r="O21" s="1876"/>
      <c r="AQ21" s="1667">
        <v>0</v>
      </c>
    </row>
    <row customHeight="1" ht="14.25" hidden="1">
      <c r="O22" s="1876"/>
      <c r="AQ22" s="1667">
        <v>0</v>
      </c>
    </row>
    <row customHeight="1" ht="14.699999999999998">
      <c r="Q23" s="888"/>
      <c r="R23" s="888"/>
      <c r="S23" s="1787"/>
      <c r="T23" s="875"/>
      <c r="U23" s="875"/>
      <c r="V23" s="1021"/>
      <c r="W23" s="1021"/>
      <c r="X23" s="1021"/>
      <c r="Y23" s="1021"/>
      <c r="Z23" s="1021"/>
      <c r="AA23" s="1021"/>
      <c r="AB23" s="1021"/>
      <c r="AC23" s="1021"/>
      <c r="AD23" s="1021"/>
      <c r="AE23" s="1021"/>
      <c r="AF23" s="1021"/>
      <c r="AG23" s="1021"/>
      <c r="AH23" s="1021"/>
      <c r="AI23" s="1021"/>
      <c r="AQ23" s="1667">
        <v>14</v>
      </c>
    </row>
    <row customHeight="1" ht="14.699999999999998">
      <c r="Q24" s="888"/>
      <c r="R24" s="888"/>
      <c r="S24" s="2760" t="str">
        <f>IF(TEMPLATE_GROUP="P",PT_P_FORM_COLDVSNA_4_NAME_FORM,PT_R_FORM_COLDVSNA_16_NAME_FORM)</f>
        <v>Форма 2. Информация
о тарифах в сфере холодного водоснабжения на товары (услуги) организации холодного водоснабжения, подлежащих регулированию</v>
      </c>
      <c r="T24" s="2760"/>
      <c r="U24" s="2760"/>
      <c r="V24" s="2760"/>
      <c r="W24" s="2760"/>
      <c r="X24" s="2760"/>
      <c r="Y24" s="2760"/>
      <c r="Z24" s="2760"/>
      <c r="AA24" s="2760"/>
      <c r="AB24" s="2760"/>
      <c r="AC24" s="2760"/>
      <c r="AD24" s="2760"/>
      <c r="AE24" s="2760"/>
      <c r="AF24" s="2760"/>
      <c r="AG24" s="2760"/>
      <c r="AH24" s="2760"/>
      <c r="AI24" s="1755"/>
      <c r="AQ24" s="1667">
        <v>14</v>
      </c>
    </row>
    <row customHeight="1" ht="14.699999999999998">
      <c r="Q25" s="888"/>
      <c r="R25" s="888"/>
      <c r="S25" s="2761" t="str">
        <f>IF(org=0,"Не определено",org)</f>
        <v>КГУП "Примтеплоэнерго"</v>
      </c>
      <c r="T25" s="2761"/>
      <c r="U25" s="2761"/>
      <c r="V25" s="2761"/>
      <c r="W25" s="2761"/>
      <c r="X25" s="2761"/>
      <c r="Y25" s="2761"/>
      <c r="Z25" s="2761"/>
      <c r="AA25" s="2761"/>
      <c r="AB25" s="2761"/>
      <c r="AC25" s="2761"/>
      <c r="AD25" s="2761"/>
      <c r="AE25" s="2761"/>
      <c r="AF25" s="2761"/>
      <c r="AG25" s="2761"/>
      <c r="AH25" s="2761"/>
      <c r="AI25" s="1755"/>
      <c r="AQ25" s="1667">
        <v>14</v>
      </c>
    </row>
    <row customHeight="1" ht="14.25">
      <c r="Q26" s="888"/>
      <c r="R26" s="888"/>
      <c r="S26" s="1787"/>
      <c r="T26" s="875"/>
      <c r="U26" s="875"/>
      <c r="V26" s="834"/>
      <c r="W26" s="834"/>
      <c r="X26" s="834"/>
      <c r="Y26" s="834"/>
      <c r="Z26" s="834"/>
      <c r="AA26" s="834"/>
      <c r="AB26" s="834"/>
      <c r="AC26" s="834"/>
      <c r="AD26" s="834"/>
      <c r="AE26" s="834"/>
      <c r="AF26" s="834"/>
      <c r="AG26" s="834"/>
      <c r="AH26" s="834"/>
      <c r="AI26" s="834"/>
      <c r="AJ26" s="1021"/>
      <c r="AQ26" s="1667">
        <v>0</v>
      </c>
    </row>
    <row s="47026" customFormat="1" customHeight="1" ht="25.5">
      <c r="A27" s="1880"/>
      <c r="B27" s="1880"/>
      <c r="C27" s="1880"/>
      <c r="D27" s="1880"/>
      <c r="E27" s="1880"/>
      <c r="F27" s="1880"/>
      <c r="G27" s="1880"/>
      <c r="H27" s="1880"/>
      <c r="I27" s="1880"/>
      <c r="J27" s="1880"/>
      <c r="K27" s="1880"/>
      <c r="L27" s="1881"/>
      <c r="M27" s="1880"/>
      <c r="N27" s="1880"/>
      <c r="O27" s="1880"/>
      <c r="S27" s="2762" t="s">
        <v>42</v>
      </c>
      <c r="T27" s="2762"/>
      <c r="U27" s="1884"/>
      <c r="V27" s="2763" t="str">
        <f>IF(TITLE_NAME_OR_PR_CHANGE="",IF(TITLE_NAME_OR_PR="","",TITLE_NAME_OR_PR),TITLE_NAME_OR_PR_CHANGE)</f>
        <v>Агентство по тарифам Приморского края</v>
      </c>
      <c r="W27" s="2763"/>
      <c r="X27" s="2763"/>
      <c r="Y27" s="2763"/>
      <c r="Z27" s="2763"/>
      <c r="AA27" s="2763"/>
      <c r="AB27" s="838"/>
      <c r="AC27" s="2763" t="str">
        <f>IF(TITLE_NAME_OR_PR_CHANGE="",IF(TITLE_NAME_OR_PR="","",TITLE_NAME_OR_PR),TITLE_NAME_OR_PR_CHANGE)</f>
        <v>Агентство по тарифам Приморского края</v>
      </c>
      <c r="AD27" s="2763"/>
      <c r="AE27" s="2763"/>
      <c r="AF27" s="2763"/>
      <c r="AG27" s="2763"/>
      <c r="AH27" s="2763"/>
      <c r="AI27" s="838"/>
      <c r="AJ27" s="838"/>
      <c r="AK27" s="792"/>
      <c r="AL27" s="880"/>
      <c r="AM27" s="880"/>
      <c r="AN27" s="880"/>
      <c r="AO27" s="880"/>
      <c r="AP27" s="880"/>
      <c r="AQ27" s="930">
        <v>0</v>
      </c>
    </row>
    <row s="47026" customFormat="1" customHeight="1" ht="18.75">
      <c r="A28" s="1880"/>
      <c r="B28" s="1880"/>
      <c r="C28" s="1880"/>
      <c r="D28" s="1880"/>
      <c r="E28" s="1880"/>
      <c r="F28" s="1880"/>
      <c r="G28" s="1880"/>
      <c r="H28" s="1880"/>
      <c r="I28" s="1880"/>
      <c r="J28" s="1880"/>
      <c r="K28" s="1880"/>
      <c r="L28" s="1881"/>
      <c r="M28" s="1880"/>
      <c r="N28" s="1880"/>
      <c r="O28" s="1880"/>
      <c r="S28" s="2762" t="s">
        <v>539</v>
      </c>
      <c r="T28" s="2762"/>
      <c r="U28" s="1884"/>
      <c r="V28" s="2776" t="str">
        <f>IF(TITLE_DATE_PR_CHANGE="",IF(TITLE_DATE_PR="","",TITLE_DATE_PR),TITLE_DATE_PR_CHANGE)</f>
        <v>45631.495844907404</v>
      </c>
      <c r="W28" s="2776"/>
      <c r="X28" s="2776"/>
      <c r="Y28" s="2776"/>
      <c r="Z28" s="2776"/>
      <c r="AA28" s="2776"/>
      <c r="AB28" s="838"/>
      <c r="AC28" s="2776" t="str">
        <f>IF(TITLE_DATE_PR_CHANGE="",IF(TITLE_DATE_PR="","",TITLE_DATE_PR),TITLE_DATE_PR_CHANGE)</f>
        <v>45631.495844907404</v>
      </c>
      <c r="AD28" s="2776"/>
      <c r="AE28" s="2776"/>
      <c r="AF28" s="2776"/>
      <c r="AG28" s="2776"/>
      <c r="AH28" s="2776"/>
      <c r="AI28" s="838"/>
      <c r="AJ28" s="838"/>
      <c r="AK28" s="792"/>
      <c r="AL28" s="880"/>
      <c r="AM28" s="880"/>
      <c r="AN28" s="880"/>
      <c r="AO28" s="880"/>
      <c r="AP28" s="880"/>
      <c r="AQ28" s="930">
        <v>0</v>
      </c>
    </row>
    <row s="47026" customFormat="1" customHeight="1" ht="18.75">
      <c r="A29" s="1880"/>
      <c r="B29" s="1880"/>
      <c r="C29" s="1880"/>
      <c r="D29" s="1880"/>
      <c r="E29" s="1880"/>
      <c r="F29" s="1880"/>
      <c r="G29" s="1880"/>
      <c r="H29" s="1880"/>
      <c r="I29" s="1880"/>
      <c r="J29" s="1880"/>
      <c r="K29" s="1880"/>
      <c r="L29" s="1881"/>
      <c r="M29" s="1880"/>
      <c r="N29" s="1880"/>
      <c r="O29" s="1880"/>
      <c r="S29" s="2762" t="s">
        <v>540</v>
      </c>
      <c r="T29" s="2762"/>
      <c r="U29" s="1884"/>
      <c r="V29" s="2763" t="str">
        <f>IF(TITLE_NUMBER_PR_CHANGE="",IF(TITLE_NUMBER_PR="","",TITLE_NUMBER_PR),TITLE_NUMBER_PR_CHANGE)</f>
        <v>53/9</v>
      </c>
      <c r="W29" s="2763"/>
      <c r="X29" s="2763"/>
      <c r="Y29" s="2763"/>
      <c r="Z29" s="2763"/>
      <c r="AA29" s="2763"/>
      <c r="AB29" s="838"/>
      <c r="AC29" s="2763" t="str">
        <f>IF(TITLE_NUMBER_PR_CHANGE="",IF(TITLE_NUMBER_PR="","",TITLE_NUMBER_PR),TITLE_NUMBER_PR_CHANGE)</f>
        <v>53/9</v>
      </c>
      <c r="AD29" s="2763"/>
      <c r="AE29" s="2763"/>
      <c r="AF29" s="2763"/>
      <c r="AG29" s="2763"/>
      <c r="AH29" s="2763"/>
      <c r="AI29" s="838"/>
      <c r="AJ29" s="838"/>
      <c r="AK29" s="792"/>
      <c r="AL29" s="880"/>
      <c r="AM29" s="880"/>
      <c r="AN29" s="880"/>
      <c r="AO29" s="880"/>
      <c r="AP29" s="880"/>
      <c r="AQ29" s="930">
        <v>0</v>
      </c>
    </row>
    <row s="47026" customFormat="1" customHeight="1" ht="18.75">
      <c r="A30" s="1880"/>
      <c r="B30" s="1880"/>
      <c r="C30" s="1880"/>
      <c r="D30" s="1880"/>
      <c r="E30" s="1880"/>
      <c r="F30" s="1880"/>
      <c r="G30" s="1880"/>
      <c r="H30" s="1880"/>
      <c r="I30" s="1880"/>
      <c r="J30" s="1880"/>
      <c r="K30" s="1880"/>
      <c r="L30" s="1881"/>
      <c r="M30" s="1880"/>
      <c r="N30" s="1880"/>
      <c r="O30" s="1880"/>
      <c r="S30" s="2762" t="s">
        <v>44</v>
      </c>
      <c r="T30" s="2762"/>
      <c r="U30" s="1884"/>
      <c r="V30" s="2763" t="str">
        <f>IF(TITLE_IST_PUB_CHANGE="",IF(TITLE_IST_PUB="","",TITLE_IST_PUB),TITLE_IST_PUB_CHANGE)</f>
        <v>http://pravo.gov.ru</v>
      </c>
      <c r="W30" s="2763"/>
      <c r="X30" s="2763"/>
      <c r="Y30" s="2763"/>
      <c r="Z30" s="2763"/>
      <c r="AA30" s="2763"/>
      <c r="AB30" s="838"/>
      <c r="AC30" s="2763" t="str">
        <f>IF(TITLE_IST_PUB_CHANGE="",IF(TITLE_IST_PUB="","",TITLE_IST_PUB),TITLE_IST_PUB_CHANGE)</f>
        <v>http://pravo.gov.ru</v>
      </c>
      <c r="AD30" s="2763"/>
      <c r="AE30" s="2763"/>
      <c r="AF30" s="2763"/>
      <c r="AG30" s="2763"/>
      <c r="AH30" s="2763"/>
      <c r="AI30" s="838"/>
      <c r="AJ30" s="838"/>
      <c r="AK30" s="792"/>
      <c r="AL30" s="880"/>
      <c r="AM30" s="880"/>
      <c r="AN30" s="880"/>
      <c r="AO30" s="880"/>
      <c r="AP30" s="880"/>
      <c r="AQ30" s="930">
        <v>0</v>
      </c>
    </row>
    <row customHeight="1" ht="14.25" hidden="1">
      <c r="Q31" s="888"/>
      <c r="R31" s="888"/>
      <c r="S31" s="1787"/>
      <c r="T31" s="875"/>
      <c r="U31" s="875"/>
      <c r="V31" s="834"/>
      <c r="W31" s="834"/>
      <c r="X31" s="834"/>
      <c r="Y31" s="834"/>
      <c r="Z31" s="834"/>
      <c r="AA31" s="834"/>
      <c r="AB31" s="834"/>
      <c r="AC31" s="834"/>
      <c r="AD31" s="834"/>
      <c r="AE31" s="834"/>
      <c r="AF31" s="834"/>
      <c r="AG31" s="834"/>
      <c r="AH31" s="834"/>
      <c r="AI31" s="834"/>
      <c r="AJ31" s="1021"/>
      <c r="AQ31" s="1667">
        <v>0</v>
      </c>
    </row>
    <row s="47026" customFormat="1" customHeight="1" ht="18.75" hidden="1">
      <c r="A32" s="1880"/>
      <c r="B32" s="1880"/>
      <c r="C32" s="1880"/>
      <c r="D32" s="1880"/>
      <c r="E32" s="1880"/>
      <c r="F32" s="1880"/>
      <c r="G32" s="1880"/>
      <c r="H32" s="1880"/>
      <c r="I32" s="1880"/>
      <c r="J32" s="1880"/>
      <c r="K32" s="1880"/>
      <c r="L32" s="1881"/>
      <c r="M32" s="1880"/>
      <c r="N32" s="1880"/>
      <c r="O32" s="1880"/>
      <c r="S32" s="2762" t="s">
        <v>541</v>
      </c>
      <c r="T32" s="2762"/>
      <c r="U32" s="1884"/>
      <c r="V32" s="2776" t="str">
        <f>IF(TITLE_DATE_PR_CHANGE="",IF(TITLE_DATE_PR="","",TITLE_DATE_PR),TITLE_DATE_PR_CHANGE)</f>
        <v>45631.495844907404</v>
      </c>
      <c r="W32" s="2776"/>
      <c r="X32" s="2776"/>
      <c r="Y32" s="2776"/>
      <c r="Z32" s="2776"/>
      <c r="AA32" s="2776"/>
      <c r="AB32" s="838"/>
      <c r="AC32" s="2776" t="str">
        <f>IF(TITLE_DATE_PR_CHANGE="",IF(TITLE_DATE_PR="","",TITLE_DATE_PR),TITLE_DATE_PR_CHANGE)</f>
        <v>45631.495844907404</v>
      </c>
      <c r="AD32" s="2776"/>
      <c r="AE32" s="2776"/>
      <c r="AF32" s="2776"/>
      <c r="AG32" s="2776"/>
      <c r="AH32" s="2776"/>
      <c r="AI32" s="838"/>
      <c r="AJ32" s="838"/>
      <c r="AK32" s="792"/>
      <c r="AL32" s="880"/>
      <c r="AM32" s="880"/>
      <c r="AN32" s="880"/>
      <c r="AO32" s="880"/>
      <c r="AP32" s="880"/>
      <c r="AQ32" s="930">
        <v>0</v>
      </c>
    </row>
    <row s="47026" customFormat="1" customHeight="1" ht="18.75" hidden="1">
      <c r="A33" s="1880"/>
      <c r="B33" s="1880"/>
      <c r="C33" s="1880"/>
      <c r="D33" s="1880"/>
      <c r="E33" s="1880"/>
      <c r="F33" s="1880"/>
      <c r="G33" s="1880"/>
      <c r="H33" s="1880"/>
      <c r="I33" s="1880"/>
      <c r="J33" s="1880"/>
      <c r="K33" s="1880"/>
      <c r="L33" s="1881"/>
      <c r="M33" s="1880"/>
      <c r="N33" s="1880"/>
      <c r="O33" s="1880"/>
      <c r="S33" s="2762" t="s">
        <v>542</v>
      </c>
      <c r="T33" s="2762"/>
      <c r="U33" s="1884"/>
      <c r="V33" s="2763" t="str">
        <f>IF(TITLE_NUMBER_PR_CHANGE="",IF(TITLE_NUMBER_PR="","",TITLE_NUMBER_PR),TITLE_NUMBER_PR_CHANGE)</f>
        <v>53/9</v>
      </c>
      <c r="W33" s="2763"/>
      <c r="X33" s="2763"/>
      <c r="Y33" s="2763"/>
      <c r="Z33" s="2763"/>
      <c r="AA33" s="2763"/>
      <c r="AB33" s="838"/>
      <c r="AC33" s="2763" t="str">
        <f>IF(TITLE_NUMBER_PR_CHANGE="",IF(TITLE_NUMBER_PR="","",TITLE_NUMBER_PR),TITLE_NUMBER_PR_CHANGE)</f>
        <v>53/9</v>
      </c>
      <c r="AD33" s="2763"/>
      <c r="AE33" s="2763"/>
      <c r="AF33" s="2763"/>
      <c r="AG33" s="2763"/>
      <c r="AH33" s="2763"/>
      <c r="AI33" s="838"/>
      <c r="AJ33" s="838"/>
      <c r="AK33" s="792"/>
      <c r="AL33" s="880"/>
      <c r="AM33" s="880"/>
      <c r="AN33" s="880"/>
      <c r="AO33" s="880"/>
      <c r="AP33" s="880"/>
      <c r="AQ33" s="930">
        <v>0</v>
      </c>
    </row>
    <row s="47026" customFormat="1" customHeight="1" ht="1.05">
      <c r="A34" s="1880"/>
      <c r="B34" s="1880"/>
      <c r="C34" s="1880"/>
      <c r="D34" s="1880"/>
      <c r="E34" s="1880"/>
      <c r="F34" s="1880"/>
      <c r="G34" s="1880"/>
      <c r="H34" s="1880"/>
      <c r="I34" s="1880"/>
      <c r="J34" s="1880"/>
      <c r="K34" s="1880"/>
      <c r="L34" s="1881"/>
      <c r="M34" s="1880"/>
      <c r="N34" s="1880"/>
      <c r="O34" s="1880"/>
      <c r="S34" s="835"/>
      <c r="T34" s="835"/>
      <c r="U34" s="1966"/>
      <c r="V34" s="838"/>
      <c r="W34" s="838"/>
      <c r="X34" s="838"/>
      <c r="Y34" s="838"/>
      <c r="Z34" s="838"/>
      <c r="AA34" s="838"/>
      <c r="AB34" s="790" t="s">
        <v>543</v>
      </c>
      <c r="AC34" s="838"/>
      <c r="AD34" s="838"/>
      <c r="AE34" s="838"/>
      <c r="AF34" s="838"/>
      <c r="AG34" s="838"/>
      <c r="AH34" s="838"/>
      <c r="AI34" s="790" t="s">
        <v>543</v>
      </c>
      <c r="AL34" s="880"/>
      <c r="AM34" s="880"/>
      <c r="AN34" s="880"/>
      <c r="AO34" s="880"/>
      <c r="AP34" s="880"/>
      <c r="AQ34" s="930">
        <v>1</v>
      </c>
    </row>
    <row customHeight="1" ht="14.699999999999998">
      <c r="Q35" s="888"/>
      <c r="R35" s="888"/>
      <c r="S35" s="1787"/>
      <c r="T35" s="875"/>
      <c r="U35" s="1756"/>
      <c r="V35" s="2764"/>
      <c r="W35" s="2764"/>
      <c r="X35" s="2764"/>
      <c r="Y35" s="2764"/>
      <c r="Z35" s="2764"/>
      <c r="AA35" s="2764"/>
      <c r="AB35" s="2764"/>
      <c r="AC35" s="2764"/>
      <c r="AD35" s="2764"/>
      <c r="AE35" s="2764"/>
      <c r="AF35" s="2764"/>
      <c r="AG35" s="2764"/>
      <c r="AH35" s="2764"/>
      <c r="AI35" s="2764"/>
      <c r="AQ35" s="1667">
        <v>14</v>
      </c>
    </row>
    <row customHeight="1" ht="14.699999999999998">
      <c r="Q36" s="888"/>
      <c r="R36" s="888"/>
      <c r="S36" s="2639" t="s">
        <v>418</v>
      </c>
      <c r="T36" s="2639"/>
      <c r="U36" s="2639"/>
      <c r="V36" s="2639"/>
      <c r="W36" s="2639"/>
      <c r="X36" s="2639"/>
      <c r="Y36" s="2639"/>
      <c r="Z36" s="2639"/>
      <c r="AA36" s="2639"/>
      <c r="AB36" s="2639"/>
      <c r="AC36" s="2639"/>
      <c r="AD36" s="2639"/>
      <c r="AE36" s="2639"/>
      <c r="AF36" s="2639"/>
      <c r="AG36" s="2639"/>
      <c r="AH36" s="2639"/>
      <c r="AI36" s="2639"/>
      <c r="AJ36" s="2639"/>
      <c r="AK36" s="2639" t="s">
        <v>419</v>
      </c>
      <c r="AQ36" s="1667">
        <v>14</v>
      </c>
    </row>
    <row customHeight="1" ht="14.699999999999998">
      <c r="Q37" s="888"/>
      <c r="R37" s="888"/>
      <c r="S37" s="2785" t="s">
        <v>90</v>
      </c>
      <c r="T37" s="2721" t="s">
        <v>544</v>
      </c>
      <c r="U37" s="813"/>
      <c r="V37" s="2786" t="s">
        <v>545</v>
      </c>
      <c r="W37" s="2787"/>
      <c r="X37" s="2787"/>
      <c r="Y37" s="2787"/>
      <c r="Z37" s="2787"/>
      <c r="AA37" s="2788"/>
      <c r="AB37" s="2789" t="s">
        <v>546</v>
      </c>
      <c r="AC37" s="2786" t="s">
        <v>545</v>
      </c>
      <c r="AD37" s="2787"/>
      <c r="AE37" s="2787"/>
      <c r="AF37" s="2787"/>
      <c r="AG37" s="2787"/>
      <c r="AH37" s="2788"/>
      <c r="AI37" s="2789" t="s">
        <v>547</v>
      </c>
      <c r="AJ37" s="2792" t="s">
        <v>548</v>
      </c>
      <c r="AK37" s="2639"/>
      <c r="AQ37" s="1667">
        <v>14</v>
      </c>
    </row>
    <row customHeight="1" ht="35.699999999999996">
      <c r="Q38" s="888"/>
      <c r="R38" s="888"/>
      <c r="S38" s="2785"/>
      <c r="T38" s="2721"/>
      <c r="U38" s="1543"/>
      <c r="V38" s="1964" t="s">
        <v>604</v>
      </c>
      <c r="W38" s="2774" t="s">
        <v>551</v>
      </c>
      <c r="X38" s="2775"/>
      <c r="Y38" s="2774" t="s">
        <v>552</v>
      </c>
      <c r="Z38" s="2781"/>
      <c r="AA38" s="2775"/>
      <c r="AB38" s="2790"/>
      <c r="AC38" s="1964" t="s">
        <v>604</v>
      </c>
      <c r="AD38" s="2774" t="s">
        <v>551</v>
      </c>
      <c r="AE38" s="2775"/>
      <c r="AF38" s="2774" t="s">
        <v>552</v>
      </c>
      <c r="AG38" s="2781"/>
      <c r="AH38" s="2775"/>
      <c r="AI38" s="2790"/>
      <c r="AJ38" s="2793"/>
      <c r="AK38" s="2639"/>
      <c r="AQ38" s="1667">
        <v>34</v>
      </c>
    </row>
    <row customHeight="1" ht="35.699999999999996">
      <c r="A39" s="1882"/>
      <c r="B39" s="1882" t="s">
        <v>191</v>
      </c>
      <c r="C39" s="1882" t="s">
        <v>192</v>
      </c>
      <c r="D39" s="1882" t="s">
        <v>193</v>
      </c>
      <c r="E39" s="1876" t="s">
        <v>553</v>
      </c>
      <c r="F39" s="1876" t="s">
        <v>554</v>
      </c>
      <c r="G39" s="1876" t="s">
        <v>555</v>
      </c>
      <c r="H39" s="1876"/>
      <c r="I39" s="1876" t="s">
        <v>605</v>
      </c>
      <c r="J39" s="1876" t="s">
        <v>558</v>
      </c>
      <c r="K39" s="1876" t="s">
        <v>606</v>
      </c>
      <c r="L39" s="1876" t="s">
        <v>534</v>
      </c>
      <c r="Q39" s="888"/>
      <c r="R39" s="888"/>
      <c r="S39" s="2785"/>
      <c r="T39" s="2721"/>
      <c r="U39" s="814"/>
      <c r="V39" s="1964" t="s">
        <v>607</v>
      </c>
      <c r="W39" s="1734" t="s">
        <v>608</v>
      </c>
      <c r="X39" s="1734" t="s">
        <v>609</v>
      </c>
      <c r="Y39" s="1967" t="s">
        <v>562</v>
      </c>
      <c r="Z39" s="2782" t="s">
        <v>563</v>
      </c>
      <c r="AA39" s="2783"/>
      <c r="AB39" s="2791"/>
      <c r="AC39" s="1964" t="s">
        <v>607</v>
      </c>
      <c r="AD39" s="1734" t="s">
        <v>608</v>
      </c>
      <c r="AE39" s="1734" t="s">
        <v>609</v>
      </c>
      <c r="AF39" s="1967" t="s">
        <v>562</v>
      </c>
      <c r="AG39" s="2782" t="s">
        <v>563</v>
      </c>
      <c r="AH39" s="2783"/>
      <c r="AI39" s="2791"/>
      <c r="AJ39" s="2794"/>
      <c r="AK39" s="2639"/>
      <c r="AQ39" s="1667">
        <v>34</v>
      </c>
    </row>
    <row s="47496" customFormat="1" customHeight="1" ht="0">
      <c r="A40" s="1882"/>
      <c r="B40" s="1882"/>
      <c r="C40" s="1882"/>
      <c r="D40" s="1882"/>
      <c r="E40" s="1882"/>
      <c r="F40" s="1882"/>
      <c r="G40" s="1882"/>
      <c r="H40" s="1882"/>
      <c r="I40" s="1882"/>
      <c r="J40" s="1882"/>
      <c r="K40" s="1882"/>
      <c r="L40" s="1876"/>
      <c r="M40" s="1874"/>
      <c r="N40" s="1874"/>
      <c r="O40" s="1874"/>
      <c r="P40" s="1758"/>
      <c r="Q40" s="1759"/>
      <c r="R40" s="1766">
        <v>1</v>
      </c>
      <c r="S40" s="1789" t="s">
        <v>101</v>
      </c>
      <c r="T40" s="1767" t="s">
        <v>105</v>
      </c>
      <c r="U40" s="1757" t="str">
        <f>OFFSET(U40,0,-1)</f>
        <v>2</v>
      </c>
      <c r="V40" s="1963">
        <f>OFFSET(V40,0,-1)+1</f>
        <v>3</v>
      </c>
      <c r="W40" s="1963">
        <f>OFFSET(W40,0,-1)+1</f>
        <v>4</v>
      </c>
      <c r="X40" s="1963">
        <f>OFFSET(X40,0,-1)+1</f>
        <v>5</v>
      </c>
      <c r="Y40" s="1963">
        <f>OFFSET(Y40,0,-1)+1</f>
        <v>6</v>
      </c>
      <c r="Z40" s="2784">
        <f>OFFSET(Z40,0,-1)+1</f>
        <v>7</v>
      </c>
      <c r="AA40" s="2784"/>
      <c r="AB40" s="1963">
        <f>OFFSET(AB40,0,-2)+1</f>
        <v>8</v>
      </c>
      <c r="AC40" s="1963">
        <f>OFFSET(AC40,0,-1)+1</f>
        <v>9</v>
      </c>
      <c r="AD40" s="1963">
        <f>OFFSET(AD40,0,-1)+1</f>
        <v>10</v>
      </c>
      <c r="AE40" s="1963">
        <f>OFFSET(AE40,0,-1)+1</f>
        <v>11</v>
      </c>
      <c r="AF40" s="1963">
        <f>OFFSET(AF40,0,-1)+1</f>
        <v>12</v>
      </c>
      <c r="AG40" s="2784">
        <f>OFFSET(AG40,0,-1)+1</f>
        <v>13</v>
      </c>
      <c r="AH40" s="2784"/>
      <c r="AI40" s="1963">
        <f>OFFSET(AI40,0,-2)+1</f>
        <v>14</v>
      </c>
      <c r="AJ40" s="1757">
        <f>OFFSET(AJ40,0,-1)</f>
        <v>14</v>
      </c>
      <c r="AK40" s="1963">
        <f>OFFSET(AK40,0,-1)+1</f>
        <v>15</v>
      </c>
      <c r="AL40" s="1023"/>
      <c r="AM40" s="1023"/>
      <c r="AN40" s="1023"/>
      <c r="AO40" s="1023"/>
      <c r="AP40" s="1023"/>
      <c r="AQ40" s="1008">
        <v>0</v>
      </c>
    </row>
    <row customHeight="1" ht="24">
      <c r="A41" s="1875" t="s">
        <v>290</v>
      </c>
      <c r="B41" s="1875"/>
      <c r="C41" s="1875"/>
      <c r="D41" s="1875"/>
      <c r="E41" s="2770">
        <v>1</v>
      </c>
      <c r="F41" s="1875"/>
      <c r="G41" s="1875"/>
      <c r="H41" s="1875"/>
      <c r="I41" s="1875"/>
      <c r="J41" s="1875"/>
      <c r="K41" s="1875"/>
      <c r="L41" s="1876"/>
      <c r="M41" s="1877"/>
      <c r="N41" s="1877"/>
      <c r="O41" s="1877"/>
      <c r="P41" s="873"/>
      <c r="Q41" s="872"/>
      <c r="R41" s="867"/>
      <c r="S41" s="1969">
        <f>INDEX(PT_DIFFERENTIATION_NUM_NTAR,MATCH(A41,PT_DIFFERENTIATION_NTAR_ID,0))</f>
        <v>0</v>
      </c>
      <c r="T41" s="810" t="s">
        <v>179</v>
      </c>
      <c r="U41" s="812"/>
      <c r="V41" s="2754"/>
      <c r="W41" s="2755"/>
      <c r="X41" s="2755"/>
      <c r="Y41" s="2755"/>
      <c r="Z41" s="2755"/>
      <c r="AA41" s="2755"/>
      <c r="AB41" s="2756"/>
      <c r="AC41" s="2754" t="str">
        <f>INDEX(PT_DIFFERENTIATION_NTAR,MATCH(A41,PT_DIFFERENTIATION_NTAR_ID,0))</f>
        <v/>
      </c>
      <c r="AD41" s="2755"/>
      <c r="AE41" s="2755"/>
      <c r="AF41" s="2755"/>
      <c r="AG41" s="2755"/>
      <c r="AH41" s="2755"/>
      <c r="AI41" s="2755"/>
      <c r="AJ41" s="2756"/>
      <c r="AK41"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1012"/>
      <c r="AN41" s="1012" t="str">
        <f>IF(T41="","",T41)</f>
        <v>Наименование тарифа</v>
      </c>
      <c r="AO41" s="1012"/>
      <c r="AP41" s="1012"/>
      <c r="AQ41" s="1667">
        <v>23</v>
      </c>
    </row>
    <row customHeight="1" ht="24">
      <c r="A42" s="1875" t="s">
        <v>290</v>
      </c>
      <c r="B42" s="1875" t="s">
        <v>291</v>
      </c>
      <c r="C42" s="1875"/>
      <c r="D42" s="1875"/>
      <c r="E42" s="2771"/>
      <c r="F42" s="2770">
        <v>1</v>
      </c>
      <c r="G42" s="1875"/>
      <c r="H42" s="1875"/>
      <c r="I42" s="1875"/>
      <c r="J42" s="1875"/>
      <c r="K42" s="1875"/>
      <c r="L42" s="1876"/>
      <c r="M42" s="1877"/>
      <c r="N42" s="1877"/>
      <c r="O42" s="1877"/>
      <c r="P42" s="1965"/>
      <c r="Q42" s="864"/>
      <c r="R42" s="865"/>
      <c r="S42" s="1969" t="str">
        <f>INDEX(PT_DIFFERENTIATION_NUM_TER,MATCH(B42,PT_DIFFERENTIATION_TER_ID,0))</f>
        <v>.</v>
      </c>
      <c r="T42" s="820" t="s">
        <v>515</v>
      </c>
      <c r="U42" s="812"/>
      <c r="V42" s="2754"/>
      <c r="W42" s="2755"/>
      <c r="X42" s="2755"/>
      <c r="Y42" s="2755"/>
      <c r="Z42" s="2755"/>
      <c r="AA42" s="2755"/>
      <c r="AB42" s="2756"/>
      <c r="AC42" s="2754" t="str">
        <f>INDEX(PT_DIFFERENTIATION_TER,MATCH(B42,PT_DIFFERENTIATION_TER_ID,0))</f>
        <v/>
      </c>
      <c r="AD42" s="2755"/>
      <c r="AE42" s="2755"/>
      <c r="AF42" s="2755"/>
      <c r="AG42" s="2755"/>
      <c r="AH42" s="2755"/>
      <c r="AI42" s="2755"/>
      <c r="AJ42" s="2756"/>
      <c r="AK42" s="1770" t="s">
        <v>516</v>
      </c>
      <c r="AM42" s="1012"/>
      <c r="AN42" s="1012" t="str">
        <f>IF(T42="","",T42)</f>
        <v>Территория действия тарифа</v>
      </c>
      <c r="AO42" s="1012"/>
      <c r="AP42" s="1012"/>
      <c r="AQ42" s="1667">
        <v>23</v>
      </c>
    </row>
    <row customHeight="1" ht="24">
      <c r="A43" s="1875" t="s">
        <v>290</v>
      </c>
      <c r="B43" s="1875" t="s">
        <v>291</v>
      </c>
      <c r="C43" s="1875" t="s">
        <v>292</v>
      </c>
      <c r="D43" s="1875"/>
      <c r="E43" s="2771"/>
      <c r="F43" s="2771"/>
      <c r="G43" s="2770">
        <v>1</v>
      </c>
      <c r="H43" s="1875"/>
      <c r="I43" s="1875"/>
      <c r="J43" s="1875"/>
      <c r="K43" s="1875"/>
      <c r="L43" s="1876"/>
      <c r="M43" s="1877"/>
      <c r="N43" s="1877"/>
      <c r="O43" s="1877"/>
      <c r="P43" s="866"/>
      <c r="Q43" s="864"/>
      <c r="R43" s="865"/>
      <c r="S43" s="1969" t="str">
        <f>INDEX(PT_DIFFERENTIATION_NUM_CS,MATCH(C43,PT_DIFFERENTIATION_CS_ID,0))</f>
        <v>..</v>
      </c>
      <c r="T43" s="821" t="s">
        <v>596</v>
      </c>
      <c r="U43" s="812"/>
      <c r="V43" s="2754"/>
      <c r="W43" s="2755"/>
      <c r="X43" s="2755"/>
      <c r="Y43" s="2755"/>
      <c r="Z43" s="2755"/>
      <c r="AA43" s="2755"/>
      <c r="AB43" s="2756"/>
      <c r="AC43" s="2754" t="str">
        <f>INDEX(PT_DIFFERENTIATION_CS,MATCH(C43,PT_DIFFERENTIATION_CS_ID,0))</f>
        <v/>
      </c>
      <c r="AD43" s="2755"/>
      <c r="AE43" s="2755"/>
      <c r="AF43" s="2755"/>
      <c r="AG43" s="2755"/>
      <c r="AH43" s="2755"/>
      <c r="AI43" s="2755"/>
      <c r="AJ43" s="2756"/>
      <c r="AK43" s="1770" t="s">
        <v>597</v>
      </c>
      <c r="AM43" s="1012"/>
      <c r="AN43" s="1012" t="str">
        <f>IF(T43="","",T43)</f>
        <v>Наименование централизованной системы холодного водоснабжения</v>
      </c>
      <c r="AO43" s="1012"/>
      <c r="AP43" s="1012"/>
      <c r="AQ43" s="1667">
        <v>23</v>
      </c>
    </row>
    <row customHeight="1" ht="24">
      <c r="A44" s="1875" t="s">
        <v>290</v>
      </c>
      <c r="B44" s="1875" t="s">
        <v>291</v>
      </c>
      <c r="C44" s="1875" t="s">
        <v>292</v>
      </c>
      <c r="D44" s="1875" t="s">
        <v>613</v>
      </c>
      <c r="E44" s="2771"/>
      <c r="F44" s="2771"/>
      <c r="G44" s="2771"/>
      <c r="H44" s="2771"/>
      <c r="I44" s="2768" t="str">
        <f>S43&amp;".1"</f>
        <v>...1</v>
      </c>
      <c r="J44" s="1875"/>
      <c r="K44" s="1875"/>
      <c r="L44" s="1876"/>
      <c r="P44" s="2769">
        <v>1</v>
      </c>
      <c r="Q44" s="1962"/>
      <c r="R44" s="868"/>
      <c r="S44" s="1969" t="str">
        <f>$I44</f>
        <v>...1</v>
      </c>
      <c r="T44" s="797" t="s">
        <v>598</v>
      </c>
      <c r="U44" s="812"/>
      <c r="V44" s="2862"/>
      <c r="W44" s="2863"/>
      <c r="X44" s="2863"/>
      <c r="Y44" s="2863"/>
      <c r="Z44" s="2863"/>
      <c r="AA44" s="2863"/>
      <c r="AB44" s="2864"/>
      <c r="AC44" s="2865"/>
      <c r="AD44" s="2866"/>
      <c r="AE44" s="2866"/>
      <c r="AF44" s="2866"/>
      <c r="AG44" s="2866"/>
      <c r="AH44" s="2866"/>
      <c r="AI44" s="2866"/>
      <c r="AJ44" s="2867"/>
      <c r="AK44" s="1770" t="s">
        <v>599</v>
      </c>
      <c r="AM44" s="1012"/>
      <c r="AN44" s="1012" t="str">
        <f>IF(T44="","",T44)</f>
        <v>Наименование признака дифференциации</v>
      </c>
      <c r="AO44" s="1012"/>
      <c r="AP44" s="1012"/>
      <c r="AQ44" s="1667">
        <v>23</v>
      </c>
    </row>
    <row customHeight="1" ht="24">
      <c r="A45" s="1875" t="s">
        <v>290</v>
      </c>
      <c r="B45" s="1875" t="s">
        <v>291</v>
      </c>
      <c r="C45" s="1875" t="s">
        <v>292</v>
      </c>
      <c r="D45" s="1875" t="s">
        <v>613</v>
      </c>
      <c r="E45" s="2771"/>
      <c r="F45" s="2771"/>
      <c r="G45" s="2771"/>
      <c r="H45" s="2771"/>
      <c r="I45" s="2798"/>
      <c r="J45" s="2768" t="str">
        <f>I44&amp;".1"</f>
        <v>...1.1</v>
      </c>
      <c r="K45" s="1875"/>
      <c r="L45" s="1876" t="s">
        <v>524</v>
      </c>
      <c r="P45" s="2769"/>
      <c r="Q45" s="2769">
        <v>1</v>
      </c>
      <c r="R45" s="869"/>
      <c r="S45" s="1969" t="str">
        <f>$J45</f>
        <v>...1.1</v>
      </c>
      <c r="T45" s="798" t="s">
        <v>525</v>
      </c>
      <c r="U45" s="812"/>
      <c r="V45" s="2757"/>
      <c r="W45" s="2758"/>
      <c r="X45" s="2758"/>
      <c r="Y45" s="2758"/>
      <c r="Z45" s="2758"/>
      <c r="AA45" s="2758"/>
      <c r="AB45" s="2759"/>
      <c r="AC45" s="2757"/>
      <c r="AD45" s="2758"/>
      <c r="AE45" s="2758"/>
      <c r="AF45" s="2758"/>
      <c r="AG45" s="2758"/>
      <c r="AH45" s="2758"/>
      <c r="AI45" s="2758"/>
      <c r="AJ45" s="2759"/>
      <c r="AK45" s="1819" t="s">
        <v>600</v>
      </c>
      <c r="AM45" s="1012"/>
      <c r="AN45" s="1012" t="str">
        <f>IF(T45="","",T45)</f>
        <v>Группа потребителей</v>
      </c>
      <c r="AO45" s="1012"/>
      <c r="AP45" s="1012"/>
      <c r="AQ45" s="1667">
        <v>23</v>
      </c>
    </row>
    <row customHeight="1" ht="24">
      <c r="A46" s="1875" t="s">
        <v>290</v>
      </c>
      <c r="B46" s="1875" t="s">
        <v>291</v>
      </c>
      <c r="C46" s="1875" t="s">
        <v>292</v>
      </c>
      <c r="D46" s="1875" t="s">
        <v>613</v>
      </c>
      <c r="E46" s="2771"/>
      <c r="F46" s="2771"/>
      <c r="G46" s="2771"/>
      <c r="H46" s="2771"/>
      <c r="I46" s="2798"/>
      <c r="J46" s="2798"/>
      <c r="K46" s="2768" t="str">
        <f>J45&amp;".1"</f>
        <v>...1.1.1</v>
      </c>
      <c r="L46" s="1876"/>
      <c r="P46" s="2769"/>
      <c r="Q46" s="2769"/>
      <c r="R46" s="869">
        <v>1</v>
      </c>
      <c r="S46" s="1969" t="str">
        <f>$K46</f>
        <v>...1.1.1</v>
      </c>
      <c r="T46" s="1949"/>
      <c r="U46" s="812"/>
      <c r="V46" s="1263"/>
      <c r="W46" s="1263"/>
      <c r="X46" s="1769"/>
      <c r="Y46" s="2777"/>
      <c r="Z46" s="2619" t="s">
        <v>63</v>
      </c>
      <c r="AA46" s="2777"/>
      <c r="AB46" s="2619" t="s">
        <v>63</v>
      </c>
      <c r="AC46" s="1263"/>
      <c r="AD46" s="1263"/>
      <c r="AE46" s="1769"/>
      <c r="AF46" s="2777"/>
      <c r="AG46" s="2619" t="s">
        <v>63</v>
      </c>
      <c r="AH46" s="2799"/>
      <c r="AI46" s="2619" t="s">
        <v>63</v>
      </c>
      <c r="AJ46" s="1950"/>
      <c r="AK46" s="28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023">
        <f>STRCHECKDATE(V47:AJ47)</f>
      </c>
      <c r="AM46" s="1012"/>
      <c r="AN46" s="1012" t="str">
        <f>IF(T46="","",T46)</f>
        <v/>
      </c>
      <c r="AO46" s="1012"/>
      <c r="AP46" s="1012"/>
      <c r="AQ46" s="1667">
        <v>23</v>
      </c>
    </row>
    <row customHeight="1" ht="0">
      <c r="A47" s="1875" t="s">
        <v>290</v>
      </c>
      <c r="B47" s="1875" t="s">
        <v>291</v>
      </c>
      <c r="C47" s="1875" t="s">
        <v>292</v>
      </c>
      <c r="D47" s="1875" t="s">
        <v>613</v>
      </c>
      <c r="E47" s="2771"/>
      <c r="F47" s="2771"/>
      <c r="G47" s="2771"/>
      <c r="H47" s="2771"/>
      <c r="I47" s="2798"/>
      <c r="J47" s="2798"/>
      <c r="K47" s="2768"/>
      <c r="L47" s="1876"/>
      <c r="P47" s="2769"/>
      <c r="Q47" s="2769"/>
      <c r="R47" s="869"/>
      <c r="S47" s="1968"/>
      <c r="T47" s="812"/>
      <c r="U47" s="812"/>
      <c r="V47" s="837"/>
      <c r="W47" s="837"/>
      <c r="X47" s="840" t="str">
        <f>Y46&amp;"-"&amp;AA46</f>
        <v>-</v>
      </c>
      <c r="Y47" s="2778"/>
      <c r="Z47" s="2619"/>
      <c r="AA47" s="2778"/>
      <c r="AB47" s="2619"/>
      <c r="AC47" s="837"/>
      <c r="AD47" s="837"/>
      <c r="AE47" s="840" t="str">
        <f>AF46&amp;"-"&amp;AH46</f>
        <v>-</v>
      </c>
      <c r="AF47" s="2778"/>
      <c r="AG47" s="2619"/>
      <c r="AH47" s="2800"/>
      <c r="AI47" s="2619"/>
      <c r="AJ47" s="1951"/>
      <c r="AK47" s="2861"/>
      <c r="AM47" s="1012"/>
      <c r="AN47" s="1012" t="str">
        <f>IF(T47="","",T47)</f>
        <v/>
      </c>
      <c r="AO47" s="1012"/>
      <c r="AP47" s="1012"/>
      <c r="AQ47" s="1667">
        <v>0</v>
      </c>
    </row>
    <row customHeight="1" ht="21">
      <c r="A48" s="1875" t="s">
        <v>290</v>
      </c>
      <c r="B48" s="1875" t="s">
        <v>291</v>
      </c>
      <c r="C48" s="1875" t="s">
        <v>292</v>
      </c>
      <c r="D48" s="1875" t="s">
        <v>613</v>
      </c>
      <c r="E48" s="2771"/>
      <c r="F48" s="2771"/>
      <c r="G48" s="2771"/>
      <c r="H48" s="2771"/>
      <c r="I48" s="2798"/>
      <c r="J48" s="2768"/>
      <c r="K48" s="1875"/>
      <c r="L48" s="1876"/>
      <c r="P48" s="2769"/>
      <c r="Q48" s="2769"/>
      <c r="R48" s="868"/>
      <c r="S48" s="1790"/>
      <c r="T48" s="799" t="s">
        <v>601</v>
      </c>
      <c r="U48" s="879"/>
      <c r="V48" s="879"/>
      <c r="W48" s="879"/>
      <c r="X48" s="879"/>
      <c r="Y48" s="879"/>
      <c r="Z48" s="879"/>
      <c r="AA48" s="879"/>
      <c r="AB48" s="879"/>
      <c r="AC48" s="879"/>
      <c r="AD48" s="879"/>
      <c r="AE48" s="879"/>
      <c r="AF48" s="879"/>
      <c r="AG48" s="879"/>
      <c r="AH48" s="879"/>
      <c r="AI48" s="879"/>
      <c r="AJ48" s="879"/>
      <c r="AK48" s="1770" t="s">
        <v>602</v>
      </c>
      <c r="AM48" s="1012"/>
      <c r="AN48" s="1012" t="str">
        <f>IF(T48="","",T48)</f>
        <v>Добавить значение признака дифференциации</v>
      </c>
      <c r="AO48" s="1012"/>
      <c r="AP48" s="1012"/>
      <c r="AQ48" s="1667">
        <v>20</v>
      </c>
    </row>
    <row customHeight="1" ht="22.049999999999997">
      <c r="A49" s="1875" t="s">
        <v>290</v>
      </c>
      <c r="B49" s="1875" t="s">
        <v>291</v>
      </c>
      <c r="C49" s="1875" t="s">
        <v>292</v>
      </c>
      <c r="D49" s="1875" t="s">
        <v>613</v>
      </c>
      <c r="E49" s="2771"/>
      <c r="F49" s="2771"/>
      <c r="G49" s="2771"/>
      <c r="H49" s="2771"/>
      <c r="I49" s="2768"/>
      <c r="J49" s="1875"/>
      <c r="K49" s="1875"/>
      <c r="L49" s="1876"/>
      <c r="P49" s="2769"/>
      <c r="Q49" s="1962"/>
      <c r="R49" s="868"/>
      <c r="S49" s="1790"/>
      <c r="T49" s="877" t="s">
        <v>530</v>
      </c>
      <c r="U49" s="879"/>
      <c r="V49" s="879"/>
      <c r="W49" s="879"/>
      <c r="X49" s="879"/>
      <c r="Y49" s="879"/>
      <c r="Z49" s="879"/>
      <c r="AA49" s="879"/>
      <c r="AB49" s="878"/>
      <c r="AC49" s="879"/>
      <c r="AD49" s="879"/>
      <c r="AE49" s="879"/>
      <c r="AF49" s="879"/>
      <c r="AG49" s="879"/>
      <c r="AH49" s="879"/>
      <c r="AI49" s="878"/>
      <c r="AJ49" s="879"/>
      <c r="AK49" s="1952"/>
      <c r="AM49" s="1012"/>
      <c r="AN49" s="1012" t="str">
        <f>IF(T49="","",T49)</f>
        <v>Добавить группу потребителей</v>
      </c>
      <c r="AO49" s="1012"/>
      <c r="AP49" s="1012"/>
      <c r="AQ49" s="1667">
        <v>21</v>
      </c>
    </row>
    <row customHeight="1" ht="22.049999999999997">
      <c r="A50" s="1875" t="s">
        <v>290</v>
      </c>
      <c r="B50" s="1875" t="s">
        <v>291</v>
      </c>
      <c r="C50" s="1875" t="s">
        <v>292</v>
      </c>
      <c r="D50" s="1875" t="s">
        <v>613</v>
      </c>
      <c r="E50" s="2771"/>
      <c r="F50" s="2771"/>
      <c r="G50" s="2771"/>
      <c r="H50" s="2770"/>
      <c r="I50" s="1875"/>
      <c r="J50" s="1875"/>
      <c r="K50" s="1875"/>
      <c r="L50" s="1876"/>
      <c r="M50" s="1877"/>
      <c r="N50" s="1877"/>
      <c r="O50" s="1049"/>
      <c r="P50" s="872"/>
      <c r="Q50" s="887"/>
      <c r="R50" s="867"/>
      <c r="S50" s="1790"/>
      <c r="T50" s="884" t="s">
        <v>603</v>
      </c>
      <c r="U50" s="879"/>
      <c r="V50" s="879"/>
      <c r="W50" s="879"/>
      <c r="X50" s="879"/>
      <c r="Y50" s="879"/>
      <c r="Z50" s="879"/>
      <c r="AA50" s="879"/>
      <c r="AB50" s="878"/>
      <c r="AC50" s="879"/>
      <c r="AD50" s="879"/>
      <c r="AE50" s="879"/>
      <c r="AF50" s="879"/>
      <c r="AG50" s="879"/>
      <c r="AH50" s="879"/>
      <c r="AI50" s="878"/>
      <c r="AJ50" s="879"/>
      <c r="AK50" s="815"/>
      <c r="AM50" s="1012"/>
      <c r="AN50" s="1012" t="str">
        <f>IF(T50="","",T50)</f>
        <v>Добавить наименование признака дифференциации</v>
      </c>
      <c r="AO50" s="1012"/>
      <c r="AP50" s="1012"/>
      <c r="AQ50" s="1667">
        <v>21</v>
      </c>
    </row>
    <row s="46890" customFormat="1" customHeight="1" ht="0">
      <c r="A51" s="1855" t="s">
        <v>290</v>
      </c>
      <c r="B51" s="1855" t="s">
        <v>291</v>
      </c>
      <c r="C51" s="1826"/>
      <c r="D51" s="1826"/>
      <c r="E51" s="2771"/>
      <c r="F51" s="2770"/>
      <c r="G51" s="1826"/>
      <c r="H51" s="1826"/>
      <c r="I51" s="1826"/>
      <c r="J51" s="1826"/>
      <c r="K51" s="1826"/>
      <c r="L51" s="1970"/>
      <c r="M51" s="1833"/>
      <c r="N51" s="1833"/>
      <c r="P51" s="1828"/>
      <c r="Q51" s="1829"/>
      <c r="R51" s="1828"/>
      <c r="S51" s="1834"/>
      <c r="T51" s="1837" t="s">
        <v>321</v>
      </c>
      <c r="U51" s="1836"/>
      <c r="V51" s="1836"/>
      <c r="W51" s="1836"/>
      <c r="X51" s="1836"/>
      <c r="Y51" s="1836"/>
      <c r="Z51" s="1836"/>
      <c r="AA51" s="1836"/>
      <c r="AB51" s="1836"/>
      <c r="AC51" s="1836"/>
      <c r="AD51" s="1836"/>
      <c r="AE51" s="1836"/>
      <c r="AF51" s="1836"/>
      <c r="AG51" s="1836"/>
      <c r="AH51" s="1836"/>
      <c r="AI51" s="1836"/>
      <c r="AJ51" s="1836"/>
      <c r="AK51" s="1836"/>
      <c r="AM51" s="1301"/>
      <c r="AN51" s="1301" t="str">
        <f>IF(T51="","",T51)</f>
        <v>Добавить централизованную систему для дифференциации</v>
      </c>
      <c r="AO51" s="1301"/>
      <c r="AP51" s="1301"/>
      <c r="AQ51" s="1030">
        <v>0</v>
      </c>
    </row>
    <row s="46890" customFormat="1" customHeight="1" ht="0">
      <c r="A52" s="1855" t="s">
        <v>290</v>
      </c>
      <c r="B52" s="1855"/>
      <c r="C52" s="1855"/>
      <c r="D52" s="1855"/>
      <c r="E52" s="2770"/>
      <c r="F52" s="1855"/>
      <c r="G52" s="1855"/>
      <c r="H52" s="1855"/>
      <c r="I52" s="1855"/>
      <c r="J52" s="1855"/>
      <c r="K52" s="1855"/>
      <c r="L52" s="1858"/>
      <c r="M52" s="1833"/>
      <c r="N52" s="1833"/>
      <c r="O52" s="1030"/>
      <c r="P52" s="892"/>
      <c r="Q52" s="1856"/>
      <c r="R52" s="892"/>
      <c r="S52" s="1834"/>
      <c r="T52" s="1837" t="s">
        <v>385</v>
      </c>
      <c r="U52" s="1836"/>
      <c r="V52" s="1836"/>
      <c r="W52" s="1836"/>
      <c r="X52" s="1836"/>
      <c r="Y52" s="1836"/>
      <c r="Z52" s="1836"/>
      <c r="AA52" s="1836"/>
      <c r="AB52" s="1836"/>
      <c r="AC52" s="1836"/>
      <c r="AD52" s="1836"/>
      <c r="AE52" s="1836"/>
      <c r="AF52" s="1836"/>
      <c r="AG52" s="1836"/>
      <c r="AH52" s="1836"/>
      <c r="AI52" s="1836"/>
      <c r="AJ52" s="1836"/>
      <c r="AK52" s="1836"/>
      <c r="AM52" s="1012"/>
      <c r="AN52" s="1012" t="str">
        <f>IF(T52="","",T52)</f>
        <v>Добавить территорию для дифференциации</v>
      </c>
      <c r="AO52" s="1012"/>
      <c r="AP52" s="1012"/>
      <c r="AQ52" s="1023">
        <v>0</v>
      </c>
    </row>
    <row s="46890" customFormat="1" customHeight="1" ht="0">
      <c r="A53" s="1826"/>
      <c r="B53" s="1826"/>
      <c r="C53" s="1826"/>
      <c r="D53" s="1826"/>
      <c r="E53" s="1855"/>
      <c r="F53" s="1826"/>
      <c r="G53" s="1826"/>
      <c r="H53" s="1826"/>
      <c r="I53" s="1826"/>
      <c r="J53" s="1826"/>
      <c r="K53" s="1826"/>
      <c r="L53" s="1970"/>
      <c r="M53" s="1833"/>
      <c r="N53" s="1833"/>
      <c r="P53" s="1828"/>
      <c r="Q53" s="1829"/>
      <c r="R53" s="1828"/>
      <c r="S53" s="1834"/>
      <c r="T53" s="1837" t="s">
        <v>386</v>
      </c>
      <c r="U53" s="1836"/>
      <c r="V53" s="1836"/>
      <c r="W53" s="1836"/>
      <c r="X53" s="1836"/>
      <c r="Y53" s="1836"/>
      <c r="Z53" s="1836"/>
      <c r="AA53" s="1836"/>
      <c r="AB53" s="1836"/>
      <c r="AC53" s="1836"/>
      <c r="AD53" s="1836"/>
      <c r="AE53" s="1836"/>
      <c r="AF53" s="1836"/>
      <c r="AG53" s="1836"/>
      <c r="AH53" s="1836"/>
      <c r="AI53" s="1836"/>
      <c r="AJ53" s="1836"/>
      <c r="AK53" s="1836"/>
      <c r="AM53" s="1301"/>
      <c r="AN53" s="1301" t="str">
        <f>IF(T53="","",T53)</f>
        <v>Добавить наименование тарифа</v>
      </c>
      <c r="AO53" s="1301"/>
      <c r="AP53" s="1301"/>
      <c r="AQ53" s="1030">
        <v>0</v>
      </c>
    </row>
    <row customHeight="1" ht="11.549999999999999">
      <c r="M54" s="1672"/>
      <c r="N54" s="1672"/>
      <c r="O54" s="1049"/>
      <c r="P54" s="1667"/>
      <c r="Q54" s="1667"/>
      <c r="R54" s="1667"/>
      <c r="S54" s="1667"/>
      <c r="AL54" s="1667"/>
      <c r="AM54" s="1667"/>
      <c r="AN54" s="1667"/>
      <c r="AO54" s="1667"/>
      <c r="AP54" s="1667"/>
      <c r="AQ54" s="1667">
        <v>11</v>
      </c>
    </row>
    <row customHeight="1" ht="14.699999999999998">
      <c r="O55" s="1049"/>
      <c r="S55" s="1765"/>
      <c r="T55" s="2797"/>
      <c r="U55" s="2797"/>
      <c r="V55" s="2797"/>
      <c r="W55" s="2797"/>
      <c r="X55" s="2797"/>
      <c r="Y55" s="2797"/>
      <c r="Z55" s="2797"/>
      <c r="AA55" s="2797"/>
      <c r="AB55" s="2797"/>
      <c r="AC55" s="2797"/>
      <c r="AD55" s="2797"/>
      <c r="AE55" s="2797"/>
      <c r="AF55" s="2797"/>
      <c r="AG55" s="2797"/>
      <c r="AH55" s="2797"/>
      <c r="AI55" s="2797"/>
      <c r="AJ55" s="2797"/>
      <c r="AK55" s="2797"/>
      <c r="AQ55" s="1667">
        <v>14</v>
      </c>
    </row>
    <row customHeight="1" ht="14.699999999999998">
      <c r="O56" s="1049"/>
      <c r="AQ56" s="1667">
        <v>14</v>
      </c>
    </row>
    <row customHeight="1" ht="14.699999999999998">
      <c r="O57" s="1049"/>
      <c r="S57" s="1765"/>
      <c r="T57" s="2797"/>
      <c r="U57" s="2797"/>
      <c r="V57" s="2797"/>
      <c r="W57" s="2797"/>
      <c r="X57" s="2797"/>
      <c r="Y57" s="2797"/>
      <c r="Z57" s="2797"/>
      <c r="AA57" s="2797"/>
      <c r="AB57" s="2797"/>
      <c r="AC57" s="2797"/>
      <c r="AD57" s="2797"/>
      <c r="AE57" s="2797"/>
      <c r="AF57" s="2797"/>
      <c r="AG57" s="2797"/>
      <c r="AH57" s="2797"/>
      <c r="AI57" s="2797"/>
      <c r="AJ57" s="2797"/>
      <c r="AK57" s="2797"/>
      <c r="AQ57" s="1667">
        <v>14</v>
      </c>
    </row>
    <row customHeight="1" ht="22.5" hidden="1">
      <c r="A58" s="1672" t="s">
        <v>84</v>
      </c>
      <c r="B58" s="1672">
        <v>0</v>
      </c>
      <c r="C58" s="1672">
        <v>0</v>
      </c>
      <c r="D58" s="1672">
        <v>0</v>
      </c>
      <c r="E58" s="1672">
        <v>0</v>
      </c>
      <c r="F58" s="1672">
        <v>0</v>
      </c>
      <c r="G58" s="1672">
        <v>0</v>
      </c>
      <c r="H58" s="1672">
        <v>0</v>
      </c>
      <c r="I58" s="1672">
        <v>0</v>
      </c>
      <c r="J58" s="1672">
        <v>0</v>
      </c>
      <c r="K58" s="1672">
        <v>0</v>
      </c>
      <c r="L58" s="1959">
        <v>0</v>
      </c>
      <c r="M58" s="1874">
        <v>0</v>
      </c>
      <c r="N58" s="1874">
        <v>0</v>
      </c>
      <c r="O58" s="1874">
        <v>0</v>
      </c>
      <c r="P58" s="1958">
        <v>3</v>
      </c>
      <c r="Q58" s="856">
        <v>3</v>
      </c>
      <c r="R58" s="856">
        <v>3</v>
      </c>
      <c r="S58" s="1093">
        <v>12</v>
      </c>
      <c r="T58" s="1667">
        <v>35</v>
      </c>
      <c r="U58" s="1667">
        <v>0</v>
      </c>
      <c r="V58" s="1667">
        <v>0</v>
      </c>
      <c r="W58" s="1667">
        <v>0</v>
      </c>
      <c r="X58" s="1667">
        <v>0</v>
      </c>
      <c r="Y58" s="1667">
        <v>0</v>
      </c>
      <c r="Z58" s="1667">
        <v>0</v>
      </c>
      <c r="AA58" s="1667">
        <v>0</v>
      </c>
      <c r="AB58" s="1667">
        <v>0</v>
      </c>
      <c r="AC58" s="1667">
        <v>24</v>
      </c>
      <c r="AD58" s="1667">
        <v>24</v>
      </c>
      <c r="AE58" s="1667">
        <v>24</v>
      </c>
      <c r="AF58" s="1667">
        <v>11</v>
      </c>
      <c r="AG58" s="1667">
        <v>3</v>
      </c>
      <c r="AH58" s="1667">
        <v>11</v>
      </c>
      <c r="AI58" s="1667">
        <v>0</v>
      </c>
      <c r="AJ58" s="1667">
        <v>4</v>
      </c>
      <c r="AK58" s="1667">
        <v>115</v>
      </c>
      <c r="AL58" s="1023">
        <v>10</v>
      </c>
      <c r="AM58" s="1023">
        <v>10</v>
      </c>
      <c r="AN58" s="1023">
        <v>10</v>
      </c>
      <c r="AO58" s="1023">
        <v>10</v>
      </c>
      <c r="AP58" s="1023">
        <v>10</v>
      </c>
      <c r="AQ58" s="1667">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7B5C823-8B95-644E-BD5B-2DB2925FC7AB}" mc:Ignorable="x14ac xr xr2 xr3">
  <sheetPr>
    <tabColor theme="6" tint="0.4"/>
  </sheetPr>
  <dimension ref="A1:AQ64"/>
  <sheetViews>
    <sheetView topLeftCell="A1" showGridLines="0" zoomScale="90" workbookViewId="0">
      <selection activeCell="A1" sqref="A1"/>
    </sheetView>
  </sheetViews>
  <sheetFormatPr defaultColWidth="10.57421875" customHeight="1" defaultRowHeight="14.25"/>
  <cols>
    <col min="1" max="3" style="46808" width="10.140625" hidden="1" customWidth="1"/>
    <col min="4" max="4" style="46808" width="11.8515625" hidden="1" customWidth="1"/>
    <col min="5" max="11" style="46808" width="10.140625" hidden="1" customWidth="1"/>
    <col min="12" max="12" style="46887" width="10.140625" hidden="1" customWidth="1"/>
    <col min="13" max="15" style="47740" width="10.140625" hidden="1" customWidth="1"/>
    <col min="16" max="16" style="47739" width="3.00390625" customWidth="1"/>
    <col min="17" max="17" style="47924" width="3.00390625" customWidth="1"/>
    <col min="18" max="18" style="47741" width="3.00390625" customWidth="1"/>
    <col min="19" max="19" style="47742" width="12.00390625" customWidth="1"/>
    <col min="20" max="20" style="46808" width="31.00390625" customWidth="1"/>
    <col min="21" max="21" style="46808" width="0.140625" customWidth="1"/>
    <col min="22" max="23" style="46808" width="21.7109375" hidden="1" customWidth="1"/>
    <col min="24" max="24" style="46808" width="11.7109375" hidden="1" customWidth="1"/>
    <col min="25" max="25" style="46808" width="3.7109375" hidden="1" customWidth="1"/>
    <col min="26" max="26" style="46808" width="11.7109375" hidden="1" customWidth="1"/>
    <col min="27" max="27" style="46808" width="8.57421875" hidden="1" customWidth="1"/>
    <col min="28" max="28" style="46808" width="27.00390625" customWidth="1"/>
    <col min="29" max="29" style="46808" width="24.57421875" customWidth="1"/>
    <col min="30" max="31" style="46808" width="21.00390625" customWidth="1"/>
    <col min="32" max="32" style="46808" width="11.00390625" customWidth="1"/>
    <col min="33" max="33" style="46808" width="3.7109375" customWidth="1"/>
    <col min="34" max="34" style="46808" width="11.00390625" customWidth="1"/>
    <col min="35" max="35" style="46808" width="8.57421875" hidden="1" customWidth="1"/>
    <col min="36" max="36" style="46808" width="4.00390625" customWidth="1"/>
    <col min="37" max="37" style="46808" width="115.00390625" customWidth="1"/>
    <col min="38" max="42" style="46890" width="10.00390625" customWidth="1"/>
    <col min="43" max="43" style="46808" width="10.57421875" hidden="1"/>
  </cols>
  <sheetData>
    <row customHeight="1" ht="0.75" hidden="1">
      <c r="AQ1" s="2143" t="s">
        <v>14</v>
      </c>
    </row>
    <row customHeight="1" ht="21" hidden="1">
      <c r="A2" s="1779"/>
      <c r="B2" s="1779"/>
      <c r="C2" s="1779"/>
      <c r="D2" s="1779"/>
      <c r="E2" s="2801">
        <v>1</v>
      </c>
      <c r="F2" s="1779"/>
      <c r="G2" s="1779"/>
      <c r="H2" s="1779"/>
      <c r="I2" s="1779"/>
      <c r="J2" s="1779"/>
      <c r="K2" s="1779"/>
      <c r="L2" s="1822"/>
      <c r="M2" s="2122"/>
      <c r="N2" s="2122"/>
      <c r="O2" s="2122"/>
      <c r="P2" s="1921"/>
      <c r="Q2" s="1385"/>
      <c r="R2" s="867"/>
      <c r="S2" s="2470">
        <f>INDEX(PT_DIFFERENTIATION_NUM_NTAR,MATCH(A2,PT_DIFFERENTIATION_NTAR_ID,0))</f>
      </c>
      <c r="T2" s="2037" t="s">
        <v>179</v>
      </c>
      <c r="U2" s="812"/>
      <c r="V2" s="2755"/>
      <c r="W2" s="2755"/>
      <c r="X2" s="2755"/>
      <c r="Y2" s="2755"/>
      <c r="Z2" s="2755"/>
      <c r="AA2" s="2756"/>
      <c r="AB2" s="2464"/>
      <c r="AC2" s="2755">
        <f>INDEX(PT_DIFFERENTIATION_NTAR,MATCH(A2,PT_DIFFERENTIATION_NTAR_ID,0))</f>
      </c>
      <c r="AD2" s="2755"/>
      <c r="AE2" s="2755"/>
      <c r="AF2" s="2755"/>
      <c r="AG2" s="2755"/>
      <c r="AH2" s="2755"/>
      <c r="AI2" s="2755"/>
      <c r="AJ2" s="2756"/>
      <c r="AK2" s="1770" t="s">
        <v>514</v>
      </c>
      <c r="AM2" s="2136"/>
      <c r="AN2" s="2136" t="str">
        <f>IF(T2="","",T2)</f>
        <v>Наименование тарифа</v>
      </c>
      <c r="AO2" s="2136"/>
      <c r="AP2" s="2136"/>
      <c r="AQ2" s="2143">
        <v>0</v>
      </c>
    </row>
    <row customHeight="1" ht="21" hidden="1">
      <c r="A3" s="1779"/>
      <c r="B3" s="1779"/>
      <c r="C3" s="1779"/>
      <c r="D3" s="1779"/>
      <c r="E3" s="2802"/>
      <c r="F3" s="2801">
        <v>1</v>
      </c>
      <c r="G3" s="1779"/>
      <c r="H3" s="1779"/>
      <c r="I3" s="1779"/>
      <c r="J3" s="1779"/>
      <c r="K3" s="1779"/>
      <c r="L3" s="1822"/>
      <c r="M3" s="2122"/>
      <c r="N3" s="2122"/>
      <c r="O3" s="2122"/>
      <c r="P3" s="2481"/>
      <c r="Q3" s="1923"/>
      <c r="R3" s="865"/>
      <c r="S3" s="2470">
        <f>INDEX(PT_DIFFERENTIATION_NUM_TER,MATCH(B3,PT_DIFFERENTIATION_TER_ID,0))</f>
      </c>
      <c r="T3" s="2034" t="s">
        <v>515</v>
      </c>
      <c r="U3" s="812"/>
      <c r="V3" s="2755"/>
      <c r="W3" s="2755"/>
      <c r="X3" s="2755"/>
      <c r="Y3" s="2755"/>
      <c r="Z3" s="2755"/>
      <c r="AA3" s="2756"/>
      <c r="AB3" s="2464"/>
      <c r="AC3" s="2755">
        <f>INDEX(PT_DIFFERENTIATION_TER,MATCH(B3,PT_DIFFERENTIATION_TER_ID,0))</f>
      </c>
      <c r="AD3" s="2755"/>
      <c r="AE3" s="2755"/>
      <c r="AF3" s="2755"/>
      <c r="AG3" s="2755"/>
      <c r="AH3" s="2755"/>
      <c r="AI3" s="2755"/>
      <c r="AJ3" s="2756"/>
      <c r="AK3" s="1770" t="s">
        <v>516</v>
      </c>
      <c r="AM3" s="2136"/>
      <c r="AN3" s="2136" t="str">
        <f>IF(T3="","",T3)</f>
        <v>Территория действия тарифа</v>
      </c>
      <c r="AO3" s="2136"/>
      <c r="AP3" s="2136"/>
      <c r="AQ3" s="2143">
        <v>0</v>
      </c>
    </row>
    <row customHeight="1" ht="22.5" hidden="1">
      <c r="A4" s="1779"/>
      <c r="B4" s="1779"/>
      <c r="C4" s="1779"/>
      <c r="D4" s="1779"/>
      <c r="E4" s="2802"/>
      <c r="F4" s="2802"/>
      <c r="G4" s="2801">
        <v>1</v>
      </c>
      <c r="H4" s="1779"/>
      <c r="I4" s="1779"/>
      <c r="J4" s="1779"/>
      <c r="K4" s="1779"/>
      <c r="L4" s="1822"/>
      <c r="M4" s="2122"/>
      <c r="N4" s="2122"/>
      <c r="O4" s="2122"/>
      <c r="P4" s="1924"/>
      <c r="Q4" s="1923"/>
      <c r="R4" s="865"/>
      <c r="S4" s="2470">
        <f>INDEX(PT_DIFFERENTIATION_NUM_CS,MATCH(C4,PT_DIFFERENTIATION_CS_ID,0))</f>
      </c>
      <c r="T4" s="821" t="s">
        <v>517</v>
      </c>
      <c r="U4" s="812"/>
      <c r="V4" s="2755"/>
      <c r="W4" s="2755"/>
      <c r="X4" s="2755"/>
      <c r="Y4" s="2755"/>
      <c r="Z4" s="2755"/>
      <c r="AA4" s="2756"/>
      <c r="AB4" s="2464"/>
      <c r="AC4" s="2755">
        <f>INDEX(PT_DIFFERENTIATION_CS,MATCH(C4,PT_DIFFERENTIATION_CS_ID,0))</f>
      </c>
      <c r="AD4" s="2755"/>
      <c r="AE4" s="2755"/>
      <c r="AF4" s="2755"/>
      <c r="AG4" s="2755"/>
      <c r="AH4" s="2755"/>
      <c r="AI4" s="2755"/>
      <c r="AJ4" s="2756"/>
      <c r="AK4" s="1770" t="s">
        <v>518</v>
      </c>
      <c r="AM4" s="2136"/>
      <c r="AN4" s="2136" t="str">
        <f>IF(T4="","",T4)</f>
        <v>Наименование системы теплоснабжения </v>
      </c>
      <c r="AO4" s="2136"/>
      <c r="AP4" s="2136"/>
      <c r="AQ4" s="2143">
        <v>0</v>
      </c>
    </row>
    <row customHeight="1" ht="21" hidden="1">
      <c r="A5" s="1779"/>
      <c r="B5" s="1779"/>
      <c r="C5" s="1779"/>
      <c r="D5" s="1779"/>
      <c r="E5" s="2802"/>
      <c r="F5" s="2802"/>
      <c r="G5" s="2802"/>
      <c r="H5" s="2801">
        <v>1</v>
      </c>
      <c r="I5" s="1779"/>
      <c r="J5" s="1779"/>
      <c r="K5" s="1779"/>
      <c r="L5" s="1822"/>
      <c r="M5" s="2122"/>
      <c r="N5" s="2122"/>
      <c r="O5" s="2122"/>
      <c r="P5" s="1924"/>
      <c r="Q5" s="1923"/>
      <c r="R5" s="865"/>
      <c r="S5" s="2470">
        <f>INDEX(PT_DIFFERENTIATION_NUM_IST_TE,MATCH(D5,PT_DIFFERENTIATION_IST_TE_ID,0))</f>
      </c>
      <c r="T5" s="822" t="s">
        <v>519</v>
      </c>
      <c r="U5" s="812"/>
      <c r="V5" s="2755"/>
      <c r="W5" s="2755"/>
      <c r="X5" s="2755"/>
      <c r="Y5" s="2755"/>
      <c r="Z5" s="2755"/>
      <c r="AA5" s="2756"/>
      <c r="AB5" s="2464"/>
      <c r="AC5" s="2755">
        <f>INDEX(PT_DIFFERENTIATION_IST_TE,MATCH(D5,PT_DIFFERENTIATION_IST_TE_ID,0))</f>
      </c>
      <c r="AD5" s="2755"/>
      <c r="AE5" s="2755"/>
      <c r="AF5" s="2755"/>
      <c r="AG5" s="2755"/>
      <c r="AH5" s="2755"/>
      <c r="AI5" s="2755"/>
      <c r="AJ5" s="2756"/>
      <c r="AK5" s="1770" t="s">
        <v>520</v>
      </c>
      <c r="AM5" s="2136"/>
      <c r="AN5" s="2136" t="str">
        <f>IF(T5="","",T5)</f>
        <v>Источник тепловой энергии  </v>
      </c>
      <c r="AO5" s="2136"/>
      <c r="AP5" s="2136"/>
      <c r="AQ5" s="2143">
        <v>0</v>
      </c>
    </row>
    <row s="46890" customFormat="1" customHeight="1" ht="0.75" hidden="1">
      <c r="A6" s="1887"/>
      <c r="B6" s="1887"/>
      <c r="C6" s="1887"/>
      <c r="D6" s="1887"/>
      <c r="E6" s="2802"/>
      <c r="F6" s="2802"/>
      <c r="G6" s="2802"/>
      <c r="H6" s="2802"/>
      <c r="I6" s="2639">
        <f>S5&amp;".1"</f>
      </c>
      <c r="J6" s="1887"/>
      <c r="K6" s="1887"/>
      <c r="L6" s="1893" t="s">
        <v>521</v>
      </c>
      <c r="M6" s="1758"/>
      <c r="N6" s="1758"/>
      <c r="O6" s="1758"/>
      <c r="P6" s="2769">
        <v>1</v>
      </c>
      <c r="Q6" s="2466"/>
      <c r="R6" s="868"/>
      <c r="S6" s="1554"/>
      <c r="T6" s="1895"/>
      <c r="U6" s="1896"/>
      <c r="V6" s="2809"/>
      <c r="W6" s="2809"/>
      <c r="X6" s="2809"/>
      <c r="Y6" s="2809"/>
      <c r="Z6" s="2809"/>
      <c r="AA6" s="2810"/>
      <c r="AB6" s="2472"/>
      <c r="AC6" s="2809"/>
      <c r="AD6" s="2809"/>
      <c r="AE6" s="2809"/>
      <c r="AF6" s="2809"/>
      <c r="AG6" s="2809"/>
      <c r="AH6" s="2809"/>
      <c r="AI6" s="2809"/>
      <c r="AJ6" s="2810"/>
      <c r="AK6" s="1897"/>
      <c r="AM6" s="2136"/>
      <c r="AN6" s="2136" t="str">
        <f>IF(T6="","",T6)</f>
        <v/>
      </c>
      <c r="AO6" s="2136"/>
      <c r="AP6" s="2136"/>
      <c r="AQ6" s="2148">
        <v>0</v>
      </c>
    </row>
    <row s="46890" customFormat="1" customHeight="1" ht="0.75" hidden="1">
      <c r="A7" s="1887"/>
      <c r="B7" s="1887"/>
      <c r="C7" s="1887"/>
      <c r="D7" s="1887"/>
      <c r="E7" s="2802"/>
      <c r="F7" s="2802"/>
      <c r="G7" s="2802"/>
      <c r="H7" s="2802"/>
      <c r="I7" s="2613"/>
      <c r="J7" s="2639">
        <f>S5&amp;".1"</f>
      </c>
      <c r="K7" s="1887"/>
      <c r="L7" s="1893"/>
      <c r="M7" s="1758"/>
      <c r="N7" s="1758"/>
      <c r="O7" s="1758"/>
      <c r="P7" s="2769"/>
      <c r="Q7" s="2769">
        <v>1</v>
      </c>
      <c r="R7" s="869"/>
      <c r="S7" s="1554"/>
      <c r="T7" s="1911"/>
      <c r="U7" s="1896"/>
      <c r="V7" s="2809"/>
      <c r="W7" s="2809"/>
      <c r="X7" s="2809"/>
      <c r="Y7" s="2809"/>
      <c r="Z7" s="2809"/>
      <c r="AA7" s="2810"/>
      <c r="AB7" s="2472"/>
      <c r="AC7" s="2809"/>
      <c r="AD7" s="2809"/>
      <c r="AE7" s="2809"/>
      <c r="AF7" s="2809"/>
      <c r="AG7" s="2809"/>
      <c r="AH7" s="2809"/>
      <c r="AI7" s="2809"/>
      <c r="AJ7" s="2810"/>
      <c r="AK7" s="1897"/>
      <c r="AM7" s="2136"/>
      <c r="AN7" s="2136" t="str">
        <f>IF(T7="","",T7)</f>
        <v/>
      </c>
      <c r="AO7" s="2136"/>
      <c r="AP7" s="2136"/>
      <c r="AQ7" s="2148">
        <v>0</v>
      </c>
    </row>
    <row customHeight="1" ht="21" hidden="1">
      <c r="A8" s="1779"/>
      <c r="B8" s="1779"/>
      <c r="C8" s="1779"/>
      <c r="D8" s="1779"/>
      <c r="E8" s="2802"/>
      <c r="F8" s="2802"/>
      <c r="G8" s="2802"/>
      <c r="H8" s="2802"/>
      <c r="I8" s="2613"/>
      <c r="J8" s="2613"/>
      <c r="K8" s="2503">
        <f>S5&amp;".1"</f>
      </c>
      <c r="L8" s="1822"/>
      <c r="P8" s="2769"/>
      <c r="Q8" s="2769"/>
      <c r="R8" s="2507">
        <v>1</v>
      </c>
      <c r="S8" s="2505">
        <f>$K8</f>
      </c>
      <c r="T8" s="2506"/>
      <c r="U8" s="812"/>
      <c r="V8" s="1263"/>
      <c r="W8" s="1769"/>
      <c r="X8" s="2504"/>
      <c r="Y8" s="2502" t="s">
        <v>63</v>
      </c>
      <c r="Z8" s="2504"/>
      <c r="AA8" s="2502" t="s">
        <v>63</v>
      </c>
      <c r="AB8" s="2508"/>
      <c r="AC8" s="2509" t="s">
        <v>28</v>
      </c>
      <c r="AD8" s="1263"/>
      <c r="AE8" s="1769"/>
      <c r="AF8" s="2467"/>
      <c r="AG8" s="2454" t="s">
        <v>63</v>
      </c>
      <c r="AH8" s="2467"/>
      <c r="AI8" s="2454" t="s">
        <v>63</v>
      </c>
      <c r="AJ8" s="1860"/>
      <c r="AK8" s="2765" t="s">
        <v>579</v>
      </c>
      <c r="AL8" s="2148">
        <f>STRCHECKDATE(#REF!)</f>
      </c>
      <c r="AM8" s="2136"/>
      <c r="AN8" s="2136" t="str">
        <f>IF(T8="","",T8)</f>
        <v/>
      </c>
      <c r="AO8" s="2136"/>
      <c r="AP8" s="2136"/>
      <c r="AQ8" s="2143">
        <v>0</v>
      </c>
    </row>
    <row customHeight="1" ht="11.25" hidden="1">
      <c r="A9" s="1779"/>
      <c r="B9" s="1779"/>
      <c r="C9" s="1779"/>
      <c r="D9" s="1779"/>
      <c r="E9" s="2802"/>
      <c r="F9" s="2802"/>
      <c r="G9" s="2802"/>
      <c r="H9" s="2802"/>
      <c r="I9" s="2613"/>
      <c r="J9" s="2639"/>
      <c r="K9" s="1779"/>
      <c r="L9" s="1822"/>
      <c r="P9" s="2769"/>
      <c r="Q9" s="2769"/>
      <c r="R9" s="868"/>
      <c r="S9" s="1790"/>
      <c r="T9" s="799" t="s">
        <v>583</v>
      </c>
      <c r="U9" s="1112"/>
      <c r="V9" s="1112"/>
      <c r="W9" s="1112"/>
      <c r="X9" s="1112"/>
      <c r="Y9" s="1112"/>
      <c r="Z9" s="1112"/>
      <c r="AA9" s="1112"/>
      <c r="AB9" s="1112"/>
      <c r="AC9" s="1112"/>
      <c r="AD9" s="1112"/>
      <c r="AE9" s="1112"/>
      <c r="AF9" s="1112"/>
      <c r="AG9" s="1112"/>
      <c r="AH9" s="1112"/>
      <c r="AI9" s="1112"/>
      <c r="AJ9" s="836"/>
      <c r="AK9" s="2767"/>
      <c r="AM9" s="2136"/>
      <c r="AN9" s="2136" t="str">
        <f>IF(T9="","",T9)</f>
        <v>Добавить строку</v>
      </c>
      <c r="AO9" s="2136"/>
      <c r="AP9" s="2136"/>
      <c r="AQ9" s="2143">
        <v>0</v>
      </c>
    </row>
    <row s="46890" customFormat="1" customHeight="1" ht="0.75" hidden="1">
      <c r="A10" s="1887"/>
      <c r="B10" s="1887"/>
      <c r="C10" s="1887"/>
      <c r="D10" s="1887"/>
      <c r="E10" s="2802"/>
      <c r="F10" s="2802"/>
      <c r="G10" s="2802"/>
      <c r="H10" s="2802"/>
      <c r="I10" s="2639"/>
      <c r="J10" s="1887"/>
      <c r="K10" s="1887"/>
      <c r="L10" s="1893"/>
      <c r="M10" s="1758"/>
      <c r="N10" s="1758"/>
      <c r="O10" s="1758"/>
      <c r="P10" s="2769"/>
      <c r="Q10" s="2466"/>
      <c r="R10" s="868"/>
      <c r="S10" s="1898"/>
      <c r="T10" s="1899"/>
      <c r="U10" s="1900"/>
      <c r="V10" s="1900"/>
      <c r="W10" s="1900"/>
      <c r="X10" s="1900"/>
      <c r="Y10" s="1900"/>
      <c r="Z10" s="1900"/>
      <c r="AA10" s="1900"/>
      <c r="AB10" s="1900"/>
      <c r="AC10" s="1900"/>
      <c r="AD10" s="1900"/>
      <c r="AE10" s="1900"/>
      <c r="AF10" s="1900"/>
      <c r="AG10" s="1900"/>
      <c r="AH10" s="1900"/>
      <c r="AI10" s="1900"/>
      <c r="AJ10" s="1900"/>
      <c r="AK10" s="1901"/>
      <c r="AM10" s="2136"/>
      <c r="AN10" s="2136" t="str">
        <f>IF(T10="","",T10)</f>
        <v/>
      </c>
      <c r="AO10" s="2136"/>
      <c r="AP10" s="2136"/>
      <c r="AQ10" s="2148">
        <v>0</v>
      </c>
    </row>
    <row s="46890" customFormat="1" customHeight="1" ht="0.75" hidden="1">
      <c r="A11" s="1887"/>
      <c r="B11" s="1887"/>
      <c r="C11" s="1887"/>
      <c r="D11" s="1887"/>
      <c r="E11" s="2802"/>
      <c r="F11" s="2802"/>
      <c r="G11" s="2802"/>
      <c r="H11" s="2801"/>
      <c r="I11" s="1887"/>
      <c r="J11" s="1887"/>
      <c r="K11" s="1887"/>
      <c r="L11" s="1893"/>
      <c r="M11" s="1890"/>
      <c r="N11" s="1890"/>
      <c r="O11" s="863"/>
      <c r="P11" s="892"/>
      <c r="Q11" s="1856"/>
      <c r="R11" s="1913"/>
      <c r="S11" s="1898"/>
      <c r="T11" s="1899"/>
      <c r="U11" s="1900"/>
      <c r="V11" s="1900"/>
      <c r="W11" s="1900"/>
      <c r="X11" s="1900"/>
      <c r="Y11" s="1900"/>
      <c r="Z11" s="1900"/>
      <c r="AA11" s="1900"/>
      <c r="AB11" s="1900"/>
      <c r="AC11" s="1900"/>
      <c r="AD11" s="1900"/>
      <c r="AE11" s="1900"/>
      <c r="AF11" s="1900"/>
      <c r="AG11" s="1900"/>
      <c r="AH11" s="1900"/>
      <c r="AI11" s="1900"/>
      <c r="AJ11" s="1900"/>
      <c r="AK11" s="1901"/>
      <c r="AM11" s="2136"/>
      <c r="AN11" s="2136" t="str">
        <f>IF(T11="","",T11)</f>
        <v/>
      </c>
      <c r="AO11" s="2136"/>
      <c r="AP11" s="2136"/>
      <c r="AQ11" s="2148">
        <v>0</v>
      </c>
    </row>
    <row s="46890" customFormat="1" customHeight="1" ht="0.75" hidden="1">
      <c r="A12" s="1887"/>
      <c r="B12" s="1887"/>
      <c r="C12" s="1887"/>
      <c r="D12" s="1886"/>
      <c r="E12" s="2802"/>
      <c r="F12" s="2802"/>
      <c r="G12" s="2801"/>
      <c r="H12" s="1886"/>
      <c r="I12" s="1886"/>
      <c r="J12" s="1886"/>
      <c r="K12" s="1886"/>
      <c r="L12" s="1889"/>
      <c r="M12" s="1890"/>
      <c r="N12" s="1890"/>
      <c r="O12" s="863"/>
      <c r="P12" s="1828"/>
      <c r="Q12" s="1829"/>
      <c r="R12" s="1828"/>
      <c r="S12" s="1834"/>
      <c r="T12" s="1837" t="s">
        <v>532</v>
      </c>
      <c r="U12" s="1836"/>
      <c r="V12" s="1836"/>
      <c r="W12" s="1836"/>
      <c r="X12" s="1836"/>
      <c r="Y12" s="1836"/>
      <c r="Z12" s="1836"/>
      <c r="AA12" s="1836"/>
      <c r="AB12" s="1836"/>
      <c r="AC12" s="1836"/>
      <c r="AD12" s="1836"/>
      <c r="AE12" s="1836"/>
      <c r="AF12" s="1836"/>
      <c r="AG12" s="1836"/>
      <c r="AH12" s="1836"/>
      <c r="AI12" s="1836"/>
      <c r="AJ12" s="1836"/>
      <c r="AK12" s="1836"/>
      <c r="AM12" s="1763"/>
      <c r="AN12" s="1763" t="str">
        <f>IF(T12="","",T12)</f>
        <v>Добавить источник для дифференциации</v>
      </c>
      <c r="AO12" s="1763"/>
      <c r="AP12" s="1763"/>
      <c r="AQ12" s="2154">
        <v>0</v>
      </c>
    </row>
    <row s="46890" customFormat="1" customHeight="1" ht="0.75" hidden="1">
      <c r="A13" s="1887"/>
      <c r="B13" s="1887"/>
      <c r="C13" s="1886"/>
      <c r="D13" s="1886"/>
      <c r="E13" s="2802"/>
      <c r="F13" s="2801"/>
      <c r="G13" s="1886"/>
      <c r="H13" s="1886"/>
      <c r="I13" s="1886"/>
      <c r="J13" s="1886"/>
      <c r="K13" s="1886"/>
      <c r="L13" s="1889"/>
      <c r="M13" s="1891"/>
      <c r="N13" s="1891"/>
      <c r="O13" s="863"/>
      <c r="P13" s="1828"/>
      <c r="Q13" s="1829"/>
      <c r="R13" s="1828"/>
      <c r="S13" s="1834"/>
      <c r="T13" s="1837" t="s">
        <v>321</v>
      </c>
      <c r="U13" s="1836"/>
      <c r="V13" s="1836"/>
      <c r="W13" s="1836"/>
      <c r="X13" s="1836"/>
      <c r="Y13" s="1836"/>
      <c r="Z13" s="1836"/>
      <c r="AA13" s="1836"/>
      <c r="AB13" s="1836"/>
      <c r="AC13" s="1836"/>
      <c r="AD13" s="1836"/>
      <c r="AE13" s="1836"/>
      <c r="AF13" s="1836"/>
      <c r="AG13" s="1836"/>
      <c r="AH13" s="1836"/>
      <c r="AI13" s="1836"/>
      <c r="AJ13" s="1836"/>
      <c r="AK13" s="1836"/>
      <c r="AM13" s="1763"/>
      <c r="AN13" s="1763" t="str">
        <f>IF(T13="","",T13)</f>
        <v>Добавить централизованную систему для дифференциации</v>
      </c>
      <c r="AO13" s="1763"/>
      <c r="AP13" s="1763"/>
      <c r="AQ13" s="2154">
        <v>0</v>
      </c>
    </row>
    <row s="46890" customFormat="1" customHeight="1" ht="0.75" hidden="1">
      <c r="A14" s="1887"/>
      <c r="B14" s="1887"/>
      <c r="C14" s="1887"/>
      <c r="D14" s="1887"/>
      <c r="E14" s="2801"/>
      <c r="F14" s="1887"/>
      <c r="G14" s="1887"/>
      <c r="H14" s="1887"/>
      <c r="I14" s="1887"/>
      <c r="J14" s="1887"/>
      <c r="K14" s="1887"/>
      <c r="L14" s="1893"/>
      <c r="M14" s="1891"/>
      <c r="N14" s="1891"/>
      <c r="O14" s="863"/>
      <c r="P14" s="892"/>
      <c r="Q14" s="1856"/>
      <c r="R14" s="892"/>
      <c r="S14" s="1834"/>
      <c r="T14" s="1837" t="s">
        <v>385</v>
      </c>
      <c r="U14" s="1836"/>
      <c r="V14" s="1836"/>
      <c r="W14" s="1836"/>
      <c r="X14" s="1836"/>
      <c r="Y14" s="1836"/>
      <c r="Z14" s="1836"/>
      <c r="AA14" s="1836"/>
      <c r="AB14" s="1836"/>
      <c r="AC14" s="1836"/>
      <c r="AD14" s="1836"/>
      <c r="AE14" s="1836"/>
      <c r="AF14" s="1836"/>
      <c r="AG14" s="1836"/>
      <c r="AH14" s="1836"/>
      <c r="AI14" s="1836"/>
      <c r="AJ14" s="1836"/>
      <c r="AK14" s="1836"/>
      <c r="AM14" s="2136"/>
      <c r="AN14" s="2136" t="str">
        <f>IF(T14="","",T14)</f>
        <v>Добавить территорию для дифференциации</v>
      </c>
      <c r="AO14" s="2136"/>
      <c r="AP14" s="2136"/>
      <c r="AQ14" s="2148">
        <v>0</v>
      </c>
    </row>
    <row customHeight="1" ht="14.25" hidden="1">
      <c r="AQ15" s="2143">
        <v>0</v>
      </c>
    </row>
    <row customHeight="1" ht="14.25" hidden="1">
      <c r="AC16" s="2014"/>
      <c r="AD16" s="1915"/>
      <c r="AE16" s="1916"/>
      <c r="AF16" s="2248"/>
      <c r="AG16" s="2478" t="s">
        <v>63</v>
      </c>
      <c r="AH16" s="2248"/>
      <c r="AI16" s="2478" t="s">
        <v>63</v>
      </c>
      <c r="AQ16" s="2143">
        <v>0</v>
      </c>
    </row>
    <row customHeight="1" ht="14.25" hidden="1">
      <c r="AL17" s="2153"/>
      <c r="AM17" s="2153"/>
      <c r="AN17" s="2153"/>
      <c r="AO17" s="2153"/>
      <c r="AP17" s="2153"/>
      <c r="AQ17" s="2143">
        <v>0</v>
      </c>
    </row>
    <row customHeight="1" ht="14.25" hidden="1">
      <c r="O18" s="1857" t="s">
        <v>533</v>
      </c>
      <c r="X18" s="1857"/>
      <c r="Z18" s="1857"/>
      <c r="AF18" s="1857"/>
      <c r="AH18" s="1857"/>
      <c r="AL18" s="2153"/>
      <c r="AM18" s="2153"/>
      <c r="AN18" s="2153"/>
      <c r="AO18" s="2153"/>
      <c r="AP18" s="2153"/>
      <c r="AQ18" s="2143">
        <v>0</v>
      </c>
    </row>
    <row customHeight="1" ht="14.25" hidden="1">
      <c r="AL19" s="2153"/>
      <c r="AM19" s="2153"/>
      <c r="AN19" s="2153"/>
      <c r="AO19" s="2153"/>
      <c r="AP19" s="2153"/>
      <c r="AQ19" s="2143">
        <v>0</v>
      </c>
    </row>
    <row s="47895" customFormat="1" customHeight="1" ht="14.25" hidden="1">
      <c r="A20" s="2483"/>
      <c r="B20" s="2483"/>
      <c r="C20" s="2483"/>
      <c r="D20" s="2483"/>
      <c r="E20" s="2483"/>
      <c r="F20" s="2483"/>
      <c r="G20" s="2483"/>
      <c r="H20" s="2483"/>
      <c r="I20" s="2483"/>
      <c r="J20" s="2483"/>
      <c r="K20" s="2483"/>
      <c r="L20" s="2483"/>
      <c r="M20" s="2484"/>
      <c r="N20" s="2484"/>
      <c r="O20" s="2485" t="s">
        <v>534</v>
      </c>
      <c r="P20" s="2020"/>
      <c r="Q20" s="2022"/>
      <c r="R20" s="2022"/>
      <c r="Y20" s="2019" t="s">
        <v>536</v>
      </c>
      <c r="AA20" s="2019" t="s">
        <v>537</v>
      </c>
      <c r="AC20" s="2019" t="s">
        <v>585</v>
      </c>
      <c r="AG20" s="2019" t="s">
        <v>536</v>
      </c>
      <c r="AI20" s="2019" t="s">
        <v>537</v>
      </c>
      <c r="AL20" s="2023"/>
      <c r="AM20" s="2023"/>
      <c r="AN20" s="2023"/>
      <c r="AO20" s="2023"/>
      <c r="AP20" s="2023"/>
      <c r="AQ20" s="2019">
        <v>0</v>
      </c>
    </row>
    <row customHeight="1" ht="14.25" hidden="1">
      <c r="O21" s="1822"/>
      <c r="AL21" s="2153"/>
      <c r="AM21" s="2153"/>
      <c r="AN21" s="2153"/>
      <c r="AO21" s="2153"/>
      <c r="AP21" s="2153"/>
      <c r="AQ21" s="2143">
        <v>0</v>
      </c>
    </row>
    <row customHeight="1" ht="14.25" hidden="1">
      <c r="O22" s="1822"/>
      <c r="AL22" s="2153"/>
      <c r="AM22" s="2153"/>
      <c r="AN22" s="2153"/>
      <c r="AO22" s="2153"/>
      <c r="AP22" s="2153"/>
      <c r="AQ22" s="2143">
        <v>0</v>
      </c>
    </row>
    <row customHeight="1" ht="14.699999999999998">
      <c r="Q23" s="803"/>
      <c r="R23" s="888"/>
      <c r="S23" s="1787"/>
      <c r="T23" s="969"/>
      <c r="U23" s="969"/>
      <c r="V23" s="2147"/>
      <c r="W23" s="2147"/>
      <c r="X23" s="2147"/>
      <c r="Y23" s="2147"/>
      <c r="Z23" s="2147"/>
      <c r="AA23" s="2147"/>
      <c r="AB23" s="2147"/>
      <c r="AC23" s="2147"/>
      <c r="AD23" s="2147"/>
      <c r="AE23" s="2147"/>
      <c r="AF23" s="2147"/>
      <c r="AG23" s="2147"/>
      <c r="AH23" s="2147"/>
      <c r="AI23" s="2147"/>
      <c r="AQ23" s="2143">
        <v>14</v>
      </c>
    </row>
    <row customHeight="1" ht="39.75">
      <c r="Q24" s="803"/>
      <c r="R24" s="888"/>
      <c r="S24" s="2760"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760"/>
      <c r="U24" s="2760"/>
      <c r="V24" s="2760"/>
      <c r="W24" s="2760"/>
      <c r="X24" s="2760"/>
      <c r="Y24" s="2760"/>
      <c r="Z24" s="2760"/>
      <c r="AA24" s="2760"/>
      <c r="AB24" s="2760"/>
      <c r="AC24" s="2760"/>
      <c r="AD24" s="2760"/>
      <c r="AE24" s="2760"/>
      <c r="AF24" s="2760"/>
      <c r="AG24" s="2760"/>
      <c r="AH24" s="2760"/>
      <c r="AI24" s="1755"/>
      <c r="AQ24" s="2143">
        <v>38</v>
      </c>
    </row>
    <row customHeight="1" ht="14.699999999999998">
      <c r="Q25" s="803"/>
      <c r="R25" s="888"/>
      <c r="S25" s="2761" t="str">
        <f>IF(org=0,"Не определено",org)</f>
        <v>КГУП "Примтеплоэнерго"</v>
      </c>
      <c r="T25" s="2761"/>
      <c r="U25" s="2761"/>
      <c r="V25" s="2761"/>
      <c r="W25" s="2761"/>
      <c r="X25" s="2761"/>
      <c r="Y25" s="2761"/>
      <c r="Z25" s="2761"/>
      <c r="AA25" s="2761"/>
      <c r="AB25" s="2761"/>
      <c r="AC25" s="2761"/>
      <c r="AD25" s="2761"/>
      <c r="AE25" s="2761"/>
      <c r="AF25" s="2761"/>
      <c r="AG25" s="2761"/>
      <c r="AH25" s="2761"/>
      <c r="AI25" s="1755"/>
      <c r="AQ25" s="2143">
        <v>14</v>
      </c>
    </row>
    <row customHeight="1" ht="14.25" hidden="1">
      <c r="Q26" s="803"/>
      <c r="R26" s="888"/>
      <c r="S26" s="1787"/>
      <c r="T26" s="969"/>
      <c r="U26" s="969"/>
      <c r="V26" s="834"/>
      <c r="W26" s="834"/>
      <c r="X26" s="834"/>
      <c r="Y26" s="834"/>
      <c r="Z26" s="834"/>
      <c r="AA26" s="834"/>
      <c r="AB26" s="834"/>
      <c r="AC26" s="834"/>
      <c r="AD26" s="834"/>
      <c r="AE26" s="834"/>
      <c r="AF26" s="834"/>
      <c r="AG26" s="834"/>
      <c r="AH26" s="834"/>
      <c r="AI26" s="834"/>
      <c r="AJ26" s="2147"/>
      <c r="AQ26" s="2143">
        <v>0</v>
      </c>
    </row>
    <row s="47026" customFormat="1" customHeight="1" ht="25.5" hidden="1">
      <c r="A27" s="1760"/>
      <c r="B27" s="1760"/>
      <c r="C27" s="1760"/>
      <c r="D27" s="1760"/>
      <c r="E27" s="1760"/>
      <c r="F27" s="1760"/>
      <c r="G27" s="1760"/>
      <c r="H27" s="1760"/>
      <c r="I27" s="1760"/>
      <c r="J27" s="1760"/>
      <c r="K27" s="1760"/>
      <c r="L27" s="1892"/>
      <c r="M27" s="1760"/>
      <c r="N27" s="1760"/>
      <c r="O27" s="1760"/>
      <c r="P27" s="1880"/>
      <c r="Q27" s="1880"/>
      <c r="S27" s="2762" t="s">
        <v>42</v>
      </c>
      <c r="T27" s="2762"/>
      <c r="U27" s="1884"/>
      <c r="V27" s="2763" t="str">
        <f>IF(TITLE_NAME_OR_PR_CHANGE="",IF(TITLE_NAME_OR_PR="","",TITLE_NAME_OR_PR),TITLE_NAME_OR_PR_CHANGE)</f>
        <v>Агентство по тарифам Приморского края</v>
      </c>
      <c r="W27" s="2763"/>
      <c r="X27" s="2763"/>
      <c r="Y27" s="2763"/>
      <c r="Z27" s="2763"/>
      <c r="AA27" s="2147"/>
      <c r="AB27" s="2147"/>
      <c r="AC27" s="2763"/>
      <c r="AD27" s="2763"/>
      <c r="AE27" s="2763"/>
      <c r="AF27" s="2763"/>
      <c r="AG27" s="2763"/>
      <c r="AH27" s="2763"/>
      <c r="AI27" s="2147"/>
      <c r="AJ27" s="2147"/>
      <c r="AK27" s="792"/>
      <c r="AL27" s="880"/>
      <c r="AM27" s="880"/>
      <c r="AN27" s="880"/>
      <c r="AO27" s="880"/>
      <c r="AP27" s="880"/>
      <c r="AQ27" s="930">
        <v>0</v>
      </c>
    </row>
    <row s="47026" customFormat="1" customHeight="1" ht="18.75" hidden="1">
      <c r="A28" s="1760"/>
      <c r="B28" s="1760"/>
      <c r="C28" s="1760"/>
      <c r="D28" s="1760"/>
      <c r="E28" s="1760"/>
      <c r="F28" s="1760"/>
      <c r="G28" s="1760"/>
      <c r="H28" s="1760"/>
      <c r="I28" s="1760"/>
      <c r="J28" s="1760"/>
      <c r="K28" s="1760"/>
      <c r="L28" s="1892"/>
      <c r="M28" s="1760"/>
      <c r="N28" s="1760"/>
      <c r="O28" s="1760"/>
      <c r="P28" s="1880"/>
      <c r="Q28" s="1880"/>
      <c r="S28" s="2762" t="s">
        <v>539</v>
      </c>
      <c r="T28" s="2762"/>
      <c r="U28" s="1884"/>
      <c r="V28" s="2776" t="str">
        <f>IF(TITLE_DATE_PR_CHANGE="",IF(TITLE_DATE_PR="","",TITLE_DATE_PR),TITLE_DATE_PR_CHANGE)</f>
        <v>45631.495844907404</v>
      </c>
      <c r="W28" s="2776"/>
      <c r="X28" s="2776"/>
      <c r="Y28" s="2776"/>
      <c r="Z28" s="2776"/>
      <c r="AA28" s="2147"/>
      <c r="AB28" s="2147"/>
      <c r="AC28" s="2776"/>
      <c r="AD28" s="2776"/>
      <c r="AE28" s="2776"/>
      <c r="AF28" s="2776"/>
      <c r="AG28" s="2776"/>
      <c r="AH28" s="2776"/>
      <c r="AI28" s="2147"/>
      <c r="AJ28" s="2147"/>
      <c r="AK28" s="792"/>
      <c r="AL28" s="880"/>
      <c r="AM28" s="880"/>
      <c r="AN28" s="880"/>
      <c r="AO28" s="880"/>
      <c r="AP28" s="880"/>
      <c r="AQ28" s="930">
        <v>0</v>
      </c>
    </row>
    <row s="47026" customFormat="1" customHeight="1" ht="18.75" hidden="1">
      <c r="A29" s="1760"/>
      <c r="B29" s="1760"/>
      <c r="C29" s="1760"/>
      <c r="D29" s="1760"/>
      <c r="E29" s="1760"/>
      <c r="F29" s="1760"/>
      <c r="G29" s="1760"/>
      <c r="H29" s="1760"/>
      <c r="I29" s="1760"/>
      <c r="J29" s="1760"/>
      <c r="K29" s="1760"/>
      <c r="L29" s="1892"/>
      <c r="M29" s="1760"/>
      <c r="N29" s="1760"/>
      <c r="O29" s="1760"/>
      <c r="P29" s="1880"/>
      <c r="Q29" s="1880"/>
      <c r="S29" s="2762" t="s">
        <v>540</v>
      </c>
      <c r="T29" s="2762"/>
      <c r="U29" s="1884"/>
      <c r="V29" s="2763" t="str">
        <f>IF(TITLE_NUMBER_PR_CHANGE="",IF(TITLE_NUMBER_PR="","",TITLE_NUMBER_PR),TITLE_NUMBER_PR_CHANGE)</f>
        <v>53/9</v>
      </c>
      <c r="W29" s="2763"/>
      <c r="X29" s="2763"/>
      <c r="Y29" s="2763"/>
      <c r="Z29" s="2763"/>
      <c r="AA29" s="2147"/>
      <c r="AB29" s="2147"/>
      <c r="AC29" s="2763"/>
      <c r="AD29" s="2763"/>
      <c r="AE29" s="2763"/>
      <c r="AF29" s="2763"/>
      <c r="AG29" s="2763"/>
      <c r="AH29" s="2763"/>
      <c r="AI29" s="2147"/>
      <c r="AJ29" s="2147"/>
      <c r="AK29" s="792"/>
      <c r="AL29" s="880"/>
      <c r="AM29" s="880"/>
      <c r="AN29" s="880"/>
      <c r="AO29" s="880"/>
      <c r="AP29" s="880"/>
      <c r="AQ29" s="930">
        <v>0</v>
      </c>
    </row>
    <row s="47026" customFormat="1" customHeight="1" ht="18.75" hidden="1">
      <c r="A30" s="1760"/>
      <c r="B30" s="1760"/>
      <c r="C30" s="1760"/>
      <c r="D30" s="1760"/>
      <c r="E30" s="1760"/>
      <c r="F30" s="1760"/>
      <c r="G30" s="1760"/>
      <c r="H30" s="1760"/>
      <c r="I30" s="1760"/>
      <c r="J30" s="1760"/>
      <c r="K30" s="1760"/>
      <c r="L30" s="1892"/>
      <c r="M30" s="1760"/>
      <c r="N30" s="1760"/>
      <c r="O30" s="1760"/>
      <c r="P30" s="1880"/>
      <c r="Q30" s="1880"/>
      <c r="S30" s="2762" t="s">
        <v>44</v>
      </c>
      <c r="T30" s="2762"/>
      <c r="U30" s="1884"/>
      <c r="V30" s="2763" t="str">
        <f>IF(TITLE_IST_PUB_CHANGE="",IF(TITLE_IST_PUB="","",TITLE_IST_PUB),TITLE_IST_PUB_CHANGE)</f>
        <v>http://pravo.gov.ru</v>
      </c>
      <c r="W30" s="2763"/>
      <c r="X30" s="2763"/>
      <c r="Y30" s="2763"/>
      <c r="Z30" s="2763"/>
      <c r="AA30" s="2147"/>
      <c r="AB30" s="2147"/>
      <c r="AC30" s="2763"/>
      <c r="AD30" s="2763"/>
      <c r="AE30" s="2763"/>
      <c r="AF30" s="2763"/>
      <c r="AG30" s="2763"/>
      <c r="AH30" s="2763"/>
      <c r="AI30" s="2147"/>
      <c r="AJ30" s="2147"/>
      <c r="AK30" s="792"/>
      <c r="AL30" s="880"/>
      <c r="AM30" s="880"/>
      <c r="AN30" s="880"/>
      <c r="AO30" s="880"/>
      <c r="AP30" s="880"/>
      <c r="AQ30" s="930">
        <v>0</v>
      </c>
    </row>
    <row customHeight="1" ht="14.25" hidden="1">
      <c r="Q31" s="803"/>
      <c r="R31" s="888"/>
      <c r="S31" s="1787"/>
      <c r="T31" s="969"/>
      <c r="U31" s="969"/>
      <c r="V31" s="834"/>
      <c r="W31" s="834"/>
      <c r="X31" s="834"/>
      <c r="Y31" s="834"/>
      <c r="Z31" s="834"/>
      <c r="AA31" s="834"/>
      <c r="AB31" s="834"/>
      <c r="AC31" s="834"/>
      <c r="AD31" s="834"/>
      <c r="AE31" s="834"/>
      <c r="AF31" s="834"/>
      <c r="AG31" s="834"/>
      <c r="AH31" s="834"/>
      <c r="AI31" s="834"/>
      <c r="AJ31" s="2147"/>
      <c r="AQ31" s="2143">
        <v>0</v>
      </c>
    </row>
    <row s="47026" customFormat="1" customHeight="1" ht="18.75" hidden="1">
      <c r="A32" s="1760"/>
      <c r="B32" s="1760"/>
      <c r="C32" s="1760"/>
      <c r="D32" s="1760"/>
      <c r="E32" s="1760"/>
      <c r="F32" s="1760"/>
      <c r="G32" s="1760"/>
      <c r="H32" s="1760"/>
      <c r="I32" s="1760"/>
      <c r="J32" s="1760"/>
      <c r="K32" s="1760"/>
      <c r="L32" s="1892"/>
      <c r="M32" s="1760"/>
      <c r="N32" s="1760"/>
      <c r="O32" s="1760"/>
      <c r="P32" s="1880"/>
      <c r="Q32" s="1880"/>
      <c r="S32" s="2762" t="s">
        <v>539</v>
      </c>
      <c r="T32" s="2762"/>
      <c r="U32" s="1884"/>
      <c r="V32" s="2776" t="str">
        <f>IF(TITLE_DATE_PR_CHANGE="",IF(TITLE_DATE_PR="","",TITLE_DATE_PR),TITLE_DATE_PR_CHANGE)</f>
        <v>45631.495844907404</v>
      </c>
      <c r="W32" s="2776"/>
      <c r="X32" s="2776"/>
      <c r="Y32" s="2776"/>
      <c r="Z32" s="2776"/>
      <c r="AA32" s="2147"/>
      <c r="AB32" s="2147"/>
      <c r="AC32" s="2776"/>
      <c r="AD32" s="2776"/>
      <c r="AE32" s="2776"/>
      <c r="AF32" s="2776"/>
      <c r="AG32" s="2776"/>
      <c r="AH32" s="2776"/>
      <c r="AI32" s="2147"/>
      <c r="AJ32" s="2147"/>
      <c r="AK32" s="792"/>
      <c r="AL32" s="880"/>
      <c r="AM32" s="880"/>
      <c r="AN32" s="880"/>
      <c r="AO32" s="880"/>
      <c r="AP32" s="880"/>
      <c r="AQ32" s="930">
        <v>0</v>
      </c>
    </row>
    <row s="47026" customFormat="1" customHeight="1" ht="18" hidden="1">
      <c r="A33" s="1760"/>
      <c r="B33" s="1760"/>
      <c r="C33" s="1760"/>
      <c r="D33" s="1760"/>
      <c r="E33" s="1760"/>
      <c r="F33" s="1760"/>
      <c r="G33" s="1760"/>
      <c r="H33" s="1760"/>
      <c r="I33" s="1760"/>
      <c r="J33" s="1760"/>
      <c r="K33" s="1760"/>
      <c r="L33" s="1892"/>
      <c r="M33" s="1760"/>
      <c r="N33" s="1760"/>
      <c r="O33" s="1760"/>
      <c r="P33" s="1880"/>
      <c r="Q33" s="1880"/>
      <c r="S33" s="2762" t="s">
        <v>540</v>
      </c>
      <c r="T33" s="2762"/>
      <c r="U33" s="1884"/>
      <c r="V33" s="2763" t="str">
        <f>IF(TITLE_NUMBER_PR_CHANGE="",IF(TITLE_NUMBER_PR="","",TITLE_NUMBER_PR),TITLE_NUMBER_PR_CHANGE)</f>
        <v>53/9</v>
      </c>
      <c r="W33" s="2763"/>
      <c r="X33" s="2763"/>
      <c r="Y33" s="2763"/>
      <c r="Z33" s="2763"/>
      <c r="AA33" s="2147"/>
      <c r="AB33" s="2147"/>
      <c r="AC33" s="2763"/>
      <c r="AD33" s="2763"/>
      <c r="AE33" s="2763"/>
      <c r="AF33" s="2763"/>
      <c r="AG33" s="2763"/>
      <c r="AH33" s="2763"/>
      <c r="AI33" s="2147"/>
      <c r="AJ33" s="2147"/>
      <c r="AK33" s="792"/>
      <c r="AL33" s="880"/>
      <c r="AM33" s="880"/>
      <c r="AN33" s="880"/>
      <c r="AO33" s="880"/>
      <c r="AP33" s="880"/>
      <c r="AQ33" s="930">
        <v>0</v>
      </c>
    </row>
    <row s="47026" customFormat="1" customHeight="1" ht="1.05">
      <c r="A34" s="1760"/>
      <c r="B34" s="1760"/>
      <c r="C34" s="1760"/>
      <c r="D34" s="1760"/>
      <c r="E34" s="1760"/>
      <c r="F34" s="1760"/>
      <c r="G34" s="1760"/>
      <c r="H34" s="1760"/>
      <c r="I34" s="1760"/>
      <c r="J34" s="1760"/>
      <c r="K34" s="1760"/>
      <c r="L34" s="1892"/>
      <c r="M34" s="1760"/>
      <c r="N34" s="1760"/>
      <c r="O34" s="1760"/>
      <c r="P34" s="1880"/>
      <c r="Q34" s="1880"/>
      <c r="S34" s="2147"/>
      <c r="T34" s="2147"/>
      <c r="U34" s="2482"/>
      <c r="V34" s="2147"/>
      <c r="W34" s="2147"/>
      <c r="X34" s="2147"/>
      <c r="Y34" s="2147"/>
      <c r="Z34" s="2147"/>
      <c r="AA34" s="2154" t="s">
        <v>543</v>
      </c>
      <c r="AB34" s="2154"/>
      <c r="AC34" s="2147"/>
      <c r="AD34" s="2147"/>
      <c r="AE34" s="2147"/>
      <c r="AF34" s="2147"/>
      <c r="AG34" s="2147"/>
      <c r="AH34" s="2147"/>
      <c r="AI34" s="2154" t="s">
        <v>543</v>
      </c>
      <c r="AL34" s="880"/>
      <c r="AM34" s="880"/>
      <c r="AN34" s="880"/>
      <c r="AO34" s="880"/>
      <c r="AP34" s="880"/>
      <c r="AQ34" s="930">
        <v>1</v>
      </c>
    </row>
    <row customHeight="1" ht="14.699999999999998">
      <c r="Q35" s="803"/>
      <c r="R35" s="888"/>
      <c r="S35" s="1787"/>
      <c r="T35" s="969"/>
      <c r="U35" s="1756"/>
      <c r="V35" s="2764"/>
      <c r="W35" s="2764"/>
      <c r="X35" s="2764"/>
      <c r="Y35" s="2764"/>
      <c r="Z35" s="2764"/>
      <c r="AA35" s="2764"/>
      <c r="AB35" s="2469"/>
      <c r="AC35" s="2764"/>
      <c r="AD35" s="2764"/>
      <c r="AE35" s="2764"/>
      <c r="AF35" s="2764"/>
      <c r="AG35" s="2764"/>
      <c r="AH35" s="2764"/>
      <c r="AI35" s="2764"/>
      <c r="AQ35" s="2143">
        <v>14</v>
      </c>
    </row>
    <row customHeight="1" ht="14.699999999999998">
      <c r="Q36" s="803"/>
      <c r="R36" s="888"/>
      <c r="S36" s="2639" t="s">
        <v>418</v>
      </c>
      <c r="T36" s="2639"/>
      <c r="U36" s="2639"/>
      <c r="V36" s="2639"/>
      <c r="W36" s="2639"/>
      <c r="X36" s="2639"/>
      <c r="Y36" s="2639"/>
      <c r="Z36" s="2639"/>
      <c r="AA36" s="2687"/>
      <c r="AB36" s="2687"/>
      <c r="AC36" s="2687"/>
      <c r="AD36" s="2639"/>
      <c r="AE36" s="2639"/>
      <c r="AF36" s="2639"/>
      <c r="AG36" s="2639"/>
      <c r="AH36" s="2639"/>
      <c r="AI36" s="2639"/>
      <c r="AJ36" s="2639"/>
      <c r="AK36" s="2639" t="s">
        <v>419</v>
      </c>
      <c r="AQ36" s="2143">
        <v>14</v>
      </c>
    </row>
    <row customHeight="1" ht="14.699999999999998">
      <c r="Q37" s="803"/>
      <c r="R37" s="888"/>
      <c r="S37" s="2785" t="s">
        <v>90</v>
      </c>
      <c r="T37" s="2721" t="s">
        <v>614</v>
      </c>
      <c r="U37" s="849"/>
      <c r="V37" s="2787"/>
      <c r="W37" s="2787"/>
      <c r="X37" s="2787"/>
      <c r="Y37" s="2787"/>
      <c r="Z37" s="2787"/>
      <c r="AA37" s="2721" t="s">
        <v>546</v>
      </c>
      <c r="AB37" s="2720" t="s">
        <v>615</v>
      </c>
      <c r="AC37" s="2720" t="s">
        <v>589</v>
      </c>
      <c r="AD37" s="2803" t="s">
        <v>545</v>
      </c>
      <c r="AE37" s="2803"/>
      <c r="AF37" s="2787"/>
      <c r="AG37" s="2787"/>
      <c r="AH37" s="2788"/>
      <c r="AI37" s="2789" t="s">
        <v>546</v>
      </c>
      <c r="AJ37" s="2792" t="s">
        <v>548</v>
      </c>
      <c r="AK37" s="2639"/>
      <c r="AQ37" s="2143">
        <v>14</v>
      </c>
    </row>
    <row customHeight="1" ht="35.699999999999996">
      <c r="Q38" s="803"/>
      <c r="R38" s="888"/>
      <c r="S38" s="2785"/>
      <c r="T38" s="2721"/>
      <c r="U38" s="1543"/>
      <c r="V38" s="2615" t="s">
        <v>592</v>
      </c>
      <c r="W38" s="2639"/>
      <c r="X38" s="2806" t="s">
        <v>552</v>
      </c>
      <c r="Y38" s="2825"/>
      <c r="Z38" s="2825"/>
      <c r="AA38" s="2721"/>
      <c r="AB38" s="2720"/>
      <c r="AC38" s="2720"/>
      <c r="AD38" s="2615" t="s">
        <v>592</v>
      </c>
      <c r="AE38" s="2639"/>
      <c r="AF38" s="2825" t="s">
        <v>552</v>
      </c>
      <c r="AG38" s="2825"/>
      <c r="AH38" s="2826"/>
      <c r="AI38" s="2790"/>
      <c r="AJ38" s="2793"/>
      <c r="AK38" s="2639"/>
      <c r="AQ38" s="2143">
        <v>34</v>
      </c>
    </row>
    <row customHeight="1" ht="14.699999999999998">
      <c r="Q39" s="803"/>
      <c r="R39" s="888"/>
      <c r="S39" s="2785"/>
      <c r="T39" s="2721"/>
      <c r="U39" s="1543"/>
      <c r="V39" s="2852" t="str">
        <f>IF($AD$39&lt;&gt;"",$AD$39,"")</f>
        <v/>
      </c>
      <c r="W39" s="2852"/>
      <c r="X39" s="2807"/>
      <c r="Y39" s="2827"/>
      <c r="Z39" s="2827"/>
      <c r="AA39" s="2721"/>
      <c r="AB39" s="2720"/>
      <c r="AC39" s="2720"/>
      <c r="AD39" s="2868"/>
      <c r="AE39" s="2851"/>
      <c r="AF39" s="2827"/>
      <c r="AG39" s="2827"/>
      <c r="AH39" s="2828"/>
      <c r="AI39" s="2790"/>
      <c r="AJ39" s="2793"/>
      <c r="AK39" s="2639"/>
      <c r="AQ39" s="2143">
        <v>14</v>
      </c>
    </row>
    <row customHeight="1" ht="14.699999999999998">
      <c r="A40" s="1778"/>
      <c r="B40" s="1778" t="s">
        <v>191</v>
      </c>
      <c r="C40" s="1778" t="s">
        <v>192</v>
      </c>
      <c r="D40" s="1778" t="s">
        <v>193</v>
      </c>
      <c r="E40" s="1822" t="s">
        <v>553</v>
      </c>
      <c r="F40" s="1822" t="s">
        <v>554</v>
      </c>
      <c r="G40" s="1822" t="s">
        <v>555</v>
      </c>
      <c r="H40" s="1822" t="s">
        <v>556</v>
      </c>
      <c r="I40" s="1822" t="s">
        <v>557</v>
      </c>
      <c r="J40" s="1822" t="s">
        <v>558</v>
      </c>
      <c r="K40" s="1822" t="s">
        <v>559</v>
      </c>
      <c r="L40" s="1822" t="s">
        <v>534</v>
      </c>
      <c r="Q40" s="803"/>
      <c r="R40" s="888"/>
      <c r="S40" s="2785"/>
      <c r="T40" s="2721"/>
      <c r="U40" s="814"/>
      <c r="V40" s="2462" t="s">
        <v>593</v>
      </c>
      <c r="W40" s="2462" t="s">
        <v>594</v>
      </c>
      <c r="X40" s="2450" t="s">
        <v>562</v>
      </c>
      <c r="Y40" s="2782" t="s">
        <v>563</v>
      </c>
      <c r="Z40" s="2832"/>
      <c r="AA40" s="2721"/>
      <c r="AB40" s="2720"/>
      <c r="AC40" s="2720"/>
      <c r="AD40" s="2480" t="s">
        <v>593</v>
      </c>
      <c r="AE40" s="2471" t="s">
        <v>594</v>
      </c>
      <c r="AF40" s="2450" t="s">
        <v>562</v>
      </c>
      <c r="AG40" s="2782" t="s">
        <v>563</v>
      </c>
      <c r="AH40" s="2783"/>
      <c r="AI40" s="2791"/>
      <c r="AJ40" s="2794"/>
      <c r="AK40" s="2639"/>
      <c r="AQ40" s="2143">
        <v>14</v>
      </c>
    </row>
    <row s="47496" customFormat="1" customHeight="1" ht="11.25" hidden="1">
      <c r="A41" s="1778"/>
      <c r="B41" s="1778"/>
      <c r="C41" s="1778"/>
      <c r="D41" s="1778"/>
      <c r="E41" s="1778"/>
      <c r="F41" s="1778"/>
      <c r="G41" s="1778"/>
      <c r="H41" s="1778"/>
      <c r="I41" s="1778"/>
      <c r="J41" s="1778"/>
      <c r="K41" s="1778"/>
      <c r="L41" s="1822"/>
      <c r="M41" s="2477"/>
      <c r="N41" s="2477"/>
      <c r="O41" s="2477"/>
      <c r="P41" s="1022"/>
      <c r="Q41" s="1766"/>
      <c r="R41" s="1766">
        <v>1</v>
      </c>
      <c r="S41" s="1789" t="s">
        <v>101</v>
      </c>
      <c r="T41" s="1767" t="s">
        <v>105</v>
      </c>
      <c r="U41" s="1757" t="str">
        <f>OFFSET(U41,0,-1)</f>
        <v>2</v>
      </c>
      <c r="V41" s="2468">
        <f>OFFSET(V41,0,-1)+1</f>
        <v>3</v>
      </c>
      <c r="W41" s="2468">
        <f>OFFSET(W41,0,-1)+1</f>
        <v>4</v>
      </c>
      <c r="X41" s="2468">
        <f>OFFSET(X41,0,-1)+1</f>
        <v>5</v>
      </c>
      <c r="Y41" s="2784">
        <f>OFFSET(Y41,0,-1)+1</f>
        <v>6</v>
      </c>
      <c r="Z41" s="2784"/>
      <c r="AA41" s="1853">
        <f>OFFSET(AA41,0,-2)+1</f>
        <v>7</v>
      </c>
      <c r="AB41" s="1853"/>
      <c r="AC41" s="1853"/>
      <c r="AD41" s="2468">
        <f>OFFSET(AD41,0,-1)+1</f>
        <v>1</v>
      </c>
      <c r="AE41" s="2468">
        <f>OFFSET(AE41,0,-1)+1</f>
        <v>2</v>
      </c>
      <c r="AF41" s="2468">
        <f>OFFSET(AF41,0,-1)+1</f>
        <v>3</v>
      </c>
      <c r="AG41" s="2784">
        <f>OFFSET(AG41,0,-1)+1</f>
        <v>4</v>
      </c>
      <c r="AH41" s="2784"/>
      <c r="AI41" s="2468">
        <f>OFFSET(AI41,0,-2)+1</f>
        <v>5</v>
      </c>
      <c r="AJ41" s="1757">
        <f>OFFSET(AJ41,0,-1)</f>
        <v>5</v>
      </c>
      <c r="AK41" s="2468">
        <f>OFFSET(AK41,0,-1)+1</f>
        <v>6</v>
      </c>
      <c r="AL41" s="2148"/>
      <c r="AM41" s="2148"/>
      <c r="AN41" s="2148"/>
      <c r="AO41" s="2148"/>
      <c r="AP41" s="2148"/>
      <c r="AQ41" s="2153">
        <v>0</v>
      </c>
    </row>
    <row customHeight="1" ht="107.25">
      <c r="A42" s="1779" t="s">
        <v>255</v>
      </c>
      <c r="B42" s="1779"/>
      <c r="C42" s="1779"/>
      <c r="D42" s="1779"/>
      <c r="E42" s="2801">
        <v>1</v>
      </c>
      <c r="F42" s="1779"/>
      <c r="G42" s="1779"/>
      <c r="H42" s="1779"/>
      <c r="I42" s="1779"/>
      <c r="J42" s="1779"/>
      <c r="K42" s="1779"/>
      <c r="L42" s="1822"/>
      <c r="M42" s="2122"/>
      <c r="N42" s="2122"/>
      <c r="O42" s="2122"/>
      <c r="P42" s="1921"/>
      <c r="Q42" s="1385"/>
      <c r="R42" s="867"/>
      <c r="S42" s="2470">
        <f>INDEX(PT_DIFFERENTIATION_NUM_NTAR,MATCH(A42,PT_DIFFERENTIATION_NTAR_ID,0))</f>
        <v>0</v>
      </c>
      <c r="T42" s="2037" t="s">
        <v>179</v>
      </c>
      <c r="U42" s="812"/>
      <c r="V42" s="2755"/>
      <c r="W42" s="2755"/>
      <c r="X42" s="2755"/>
      <c r="Y42" s="2755"/>
      <c r="Z42" s="2755"/>
      <c r="AA42" s="2756"/>
      <c r="AB42" s="2464"/>
      <c r="AC42" s="2755" t="str">
        <f>INDEX(PT_DIFFERENTIATION_NTAR,MATCH(A42,PT_DIFFERENTIATION_NTAR_ID,0))</f>
        <v/>
      </c>
      <c r="AD42" s="2755"/>
      <c r="AE42" s="2755"/>
      <c r="AF42" s="2755"/>
      <c r="AG42" s="2755"/>
      <c r="AH42" s="2755"/>
      <c r="AI42" s="2755"/>
      <c r="AJ42" s="2756"/>
      <c r="AK42" s="1770"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2136"/>
      <c r="AN42" s="2136" t="str">
        <f>IF(T42="","",T42)</f>
        <v>Наименование тарифа</v>
      </c>
      <c r="AO42" s="2136"/>
      <c r="AP42" s="2136"/>
      <c r="AQ42" s="2143">
        <v>102</v>
      </c>
    </row>
    <row customHeight="1" ht="22.049999999999997">
      <c r="A43" s="1779" t="s">
        <v>255</v>
      </c>
      <c r="B43" s="1779" t="s">
        <v>256</v>
      </c>
      <c r="C43" s="1779"/>
      <c r="D43" s="1779"/>
      <c r="E43" s="2802"/>
      <c r="F43" s="2801">
        <v>1</v>
      </c>
      <c r="G43" s="1779"/>
      <c r="H43" s="1779"/>
      <c r="I43" s="1779"/>
      <c r="J43" s="1779"/>
      <c r="K43" s="1779"/>
      <c r="L43" s="1822"/>
      <c r="M43" s="2122"/>
      <c r="N43" s="2122"/>
      <c r="O43" s="2122"/>
      <c r="P43" s="2481"/>
      <c r="Q43" s="1923"/>
      <c r="R43" s="865"/>
      <c r="S43" s="2470" t="str">
        <f>INDEX(PT_DIFFERENTIATION_NUM_TER,MATCH(B43,PT_DIFFERENTIATION_TER_ID,0))</f>
        <v>.</v>
      </c>
      <c r="T43" s="2034" t="s">
        <v>515</v>
      </c>
      <c r="U43" s="812"/>
      <c r="V43" s="2755"/>
      <c r="W43" s="2755"/>
      <c r="X43" s="2755"/>
      <c r="Y43" s="2755"/>
      <c r="Z43" s="2755"/>
      <c r="AA43" s="2756"/>
      <c r="AB43" s="2464"/>
      <c r="AC43" s="2755" t="str">
        <f>INDEX(PT_DIFFERENTIATION_TER,MATCH(B43,PT_DIFFERENTIATION_TER_ID,0))</f>
        <v/>
      </c>
      <c r="AD43" s="2755"/>
      <c r="AE43" s="2755"/>
      <c r="AF43" s="2755"/>
      <c r="AG43" s="2755"/>
      <c r="AH43" s="2755"/>
      <c r="AI43" s="2755"/>
      <c r="AJ43" s="2756"/>
      <c r="AK43" s="1770" t="s">
        <v>516</v>
      </c>
      <c r="AM43" s="2136"/>
      <c r="AN43" s="2136" t="str">
        <f>IF(T43="","",T43)</f>
        <v>Территория действия тарифа</v>
      </c>
      <c r="AO43" s="2136"/>
      <c r="AP43" s="2136"/>
      <c r="AQ43" s="2143">
        <v>21</v>
      </c>
    </row>
    <row customHeight="1" ht="24">
      <c r="A44" s="1779" t="s">
        <v>255</v>
      </c>
      <c r="B44" s="1779" t="s">
        <v>256</v>
      </c>
      <c r="C44" s="1779" t="s">
        <v>257</v>
      </c>
      <c r="D44" s="1779"/>
      <c r="E44" s="2802"/>
      <c r="F44" s="2802"/>
      <c r="G44" s="2801">
        <v>1</v>
      </c>
      <c r="H44" s="1779"/>
      <c r="I44" s="1779"/>
      <c r="J44" s="1779"/>
      <c r="K44" s="1779"/>
      <c r="L44" s="1822"/>
      <c r="M44" s="2122"/>
      <c r="N44" s="2122"/>
      <c r="O44" s="2122"/>
      <c r="P44" s="1924"/>
      <c r="Q44" s="1923"/>
      <c r="R44" s="865"/>
      <c r="S44" s="2470" t="str">
        <f>INDEX(PT_DIFFERENTIATION_NUM_CS,MATCH(C44,PT_DIFFERENTIATION_CS_ID,0))</f>
        <v>..</v>
      </c>
      <c r="T44" s="821" t="s">
        <v>517</v>
      </c>
      <c r="U44" s="812"/>
      <c r="V44" s="2755"/>
      <c r="W44" s="2755"/>
      <c r="X44" s="2755"/>
      <c r="Y44" s="2755"/>
      <c r="Z44" s="2755"/>
      <c r="AA44" s="2756"/>
      <c r="AB44" s="2464"/>
      <c r="AC44" s="2755" t="str">
        <f>INDEX(PT_DIFFERENTIATION_CS,MATCH(C44,PT_DIFFERENTIATION_CS_ID,0))</f>
        <v/>
      </c>
      <c r="AD44" s="2755"/>
      <c r="AE44" s="2755"/>
      <c r="AF44" s="2755"/>
      <c r="AG44" s="2755"/>
      <c r="AH44" s="2755"/>
      <c r="AI44" s="2755"/>
      <c r="AJ44" s="2756"/>
      <c r="AK44" s="1770" t="s">
        <v>518</v>
      </c>
      <c r="AM44" s="2136"/>
      <c r="AN44" s="2136" t="str">
        <f>IF(T44="","",T44)</f>
        <v>Наименование системы теплоснабжения </v>
      </c>
      <c r="AO44" s="2136"/>
      <c r="AP44" s="2136"/>
      <c r="AQ44" s="2143">
        <v>23</v>
      </c>
    </row>
    <row customHeight="1" ht="22.049999999999997">
      <c r="A45" s="1779" t="s">
        <v>255</v>
      </c>
      <c r="B45" s="1779" t="s">
        <v>256</v>
      </c>
      <c r="C45" s="1779" t="s">
        <v>257</v>
      </c>
      <c r="D45" s="1779" t="s">
        <v>258</v>
      </c>
      <c r="E45" s="2802"/>
      <c r="F45" s="2802"/>
      <c r="G45" s="2802"/>
      <c r="H45" s="2801">
        <v>1</v>
      </c>
      <c r="I45" s="1779"/>
      <c r="J45" s="1779"/>
      <c r="K45" s="1779"/>
      <c r="L45" s="1822"/>
      <c r="M45" s="2122"/>
      <c r="N45" s="2122"/>
      <c r="O45" s="2122"/>
      <c r="P45" s="1924"/>
      <c r="Q45" s="1923"/>
      <c r="R45" s="865"/>
      <c r="S45" s="2470" t="str">
        <f>INDEX(PT_DIFFERENTIATION_NUM_IST_TE,MATCH(D45,PT_DIFFERENTIATION_IST_TE_ID,0))</f>
        <v>...</v>
      </c>
      <c r="T45" s="822" t="s">
        <v>519</v>
      </c>
      <c r="U45" s="812"/>
      <c r="V45" s="2755"/>
      <c r="W45" s="2755"/>
      <c r="X45" s="2755"/>
      <c r="Y45" s="2755"/>
      <c r="Z45" s="2755"/>
      <c r="AA45" s="2756"/>
      <c r="AB45" s="2464"/>
      <c r="AC45" s="2755" t="str">
        <f>INDEX(PT_DIFFERENTIATION_IST_TE,MATCH(D45,PT_DIFFERENTIATION_IST_TE_ID,0))</f>
        <v/>
      </c>
      <c r="AD45" s="2755"/>
      <c r="AE45" s="2755"/>
      <c r="AF45" s="2755"/>
      <c r="AG45" s="2755"/>
      <c r="AH45" s="2755"/>
      <c r="AI45" s="2755"/>
      <c r="AJ45" s="2756"/>
      <c r="AK45" s="1770" t="s">
        <v>520</v>
      </c>
      <c r="AM45" s="2136"/>
      <c r="AN45" s="2136" t="str">
        <f>IF(T45="","",T45)</f>
        <v>Источник тепловой энергии  </v>
      </c>
      <c r="AO45" s="2136"/>
      <c r="AP45" s="2136"/>
      <c r="AQ45" s="2143">
        <v>21</v>
      </c>
    </row>
    <row s="46890" customFormat="1" customHeight="1" ht="0">
      <c r="A46" s="1887" t="s">
        <v>255</v>
      </c>
      <c r="B46" s="1887" t="s">
        <v>256</v>
      </c>
      <c r="C46" s="1887" t="s">
        <v>257</v>
      </c>
      <c r="D46" s="1887" t="s">
        <v>258</v>
      </c>
      <c r="E46" s="2802"/>
      <c r="F46" s="2802"/>
      <c r="G46" s="2802"/>
      <c r="H46" s="2802"/>
      <c r="I46" s="2639" t="str">
        <f>S45&amp;".1"</f>
        <v>....1</v>
      </c>
      <c r="J46" s="1887"/>
      <c r="K46" s="1887"/>
      <c r="L46" s="1893" t="s">
        <v>521</v>
      </c>
      <c r="M46" s="1758"/>
      <c r="N46" s="1758"/>
      <c r="O46" s="1758"/>
      <c r="P46" s="2769">
        <v>1</v>
      </c>
      <c r="Q46" s="2466"/>
      <c r="R46" s="868"/>
      <c r="S46" s="1554"/>
      <c r="T46" s="1895"/>
      <c r="U46" s="1896"/>
      <c r="V46" s="2809"/>
      <c r="W46" s="2809"/>
      <c r="X46" s="2809"/>
      <c r="Y46" s="2809"/>
      <c r="Z46" s="2809"/>
      <c r="AA46" s="2810"/>
      <c r="AB46" s="2472"/>
      <c r="AC46" s="2809"/>
      <c r="AD46" s="2809"/>
      <c r="AE46" s="2809"/>
      <c r="AF46" s="2809"/>
      <c r="AG46" s="2809"/>
      <c r="AH46" s="2809"/>
      <c r="AI46" s="2809"/>
      <c r="AJ46" s="2810"/>
      <c r="AK46" s="1897"/>
      <c r="AM46" s="2136"/>
      <c r="AN46" s="2136" t="str">
        <f>IF(T46="","",T46)</f>
        <v/>
      </c>
      <c r="AO46" s="2136"/>
      <c r="AP46" s="2136"/>
      <c r="AQ46" s="2148">
        <v>0</v>
      </c>
    </row>
    <row s="46890" customFormat="1" customHeight="1" ht="0">
      <c r="A47" s="1887" t="s">
        <v>255</v>
      </c>
      <c r="B47" s="1887" t="s">
        <v>256</v>
      </c>
      <c r="C47" s="1887" t="s">
        <v>257</v>
      </c>
      <c r="D47" s="1887" t="s">
        <v>258</v>
      </c>
      <c r="E47" s="2802"/>
      <c r="F47" s="2802"/>
      <c r="G47" s="2802"/>
      <c r="H47" s="2802"/>
      <c r="I47" s="2613"/>
      <c r="J47" s="2639" t="str">
        <f>S45&amp;".1"</f>
        <v>....1</v>
      </c>
      <c r="K47" s="1887"/>
      <c r="L47" s="1893"/>
      <c r="M47" s="1758"/>
      <c r="N47" s="1758"/>
      <c r="O47" s="1758"/>
      <c r="P47" s="2769"/>
      <c r="Q47" s="2769">
        <v>1</v>
      </c>
      <c r="R47" s="869"/>
      <c r="S47" s="1554"/>
      <c r="T47" s="1911"/>
      <c r="U47" s="1896"/>
      <c r="V47" s="2809"/>
      <c r="W47" s="2809"/>
      <c r="X47" s="2809"/>
      <c r="Y47" s="2809"/>
      <c r="Z47" s="2809"/>
      <c r="AA47" s="2810"/>
      <c r="AB47" s="2472"/>
      <c r="AC47" s="2809"/>
      <c r="AD47" s="2809"/>
      <c r="AE47" s="2809"/>
      <c r="AF47" s="2809"/>
      <c r="AG47" s="2809"/>
      <c r="AH47" s="2809"/>
      <c r="AI47" s="2809"/>
      <c r="AJ47" s="2810"/>
      <c r="AK47" s="1897"/>
      <c r="AM47" s="2136"/>
      <c r="AN47" s="2136" t="str">
        <f>IF(T47="","",T47)</f>
        <v/>
      </c>
      <c r="AO47" s="2136"/>
      <c r="AP47" s="2136"/>
      <c r="AQ47" s="2148">
        <v>0</v>
      </c>
    </row>
    <row customHeight="1" ht="22.049999999999997">
      <c r="A48" s="1779" t="s">
        <v>255</v>
      </c>
      <c r="B48" s="1779" t="s">
        <v>256</v>
      </c>
      <c r="C48" s="1779" t="s">
        <v>257</v>
      </c>
      <c r="D48" s="1779" t="s">
        <v>258</v>
      </c>
      <c r="E48" s="2802"/>
      <c r="F48" s="2802"/>
      <c r="G48" s="2802"/>
      <c r="H48" s="2802"/>
      <c r="I48" s="2613"/>
      <c r="J48" s="2613"/>
      <c r="K48" s="2453" t="str">
        <f>S45&amp;".1"</f>
        <v>....1</v>
      </c>
      <c r="L48" s="1822"/>
      <c r="P48" s="2769"/>
      <c r="Q48" s="2769"/>
      <c r="R48" s="869">
        <v>1</v>
      </c>
      <c r="S48" s="2474" t="str">
        <f>$K48</f>
        <v>....1</v>
      </c>
      <c r="T48" s="2473"/>
      <c r="U48" s="812"/>
      <c r="V48" s="1263"/>
      <c r="W48" s="1769"/>
      <c r="X48" s="2467"/>
      <c r="Y48" s="2454" t="s">
        <v>63</v>
      </c>
      <c r="Z48" s="2467"/>
      <c r="AA48" s="2454" t="s">
        <v>63</v>
      </c>
      <c r="AB48" s="2476"/>
      <c r="AC48" s="2475" t="s">
        <v>28</v>
      </c>
      <c r="AD48" s="1263"/>
      <c r="AE48" s="1769"/>
      <c r="AF48" s="2467"/>
      <c r="AG48" s="2454" t="s">
        <v>63</v>
      </c>
      <c r="AH48" s="2467"/>
      <c r="AI48" s="2454" t="s">
        <v>63</v>
      </c>
      <c r="AJ48" s="1860"/>
      <c r="AK48" s="2765" t="s">
        <v>595</v>
      </c>
      <c r="AL48" s="2148">
        <f>STRCHECKDATE(#REF!)</f>
      </c>
      <c r="AM48" s="2136"/>
      <c r="AN48" s="2136" t="str">
        <f>IF(T48="","",T48)</f>
        <v/>
      </c>
      <c r="AO48" s="2136"/>
      <c r="AP48" s="2136"/>
      <c r="AQ48" s="2143">
        <v>21</v>
      </c>
    </row>
    <row customHeight="1" ht="11.549999999999999">
      <c r="A49" s="1779" t="s">
        <v>255</v>
      </c>
      <c r="B49" s="1779" t="s">
        <v>256</v>
      </c>
      <c r="C49" s="1779" t="s">
        <v>257</v>
      </c>
      <c r="D49" s="1779" t="s">
        <v>258</v>
      </c>
      <c r="E49" s="2802"/>
      <c r="F49" s="2802"/>
      <c r="G49" s="2802"/>
      <c r="H49" s="2802"/>
      <c r="I49" s="2613"/>
      <c r="J49" s="2639"/>
      <c r="K49" s="1779"/>
      <c r="L49" s="1822"/>
      <c r="P49" s="2769"/>
      <c r="Q49" s="2769"/>
      <c r="R49" s="868"/>
      <c r="S49" s="1790"/>
      <c r="T49" s="799" t="s">
        <v>583</v>
      </c>
      <c r="U49" s="1112"/>
      <c r="V49" s="1112"/>
      <c r="W49" s="1112"/>
      <c r="X49" s="1112"/>
      <c r="Y49" s="1112"/>
      <c r="Z49" s="1112"/>
      <c r="AA49" s="836"/>
      <c r="AB49" s="1112"/>
      <c r="AC49" s="1112"/>
      <c r="AD49" s="1112"/>
      <c r="AE49" s="1112"/>
      <c r="AF49" s="1112"/>
      <c r="AG49" s="1112"/>
      <c r="AH49" s="1112"/>
      <c r="AI49" s="1112"/>
      <c r="AJ49" s="836"/>
      <c r="AK49" s="2767"/>
      <c r="AM49" s="2136"/>
      <c r="AN49" s="2136" t="str">
        <f>IF(T49="","",T49)</f>
        <v>Добавить строку</v>
      </c>
      <c r="AO49" s="2136"/>
      <c r="AP49" s="2136"/>
      <c r="AQ49" s="2143">
        <v>11</v>
      </c>
    </row>
    <row s="46890" customFormat="1" customHeight="1" ht="1.05">
      <c r="A50" s="1887" t="s">
        <v>255</v>
      </c>
      <c r="B50" s="1887" t="s">
        <v>256</v>
      </c>
      <c r="C50" s="1887" t="s">
        <v>257</v>
      </c>
      <c r="D50" s="1887" t="s">
        <v>258</v>
      </c>
      <c r="E50" s="2802"/>
      <c r="F50" s="2802"/>
      <c r="G50" s="2802"/>
      <c r="H50" s="2802"/>
      <c r="I50" s="2639"/>
      <c r="J50" s="1887"/>
      <c r="K50" s="1887"/>
      <c r="L50" s="1893"/>
      <c r="M50" s="1758"/>
      <c r="N50" s="1758"/>
      <c r="O50" s="1758"/>
      <c r="P50" s="2769"/>
      <c r="Q50" s="2466"/>
      <c r="R50" s="868"/>
      <c r="S50" s="1898"/>
      <c r="T50" s="1899" t="s">
        <v>530</v>
      </c>
      <c r="U50" s="1900"/>
      <c r="V50" s="1900"/>
      <c r="W50" s="1900"/>
      <c r="X50" s="1900"/>
      <c r="Y50" s="1900"/>
      <c r="Z50" s="1900"/>
      <c r="AA50" s="1900"/>
      <c r="AB50" s="1900"/>
      <c r="AC50" s="1900"/>
      <c r="AD50" s="1900"/>
      <c r="AE50" s="1900"/>
      <c r="AF50" s="1900"/>
      <c r="AG50" s="1900"/>
      <c r="AH50" s="1900"/>
      <c r="AI50" s="1900"/>
      <c r="AJ50" s="1900"/>
      <c r="AK50" s="1901"/>
      <c r="AM50" s="2136"/>
      <c r="AN50" s="2136" t="str">
        <f>IF(T50="","",T50)</f>
        <v>Добавить группу потребителей</v>
      </c>
      <c r="AO50" s="2136"/>
      <c r="AP50" s="2136"/>
      <c r="AQ50" s="2148">
        <v>1</v>
      </c>
    </row>
    <row s="47496" customFormat="1" customHeight="1" ht="1.05">
      <c r="A51" s="1887" t="s">
        <v>255</v>
      </c>
      <c r="B51" s="1887" t="s">
        <v>256</v>
      </c>
      <c r="C51" s="1887" t="s">
        <v>257</v>
      </c>
      <c r="D51" s="1887" t="s">
        <v>258</v>
      </c>
      <c r="E51" s="2802"/>
      <c r="F51" s="2802"/>
      <c r="G51" s="2802"/>
      <c r="H51" s="2801"/>
      <c r="I51" s="1887"/>
      <c r="J51" s="1887"/>
      <c r="K51" s="1887"/>
      <c r="L51" s="1893"/>
      <c r="M51" s="1890"/>
      <c r="N51" s="1890"/>
      <c r="O51" s="863"/>
      <c r="P51" s="892"/>
      <c r="Q51" s="1856"/>
      <c r="R51" s="1912"/>
      <c r="S51" s="1898"/>
      <c r="T51" s="1899"/>
      <c r="U51" s="1900"/>
      <c r="V51" s="1900"/>
      <c r="W51" s="1900"/>
      <c r="X51" s="1900"/>
      <c r="Y51" s="1900"/>
      <c r="Z51" s="1900"/>
      <c r="AA51" s="1900"/>
      <c r="AB51" s="1900"/>
      <c r="AC51" s="1900"/>
      <c r="AD51" s="1900"/>
      <c r="AE51" s="1900"/>
      <c r="AF51" s="1900"/>
      <c r="AG51" s="1900"/>
      <c r="AH51" s="1900"/>
      <c r="AI51" s="1900"/>
      <c r="AJ51" s="1900"/>
      <c r="AK51" s="1901"/>
      <c r="AL51" s="2148"/>
      <c r="AM51" s="2136"/>
      <c r="AN51" s="2136" t="str">
        <f>IF(T51="","",T51)</f>
        <v/>
      </c>
      <c r="AO51" s="2136"/>
      <c r="AP51" s="2136"/>
      <c r="AQ51" s="2153">
        <v>1</v>
      </c>
    </row>
    <row s="46890" customFormat="1" customHeight="1" ht="1.05">
      <c r="A52" s="1887" t="s">
        <v>255</v>
      </c>
      <c r="B52" s="1887" t="s">
        <v>256</v>
      </c>
      <c r="C52" s="1887" t="s">
        <v>257</v>
      </c>
      <c r="D52" s="1886"/>
      <c r="E52" s="2802"/>
      <c r="F52" s="2802"/>
      <c r="G52" s="2801"/>
      <c r="H52" s="1886"/>
      <c r="I52" s="1886"/>
      <c r="J52" s="1886"/>
      <c r="K52" s="1886"/>
      <c r="L52" s="1889"/>
      <c r="M52" s="1890"/>
      <c r="N52" s="1890"/>
      <c r="O52" s="863"/>
      <c r="P52" s="1828"/>
      <c r="Q52" s="1829"/>
      <c r="R52" s="1828"/>
      <c r="S52" s="1834"/>
      <c r="T52" s="1837" t="s">
        <v>532</v>
      </c>
      <c r="U52" s="1836"/>
      <c r="V52" s="1836"/>
      <c r="W52" s="1836"/>
      <c r="X52" s="1836"/>
      <c r="Y52" s="1836"/>
      <c r="Z52" s="1836"/>
      <c r="AA52" s="1836"/>
      <c r="AB52" s="1836"/>
      <c r="AC52" s="1836"/>
      <c r="AD52" s="1836"/>
      <c r="AE52" s="1836"/>
      <c r="AF52" s="1836"/>
      <c r="AG52" s="1836"/>
      <c r="AH52" s="1836"/>
      <c r="AI52" s="1836"/>
      <c r="AJ52" s="1836"/>
      <c r="AK52" s="1836"/>
      <c r="AM52" s="1763"/>
      <c r="AN52" s="1763" t="str">
        <f>IF(T52="","",T52)</f>
        <v>Добавить источник для дифференциации</v>
      </c>
      <c r="AO52" s="1763"/>
      <c r="AP52" s="1763"/>
      <c r="AQ52" s="2154">
        <v>1</v>
      </c>
    </row>
    <row s="46890" customFormat="1" customHeight="1" ht="1.05">
      <c r="A53" s="1887" t="s">
        <v>255</v>
      </c>
      <c r="B53" s="1887" t="s">
        <v>256</v>
      </c>
      <c r="C53" s="1886"/>
      <c r="D53" s="1886"/>
      <c r="E53" s="2802"/>
      <c r="F53" s="2801"/>
      <c r="G53" s="1886"/>
      <c r="H53" s="1886"/>
      <c r="I53" s="1886"/>
      <c r="J53" s="1886"/>
      <c r="K53" s="1886"/>
      <c r="L53" s="1889"/>
      <c r="M53" s="1891"/>
      <c r="N53" s="1891"/>
      <c r="O53" s="863"/>
      <c r="P53" s="1828"/>
      <c r="Q53" s="1829"/>
      <c r="R53" s="1828"/>
      <c r="S53" s="1834"/>
      <c r="T53" s="1837" t="s">
        <v>321</v>
      </c>
      <c r="U53" s="1836"/>
      <c r="V53" s="1836"/>
      <c r="W53" s="1836"/>
      <c r="X53" s="1836"/>
      <c r="Y53" s="1836"/>
      <c r="Z53" s="1836"/>
      <c r="AA53" s="1836"/>
      <c r="AB53" s="1836"/>
      <c r="AC53" s="1836"/>
      <c r="AD53" s="1836"/>
      <c r="AE53" s="1836"/>
      <c r="AF53" s="1836"/>
      <c r="AG53" s="1836"/>
      <c r="AH53" s="1836"/>
      <c r="AI53" s="1836"/>
      <c r="AJ53" s="1836"/>
      <c r="AK53" s="1836"/>
      <c r="AM53" s="1763"/>
      <c r="AN53" s="1763" t="str">
        <f>IF(T53="","",T53)</f>
        <v>Добавить централизованную систему для дифференциации</v>
      </c>
      <c r="AO53" s="1763"/>
      <c r="AP53" s="1763"/>
      <c r="AQ53" s="2154">
        <v>1</v>
      </c>
    </row>
    <row s="46890" customFormat="1" customHeight="1" ht="1.05">
      <c r="A54" s="1887" t="s">
        <v>255</v>
      </c>
      <c r="B54" s="1887"/>
      <c r="C54" s="1887"/>
      <c r="D54" s="1887"/>
      <c r="E54" s="2802"/>
      <c r="F54" s="1887"/>
      <c r="G54" s="1887"/>
      <c r="H54" s="1887"/>
      <c r="I54" s="1887"/>
      <c r="J54" s="1887"/>
      <c r="K54" s="1887"/>
      <c r="L54" s="1893"/>
      <c r="M54" s="1891"/>
      <c r="N54" s="1891"/>
      <c r="O54" s="863"/>
      <c r="P54" s="892"/>
      <c r="Q54" s="1856"/>
      <c r="R54" s="892"/>
      <c r="S54" s="1834"/>
      <c r="T54" s="1837" t="s">
        <v>385</v>
      </c>
      <c r="U54" s="1836"/>
      <c r="V54" s="1836"/>
      <c r="W54" s="1836"/>
      <c r="X54" s="1836"/>
      <c r="Y54" s="1836"/>
      <c r="Z54" s="1836"/>
      <c r="AA54" s="1836"/>
      <c r="AB54" s="1836"/>
      <c r="AC54" s="1836"/>
      <c r="AD54" s="1836"/>
      <c r="AE54" s="1836"/>
      <c r="AF54" s="1836"/>
      <c r="AG54" s="1836"/>
      <c r="AH54" s="1836"/>
      <c r="AI54" s="1836"/>
      <c r="AJ54" s="1836"/>
      <c r="AK54" s="1836"/>
      <c r="AM54" s="2136"/>
      <c r="AN54" s="2136" t="str">
        <f>IF(T54="","",T54)</f>
        <v>Добавить территорию для дифференциации</v>
      </c>
      <c r="AO54" s="2136"/>
      <c r="AP54" s="2136"/>
      <c r="AQ54" s="2148">
        <v>1</v>
      </c>
    </row>
    <row s="46890" customFormat="1" customHeight="1" ht="1.05">
      <c r="A55" s="1887" t="s">
        <v>255</v>
      </c>
      <c r="B55" s="1887"/>
      <c r="C55" s="1887"/>
      <c r="D55" s="1887"/>
      <c r="E55" s="2801"/>
      <c r="F55" s="1887"/>
      <c r="G55" s="1887"/>
      <c r="H55" s="1887"/>
      <c r="I55" s="1887"/>
      <c r="J55" s="1887"/>
      <c r="K55" s="1887"/>
      <c r="L55" s="1893"/>
      <c r="M55" s="1891"/>
      <c r="N55" s="1891"/>
      <c r="O55" s="863"/>
      <c r="P55" s="892"/>
      <c r="Q55" s="1856"/>
      <c r="R55" s="892"/>
      <c r="S55" s="1834"/>
      <c r="T55" s="1837" t="s">
        <v>385</v>
      </c>
      <c r="U55" s="1836"/>
      <c r="V55" s="1836"/>
      <c r="W55" s="1836"/>
      <c r="X55" s="1836"/>
      <c r="Y55" s="1836"/>
      <c r="Z55" s="1836"/>
      <c r="AA55" s="1836"/>
      <c r="AB55" s="1836"/>
      <c r="AC55" s="1836"/>
      <c r="AD55" s="1836"/>
      <c r="AE55" s="1836"/>
      <c r="AF55" s="1836"/>
      <c r="AG55" s="1836"/>
      <c r="AH55" s="1836"/>
      <c r="AI55" s="1836"/>
      <c r="AJ55" s="1836"/>
      <c r="AK55" s="1836"/>
      <c r="AM55" s="2136"/>
      <c r="AN55" s="2136" t="str">
        <f>IF(T55="","",T55)</f>
        <v>Добавить территорию для дифференциации</v>
      </c>
      <c r="AO55" s="2136"/>
      <c r="AP55" s="2136"/>
      <c r="AQ55" s="2148">
        <v>1</v>
      </c>
    </row>
    <row s="46890" customFormat="1" customHeight="1" ht="1.05">
      <c r="A56" s="1886"/>
      <c r="B56" s="1886"/>
      <c r="C56" s="1886"/>
      <c r="D56" s="1886"/>
      <c r="E56" s="1887"/>
      <c r="F56" s="1886"/>
      <c r="G56" s="1886"/>
      <c r="H56" s="1886"/>
      <c r="I56" s="1886"/>
      <c r="J56" s="1886"/>
      <c r="K56" s="1886"/>
      <c r="L56" s="1889"/>
      <c r="M56" s="1891"/>
      <c r="N56" s="1891"/>
      <c r="O56" s="863"/>
      <c r="P56" s="1828"/>
      <c r="Q56" s="1829"/>
      <c r="R56" s="1828"/>
      <c r="S56" s="1834"/>
      <c r="T56" s="1837" t="s">
        <v>386</v>
      </c>
      <c r="U56" s="1836"/>
      <c r="V56" s="1836"/>
      <c r="W56" s="1836"/>
      <c r="X56" s="1836"/>
      <c r="Y56" s="1836"/>
      <c r="Z56" s="1836"/>
      <c r="AA56" s="1836"/>
      <c r="AB56" s="1836"/>
      <c r="AC56" s="1836"/>
      <c r="AD56" s="1836"/>
      <c r="AE56" s="1836"/>
      <c r="AF56" s="1836"/>
      <c r="AG56" s="1836"/>
      <c r="AH56" s="1836"/>
      <c r="AI56" s="1836"/>
      <c r="AJ56" s="1836"/>
      <c r="AK56" s="1836"/>
      <c r="AM56" s="1763"/>
      <c r="AN56" s="1763" t="str">
        <f>IF(T56="","",T56)</f>
        <v>Добавить наименование тарифа</v>
      </c>
      <c r="AO56" s="1763"/>
      <c r="AP56" s="1763"/>
      <c r="AQ56" s="2154">
        <v>1</v>
      </c>
    </row>
    <row customHeight="1" ht="11.549999999999999">
      <c r="M57" s="2143"/>
      <c r="N57" s="2143"/>
      <c r="O57" s="2147"/>
      <c r="P57" s="1878"/>
      <c r="Q57" s="1878"/>
      <c r="R57" s="2143"/>
      <c r="S57" s="2143"/>
      <c r="AL57" s="2143"/>
      <c r="AM57" s="2143"/>
      <c r="AN57" s="2143"/>
      <c r="AO57" s="2143"/>
      <c r="AP57" s="2143"/>
      <c r="AQ57" s="2143">
        <v>11</v>
      </c>
    </row>
    <row customHeight="1" ht="19.95">
      <c r="O58" s="2147"/>
      <c r="S58" s="1765"/>
      <c r="T58" s="2797"/>
      <c r="U58" s="2797"/>
      <c r="V58" s="2797"/>
      <c r="W58" s="2797"/>
      <c r="X58" s="2797"/>
      <c r="Y58" s="2797"/>
      <c r="Z58" s="2797"/>
      <c r="AA58" s="2797"/>
      <c r="AB58" s="2797"/>
      <c r="AC58" s="2797"/>
      <c r="AD58" s="2797"/>
      <c r="AE58" s="2797"/>
      <c r="AF58" s="2797"/>
      <c r="AG58" s="2797"/>
      <c r="AH58" s="2797"/>
      <c r="AI58" s="2797"/>
      <c r="AJ58" s="2797"/>
      <c r="AK58" s="2797"/>
      <c r="AQ58" s="2143">
        <v>19</v>
      </c>
    </row>
    <row customHeight="1" ht="21">
      <c r="O59" s="2147"/>
      <c r="T59" s="2797"/>
      <c r="U59" s="2797"/>
      <c r="V59" s="2797"/>
      <c r="W59" s="2797"/>
      <c r="X59" s="2797"/>
      <c r="Y59" s="2797"/>
      <c r="Z59" s="2797"/>
      <c r="AA59" s="2797"/>
      <c r="AB59" s="2797"/>
      <c r="AC59" s="2797"/>
      <c r="AD59" s="2797"/>
      <c r="AE59" s="2797"/>
      <c r="AF59" s="2797"/>
      <c r="AG59" s="2797"/>
      <c r="AH59" s="2797"/>
      <c r="AI59" s="2797"/>
      <c r="AJ59" s="2797"/>
      <c r="AK59" s="2797"/>
      <c r="AQ59" s="2143">
        <v>20</v>
      </c>
    </row>
    <row customHeight="1" ht="14.699999999999998">
      <c r="O60" s="2147"/>
      <c r="T60" s="2465"/>
      <c r="U60" s="2465"/>
      <c r="V60" s="2465"/>
      <c r="W60" s="2465"/>
      <c r="X60" s="2465"/>
      <c r="Y60" s="2465"/>
      <c r="Z60" s="2465"/>
      <c r="AA60" s="2465"/>
      <c r="AB60" s="2465"/>
      <c r="AC60" s="2465"/>
      <c r="AD60" s="2465"/>
      <c r="AE60" s="2465"/>
      <c r="AF60" s="2465"/>
      <c r="AG60" s="2465"/>
      <c r="AH60" s="2465"/>
      <c r="AI60" s="2465"/>
      <c r="AJ60" s="2465"/>
      <c r="AK60" s="2465"/>
      <c r="AQ60" s="2143">
        <v>14</v>
      </c>
    </row>
    <row customHeight="1" ht="19.95">
      <c r="O61" s="2147"/>
      <c r="T61" s="2797"/>
      <c r="U61" s="2797"/>
      <c r="V61" s="2797"/>
      <c r="W61" s="2797"/>
      <c r="X61" s="2797"/>
      <c r="Y61" s="2797"/>
      <c r="Z61" s="2797"/>
      <c r="AA61" s="2797"/>
      <c r="AB61" s="2797"/>
      <c r="AC61" s="2797"/>
      <c r="AD61" s="2797"/>
      <c r="AE61" s="2797"/>
      <c r="AF61" s="2797"/>
      <c r="AG61" s="2797"/>
      <c r="AH61" s="2797"/>
      <c r="AI61" s="2797"/>
      <c r="AJ61" s="2797"/>
      <c r="AK61" s="2797"/>
      <c r="AQ61" s="2143">
        <v>19</v>
      </c>
    </row>
    <row customHeight="1" ht="16.8">
      <c r="O62" s="2147"/>
      <c r="T62" s="2797"/>
      <c r="U62" s="2797"/>
      <c r="V62" s="2797"/>
      <c r="W62" s="2797"/>
      <c r="X62" s="2797"/>
      <c r="Y62" s="2797"/>
      <c r="Z62" s="2797"/>
      <c r="AA62" s="2797"/>
      <c r="AB62" s="2797"/>
      <c r="AC62" s="2797"/>
      <c r="AD62" s="2797"/>
      <c r="AE62" s="2797"/>
      <c r="AF62" s="2797"/>
      <c r="AG62" s="2797"/>
      <c r="AH62" s="2797"/>
      <c r="AI62" s="2797"/>
      <c r="AJ62" s="2797"/>
      <c r="AK62" s="2797"/>
      <c r="AQ62" s="2143">
        <v>16</v>
      </c>
    </row>
    <row customHeight="1" ht="14.699999999999998">
      <c r="O63" s="2147"/>
      <c r="AQ63" s="2143">
        <v>14</v>
      </c>
    </row>
    <row customHeight="1" ht="22.5" hidden="1">
      <c r="A64" s="2143" t="s">
        <v>84</v>
      </c>
      <c r="B64" s="2143">
        <v>0</v>
      </c>
      <c r="C64" s="2143">
        <v>0</v>
      </c>
      <c r="D64" s="2143">
        <v>0</v>
      </c>
      <c r="E64" s="2143">
        <v>0</v>
      </c>
      <c r="F64" s="2143">
        <v>0</v>
      </c>
      <c r="G64" s="2143">
        <v>0</v>
      </c>
      <c r="H64" s="2143">
        <v>0</v>
      </c>
      <c r="I64" s="2143">
        <v>0</v>
      </c>
      <c r="J64" s="2143">
        <v>0</v>
      </c>
      <c r="K64" s="2143">
        <v>0</v>
      </c>
      <c r="L64" s="2451">
        <v>0</v>
      </c>
      <c r="M64" s="2477">
        <v>0</v>
      </c>
      <c r="N64" s="2477">
        <v>0</v>
      </c>
      <c r="O64" s="2477">
        <v>0</v>
      </c>
      <c r="P64" s="1874">
        <v>3</v>
      </c>
      <c r="Q64" s="1883">
        <v>3</v>
      </c>
      <c r="R64" s="856">
        <v>3</v>
      </c>
      <c r="S64" s="1093">
        <v>12</v>
      </c>
      <c r="T64" s="2143">
        <v>31</v>
      </c>
      <c r="U64" s="2143">
        <v>0</v>
      </c>
      <c r="V64" s="2143">
        <v>0</v>
      </c>
      <c r="W64" s="2143">
        <v>0</v>
      </c>
      <c r="X64" s="2143">
        <v>0</v>
      </c>
      <c r="Y64" s="2143">
        <v>0</v>
      </c>
      <c r="Z64" s="2143">
        <v>0</v>
      </c>
      <c r="AA64" s="2143">
        <v>0</v>
      </c>
      <c r="AB64" s="2143">
        <v>27</v>
      </c>
      <c r="AC64" s="2143">
        <v>24</v>
      </c>
      <c r="AD64" s="2143">
        <v>21</v>
      </c>
      <c r="AE64" s="2143">
        <v>21</v>
      </c>
      <c r="AF64" s="2143">
        <v>11</v>
      </c>
      <c r="AG64" s="2143">
        <v>3</v>
      </c>
      <c r="AH64" s="2143">
        <v>11</v>
      </c>
      <c r="AI64" s="2143">
        <v>8</v>
      </c>
      <c r="AJ64" s="2143">
        <v>4</v>
      </c>
      <c r="AK64" s="2143">
        <v>115</v>
      </c>
      <c r="AL64" s="2148">
        <v>10</v>
      </c>
      <c r="AM64" s="2148">
        <v>10</v>
      </c>
      <c r="AN64" s="2148">
        <v>10</v>
      </c>
      <c r="AO64" s="2148">
        <v>10</v>
      </c>
      <c r="AP64" s="2148">
        <v>10</v>
      </c>
      <c r="AQ64" s="2143">
        <v>23</v>
      </c>
    </row>
  </sheetData>
  <sheetProtection sort="0" autoFilter="0" insertRows="0" insertColumns="1" deleteRows="0" deleteColumns="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3DA111A-8689-F194-A7FF-914827C7C29F}"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46889" width="11.57421875" hidden="1" customWidth="1"/>
    <col min="2" max="2" style="46889" width="11.00390625" hidden="1" customWidth="1"/>
    <col min="3" max="3" style="46889" width="10.57421875" hidden="1"/>
    <col min="4" max="4" style="46889" width="12.8515625" hidden="1" customWidth="1"/>
    <col min="5" max="5" style="46889" width="10.00390625" hidden="1" customWidth="1"/>
    <col min="6" max="6" style="46889" width="8.7109375" hidden="1" customWidth="1"/>
    <col min="7" max="7" style="46889" width="7.57421875" hidden="1" customWidth="1"/>
    <col min="8" max="8" style="46889" width="11.421875" hidden="1" customWidth="1"/>
    <col min="9" max="9" style="46889" width="12.00390625" hidden="1" customWidth="1"/>
    <col min="10" max="10" style="46889" width="9.8515625" hidden="1" customWidth="1"/>
    <col min="11" max="11" style="46889" width="11.421875" hidden="1" customWidth="1"/>
    <col min="12" max="12" style="47738" width="19.140625" hidden="1" customWidth="1"/>
    <col min="13" max="14" style="47739" width="12.28125" hidden="1" customWidth="1"/>
    <col min="15" max="15" style="47739" width="23.421875" hidden="1" customWidth="1"/>
    <col min="16" max="16" style="47739" width="3.7109375" hidden="1" customWidth="1"/>
    <col min="17" max="17" style="47924" width="3.7109375" hidden="1" customWidth="1"/>
    <col min="18" max="18" style="47741" width="3.00390625" customWidth="1"/>
    <col min="19" max="19" style="47742" width="12.00390625" customWidth="1"/>
    <col min="20" max="20" style="46808" width="31.00390625" customWidth="1"/>
    <col min="21" max="21" style="46808" width="0.140625" customWidth="1"/>
    <col min="22" max="25" style="46808" width="21.7109375" hidden="1" customWidth="1"/>
    <col min="26" max="26" style="46808" width="11.7109375" hidden="1" customWidth="1"/>
    <col min="27" max="27" style="46808" width="3.7109375" hidden="1" customWidth="1"/>
    <col min="28" max="28" style="46808" width="11.7109375" hidden="1" customWidth="1"/>
    <col min="29" max="29" style="46808" width="8.57421875" hidden="1" customWidth="1"/>
    <col min="30" max="30" style="46808" width="3.7109375" customWidth="1"/>
    <col min="31" max="32" style="46808" width="3.00390625" customWidth="1"/>
    <col min="33" max="33" style="46808" width="24.00390625" customWidth="1"/>
    <col min="34" max="34" style="46808" width="3.7109375" customWidth="1"/>
    <col min="35" max="36" style="46808" width="3.00390625" customWidth="1"/>
    <col min="37" max="37" style="46808" width="24.00390625" customWidth="1"/>
    <col min="38" max="38" style="46808" width="3.7109375" customWidth="1"/>
    <col min="39" max="40" style="46808" width="3.00390625" customWidth="1"/>
    <col min="41" max="41" style="46808" width="18.00390625" customWidth="1"/>
    <col min="42" max="42" style="46808" width="3.7109375" customWidth="1"/>
    <col min="43" max="44" style="46808" width="3.00390625" customWidth="1"/>
    <col min="45" max="45" style="46808" width="18.00390625" customWidth="1"/>
    <col min="46" max="49" style="46808" width="21.00390625" customWidth="1"/>
    <col min="50" max="50" style="46808" width="11.00390625" customWidth="1"/>
    <col min="51" max="51" style="46808" width="3.7109375" customWidth="1"/>
    <col min="52" max="52" style="46808" width="11.00390625" customWidth="1"/>
    <col min="53" max="53" style="46808" width="8.57421875" hidden="1" customWidth="1"/>
    <col min="54" max="54" style="46808" width="4.00390625" customWidth="1"/>
    <col min="55" max="55" style="46808" width="115.00390625" customWidth="1"/>
    <col min="56" max="60" style="46890" width="10.00390625" customWidth="1"/>
    <col min="61" max="61" style="46808" width="10.57421875" hidden="1"/>
  </cols>
  <sheetData>
    <row customHeight="1" ht="22.5" hidden="1">
      <c r="W1" s="839"/>
      <c r="Y1" s="839"/>
      <c r="Z1" s="839"/>
      <c r="AW1" s="839"/>
      <c r="AX1" s="839"/>
      <c r="BI1" s="1667" t="s">
        <v>14</v>
      </c>
    </row>
    <row customHeight="1" ht="21" hidden="1">
      <c r="A2" s="1875"/>
      <c r="B2" s="1875"/>
      <c r="C2" s="1875"/>
      <c r="D2" s="1875"/>
      <c r="E2" s="2770">
        <v>1</v>
      </c>
      <c r="F2" s="1875"/>
      <c r="G2" s="1875"/>
      <c r="H2" s="1875"/>
      <c r="I2" s="1875"/>
      <c r="J2" s="1875"/>
      <c r="K2" s="1875"/>
      <c r="L2" s="1876"/>
      <c r="M2" s="1877"/>
      <c r="N2" s="1877"/>
      <c r="O2" s="1877"/>
      <c r="P2" s="1921"/>
      <c r="Q2" s="1385"/>
      <c r="R2" s="867"/>
      <c r="S2" s="1977">
        <f>INDEX(PT_DIFFERENTIATION_NUM_NTAR,MATCH(A2,PT_DIFFERENTIATION_NTAR_ID,0))</f>
      </c>
      <c r="T2" s="810" t="s">
        <v>179</v>
      </c>
      <c r="U2" s="812"/>
      <c r="V2" s="2755"/>
      <c r="W2" s="2755"/>
      <c r="X2" s="2755"/>
      <c r="Y2" s="2755"/>
      <c r="Z2" s="2755"/>
      <c r="AA2" s="2755"/>
      <c r="AB2" s="2755"/>
      <c r="AC2" s="2756"/>
      <c r="AD2" s="2754">
        <f>INDEX(PT_DIFFERENTIATION_NTAR,MATCH(A2,PT_DIFFERENTIATION_NTAR_ID,0))</f>
      </c>
      <c r="AE2" s="2755"/>
      <c r="AF2" s="2755"/>
      <c r="AG2" s="2755"/>
      <c r="AH2" s="2755"/>
      <c r="AI2" s="2755"/>
      <c r="AJ2" s="2755"/>
      <c r="AK2" s="2755"/>
      <c r="AL2" s="2755"/>
      <c r="AM2" s="2755"/>
      <c r="AN2" s="2755"/>
      <c r="AO2" s="2755"/>
      <c r="AP2" s="2755"/>
      <c r="AQ2" s="2755"/>
      <c r="AR2" s="2755"/>
      <c r="AS2" s="2755"/>
      <c r="AT2" s="2755"/>
      <c r="AU2" s="2755"/>
      <c r="AV2" s="2755"/>
      <c r="AW2" s="2755"/>
      <c r="AX2" s="2755"/>
      <c r="AY2" s="2755"/>
      <c r="AZ2" s="2755"/>
      <c r="BA2" s="2755"/>
      <c r="BB2" s="2756"/>
      <c r="BC2"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1012"/>
      <c r="BF2" s="1012" t="str">
        <f>IF(T2="","",T2)</f>
        <v>Наименование тарифа</v>
      </c>
      <c r="BG2" s="1012"/>
      <c r="BH2" s="1012"/>
      <c r="BI2" s="1667">
        <v>0</v>
      </c>
    </row>
    <row customHeight="1" ht="21" hidden="1">
      <c r="A3" s="1875"/>
      <c r="B3" s="1875"/>
      <c r="C3" s="1875"/>
      <c r="D3" s="1875"/>
      <c r="E3" s="2771"/>
      <c r="F3" s="2770">
        <v>1</v>
      </c>
      <c r="G3" s="1875"/>
      <c r="H3" s="1875"/>
      <c r="I3" s="1875"/>
      <c r="J3" s="1875"/>
      <c r="K3" s="1875"/>
      <c r="L3" s="1876"/>
      <c r="M3" s="1877"/>
      <c r="N3" s="1877"/>
      <c r="O3" s="1877"/>
      <c r="P3" s="1922"/>
      <c r="Q3" s="1923"/>
      <c r="R3" s="865"/>
      <c r="S3" s="1977">
        <f>INDEX(PT_DIFFERENTIATION_NUM_TER,MATCH(B3,PT_DIFFERENTIATION_TER_ID,0))</f>
      </c>
      <c r="T3" s="820" t="s">
        <v>515</v>
      </c>
      <c r="U3" s="812"/>
      <c r="V3" s="2755"/>
      <c r="W3" s="2755"/>
      <c r="X3" s="2755"/>
      <c r="Y3" s="2755"/>
      <c r="Z3" s="2755"/>
      <c r="AA3" s="2755"/>
      <c r="AB3" s="2755"/>
      <c r="AC3" s="2756"/>
      <c r="AD3" s="2754">
        <f>INDEX(PT_DIFFERENTIATION_TER,MATCH(B3,PT_DIFFERENTIATION_TER_ID,0))</f>
      </c>
      <c r="AE3" s="2755"/>
      <c r="AF3" s="2755"/>
      <c r="AG3" s="2755"/>
      <c r="AH3" s="2755"/>
      <c r="AI3" s="2755"/>
      <c r="AJ3" s="2755"/>
      <c r="AK3" s="2755"/>
      <c r="AL3" s="2755"/>
      <c r="AM3" s="2755"/>
      <c r="AN3" s="2755"/>
      <c r="AO3" s="2755"/>
      <c r="AP3" s="2755"/>
      <c r="AQ3" s="2755"/>
      <c r="AR3" s="2755"/>
      <c r="AS3" s="2755"/>
      <c r="AT3" s="2755"/>
      <c r="AU3" s="2755"/>
      <c r="AV3" s="2755"/>
      <c r="AW3" s="2755"/>
      <c r="AX3" s="2755"/>
      <c r="AY3" s="2755"/>
      <c r="AZ3" s="2755"/>
      <c r="BA3" s="2755"/>
      <c r="BB3" s="2756"/>
      <c r="BC3" s="1770" t="s">
        <v>516</v>
      </c>
      <c r="BE3" s="1012"/>
      <c r="BF3" s="1012" t="str">
        <f>IF(T3="","",T3)</f>
        <v>Территория действия тарифа</v>
      </c>
      <c r="BG3" s="1012"/>
      <c r="BH3" s="1012"/>
      <c r="BI3" s="1667">
        <v>0</v>
      </c>
    </row>
    <row customHeight="1" ht="42" hidden="1">
      <c r="A4" s="1875"/>
      <c r="B4" s="1875"/>
      <c r="C4" s="1875"/>
      <c r="D4" s="1875"/>
      <c r="E4" s="2771"/>
      <c r="F4" s="2771"/>
      <c r="G4" s="2770">
        <v>1</v>
      </c>
      <c r="H4" s="1875"/>
      <c r="I4" s="1875"/>
      <c r="J4" s="1875"/>
      <c r="K4" s="1875"/>
      <c r="L4" s="1876"/>
      <c r="M4" s="1877"/>
      <c r="N4" s="1877"/>
      <c r="O4" s="1877"/>
      <c r="P4" s="1924"/>
      <c r="Q4" s="1923"/>
      <c r="R4" s="865"/>
      <c r="S4" s="1977">
        <f>INDEX(PT_DIFFERENTIATION_NUM_CS,MATCH(C4,PT_DIFFERENTIATION_CS_ID,0))</f>
      </c>
      <c r="T4" s="821" t="s">
        <v>596</v>
      </c>
      <c r="U4" s="812"/>
      <c r="V4" s="2755"/>
      <c r="W4" s="2755"/>
      <c r="X4" s="2755"/>
      <c r="Y4" s="2755"/>
      <c r="Z4" s="2755"/>
      <c r="AA4" s="2755"/>
      <c r="AB4" s="2755"/>
      <c r="AC4" s="2756"/>
      <c r="AD4" s="2754">
        <f>INDEX(PT_DIFFERENTIATION_CS,MATCH(C4,PT_DIFFERENTIATION_CS_ID,0))</f>
      </c>
      <c r="AE4" s="2755"/>
      <c r="AF4" s="2755"/>
      <c r="AG4" s="2755"/>
      <c r="AH4" s="2755"/>
      <c r="AI4" s="2755"/>
      <c r="AJ4" s="2755"/>
      <c r="AK4" s="2755"/>
      <c r="AL4" s="2755"/>
      <c r="AM4" s="2755"/>
      <c r="AN4" s="2755"/>
      <c r="AO4" s="2755"/>
      <c r="AP4" s="2755"/>
      <c r="AQ4" s="2755"/>
      <c r="AR4" s="2755"/>
      <c r="AS4" s="2755"/>
      <c r="AT4" s="2755"/>
      <c r="AU4" s="2755"/>
      <c r="AV4" s="2755"/>
      <c r="AW4" s="2755"/>
      <c r="AX4" s="2755"/>
      <c r="AY4" s="2755"/>
      <c r="AZ4" s="2755"/>
      <c r="BA4" s="2755"/>
      <c r="BB4" s="2756"/>
      <c r="BC4" s="1770" t="s">
        <v>597</v>
      </c>
      <c r="BE4" s="1012"/>
      <c r="BF4" s="1012" t="str">
        <f>IF(T4="","",T4)</f>
        <v>Наименование централизованной системы холодного водоснабжения</v>
      </c>
      <c r="BG4" s="1012"/>
      <c r="BH4" s="1012"/>
      <c r="BI4" s="1667">
        <v>0</v>
      </c>
    </row>
    <row s="46890" customFormat="1" customHeight="1" ht="14.25" hidden="1">
      <c r="A5" s="1855"/>
      <c r="B5" s="1855"/>
      <c r="C5" s="1855"/>
      <c r="D5" s="1855"/>
      <c r="E5" s="2771"/>
      <c r="F5" s="2771"/>
      <c r="G5" s="2771"/>
      <c r="H5" s="2770">
        <v>1</v>
      </c>
      <c r="I5" s="1855"/>
      <c r="J5" s="1855"/>
      <c r="K5" s="1855"/>
      <c r="L5" s="1858"/>
      <c r="M5" s="1827"/>
      <c r="N5" s="1827"/>
      <c r="O5" s="1827"/>
      <c r="P5" s="2009"/>
      <c r="Q5" s="2010"/>
      <c r="R5" s="869"/>
      <c r="S5" s="1554"/>
      <c r="T5" s="2011"/>
      <c r="U5" s="1896"/>
      <c r="V5" s="2809"/>
      <c r="W5" s="2809"/>
      <c r="X5" s="2809"/>
      <c r="Y5" s="2809"/>
      <c r="Z5" s="2809"/>
      <c r="AA5" s="2809"/>
      <c r="AB5" s="2809"/>
      <c r="AC5" s="2810"/>
      <c r="AD5" s="2808"/>
      <c r="AE5" s="2809"/>
      <c r="AF5" s="2809"/>
      <c r="AG5" s="2809"/>
      <c r="AH5" s="2809"/>
      <c r="AI5" s="2809"/>
      <c r="AJ5" s="2809"/>
      <c r="AK5" s="2809"/>
      <c r="AL5" s="2809"/>
      <c r="AM5" s="2809"/>
      <c r="AN5" s="2809"/>
      <c r="AO5" s="2809"/>
      <c r="AP5" s="2809"/>
      <c r="AQ5" s="2809"/>
      <c r="AR5" s="2809"/>
      <c r="AS5" s="2809"/>
      <c r="AT5" s="2809"/>
      <c r="AU5" s="2809"/>
      <c r="AV5" s="2809"/>
      <c r="AW5" s="2809"/>
      <c r="AX5" s="2809"/>
      <c r="AY5" s="2809"/>
      <c r="AZ5" s="2809"/>
      <c r="BA5" s="2809"/>
      <c r="BB5" s="2810"/>
      <c r="BC5" s="1897" t="s">
        <v>520</v>
      </c>
      <c r="BE5" s="1012"/>
      <c r="BF5" s="1012" t="str">
        <f>IF(T5="","",T5)</f>
        <v/>
      </c>
      <c r="BG5" s="1012"/>
      <c r="BH5" s="1012"/>
      <c r="BI5" s="1023">
        <v>0</v>
      </c>
    </row>
    <row s="46890" customFormat="1" customHeight="1" ht="14.25" hidden="1">
      <c r="A6" s="1855"/>
      <c r="B6" s="1855"/>
      <c r="C6" s="1855"/>
      <c r="D6" s="1855"/>
      <c r="E6" s="2771"/>
      <c r="F6" s="2771"/>
      <c r="G6" s="2771"/>
      <c r="H6" s="2771"/>
      <c r="I6" s="2768" t="str">
        <f>S5&amp;".1"</f>
        <v>.1</v>
      </c>
      <c r="J6" s="1855"/>
      <c r="K6" s="1855"/>
      <c r="L6" s="1858" t="s">
        <v>521</v>
      </c>
      <c r="M6" s="1022"/>
      <c r="N6" s="1022"/>
      <c r="O6" s="1022"/>
      <c r="P6" s="2769">
        <v>1</v>
      </c>
      <c r="Q6" s="1974"/>
      <c r="R6" s="868"/>
      <c r="S6" s="1554"/>
      <c r="T6" s="1895"/>
      <c r="U6" s="1896"/>
      <c r="V6" s="2809"/>
      <c r="W6" s="2809"/>
      <c r="X6" s="2809"/>
      <c r="Y6" s="2809"/>
      <c r="Z6" s="2809"/>
      <c r="AA6" s="2809"/>
      <c r="AB6" s="2809"/>
      <c r="AC6" s="2810"/>
      <c r="AD6" s="2808"/>
      <c r="AE6" s="2809"/>
      <c r="AF6" s="2809"/>
      <c r="AG6" s="2809"/>
      <c r="AH6" s="2809"/>
      <c r="AI6" s="2809"/>
      <c r="AJ6" s="2809"/>
      <c r="AK6" s="2809"/>
      <c r="AL6" s="2809"/>
      <c r="AM6" s="2809"/>
      <c r="AN6" s="2809"/>
      <c r="AO6" s="2809"/>
      <c r="AP6" s="2809"/>
      <c r="AQ6" s="2809"/>
      <c r="AR6" s="2809"/>
      <c r="AS6" s="2809"/>
      <c r="AT6" s="2809"/>
      <c r="AU6" s="2809"/>
      <c r="AV6" s="2809"/>
      <c r="AW6" s="2809"/>
      <c r="AX6" s="2809"/>
      <c r="AY6" s="2809"/>
      <c r="AZ6" s="2809"/>
      <c r="BA6" s="2809"/>
      <c r="BB6" s="2810"/>
      <c r="BC6" s="1897"/>
      <c r="BE6" s="1012"/>
      <c r="BF6" s="1012" t="str">
        <f>IF(T6="","",T6)</f>
        <v/>
      </c>
      <c r="BG6" s="1012"/>
      <c r="BH6" s="1012"/>
      <c r="BI6" s="1023">
        <v>0</v>
      </c>
    </row>
    <row s="46890" customFormat="1" customHeight="1" ht="14.25" hidden="1">
      <c r="A7" s="1855"/>
      <c r="B7" s="1855"/>
      <c r="C7" s="1855"/>
      <c r="D7" s="1855"/>
      <c r="E7" s="2771"/>
      <c r="F7" s="2771"/>
      <c r="G7" s="2771"/>
      <c r="H7" s="2771"/>
      <c r="I7" s="2798"/>
      <c r="J7" s="2768" t="str">
        <f>S5&amp;".1"</f>
        <v>.1</v>
      </c>
      <c r="K7" s="1855"/>
      <c r="L7" s="1858"/>
      <c r="M7" s="1022"/>
      <c r="N7" s="1022"/>
      <c r="O7" s="1022"/>
      <c r="P7" s="2769"/>
      <c r="Q7" s="2769">
        <v>1</v>
      </c>
      <c r="R7" s="869"/>
      <c r="S7" s="1554"/>
      <c r="T7" s="1911"/>
      <c r="U7" s="1896"/>
      <c r="V7" s="2809"/>
      <c r="W7" s="2809"/>
      <c r="X7" s="2809"/>
      <c r="Y7" s="2809"/>
      <c r="Z7" s="2809"/>
      <c r="AA7" s="2809"/>
      <c r="AB7" s="2809"/>
      <c r="AC7" s="2810"/>
      <c r="AD7" s="2808"/>
      <c r="AE7" s="2809"/>
      <c r="AF7" s="2809"/>
      <c r="AG7" s="2809"/>
      <c r="AH7" s="2809"/>
      <c r="AI7" s="2809"/>
      <c r="AJ7" s="2809"/>
      <c r="AK7" s="2809"/>
      <c r="AL7" s="2809"/>
      <c r="AM7" s="2809"/>
      <c r="AN7" s="2809"/>
      <c r="AO7" s="2809"/>
      <c r="AP7" s="2809"/>
      <c r="AQ7" s="2809"/>
      <c r="AR7" s="2809"/>
      <c r="AS7" s="2809"/>
      <c r="AT7" s="2809"/>
      <c r="AU7" s="2809"/>
      <c r="AV7" s="2809"/>
      <c r="AW7" s="2809"/>
      <c r="AX7" s="2809"/>
      <c r="AY7" s="2809"/>
      <c r="AZ7" s="2809"/>
      <c r="BA7" s="2809"/>
      <c r="BB7" s="2810"/>
      <c r="BC7" s="1897"/>
      <c r="BE7" s="1012"/>
      <c r="BF7" s="1012" t="str">
        <f>IF(T7="","",T7)</f>
        <v/>
      </c>
      <c r="BG7" s="1012"/>
      <c r="BH7" s="1012"/>
      <c r="BI7" s="1023">
        <v>0</v>
      </c>
    </row>
    <row customHeight="1" ht="11.25" hidden="1">
      <c r="A8" s="1875"/>
      <c r="B8" s="1875"/>
      <c r="C8" s="1875"/>
      <c r="D8" s="1875"/>
      <c r="E8" s="2771"/>
      <c r="F8" s="2771"/>
      <c r="G8" s="2771"/>
      <c r="H8" s="2771"/>
      <c r="I8" s="2798"/>
      <c r="J8" s="2798"/>
      <c r="K8" s="2768">
        <f>S4&amp;".1"</f>
      </c>
      <c r="L8" s="1876"/>
      <c r="P8" s="2769"/>
      <c r="Q8" s="2769"/>
      <c r="R8" s="2859">
        <v>1</v>
      </c>
      <c r="S8" s="2853">
        <f>$K8</f>
      </c>
      <c r="T8" s="2872"/>
      <c r="U8" s="812"/>
      <c r="V8" s="1263"/>
      <c r="W8" s="1769"/>
      <c r="X8" s="1263"/>
      <c r="Y8" s="1769"/>
      <c r="Z8" s="2246"/>
      <c r="AA8" s="1971" t="s">
        <v>63</v>
      </c>
      <c r="AB8" s="2246"/>
      <c r="AC8" s="1971" t="s">
        <v>63</v>
      </c>
      <c r="AD8" s="2697" t="s">
        <v>63</v>
      </c>
      <c r="AE8" s="2838"/>
      <c r="AF8" s="2717">
        <v>1</v>
      </c>
      <c r="AG8" s="2875"/>
      <c r="AH8" s="2619" t="s">
        <v>63</v>
      </c>
      <c r="AI8" s="2838"/>
      <c r="AJ8" s="2717">
        <v>1</v>
      </c>
      <c r="AK8" s="2839" t="s">
        <v>28</v>
      </c>
      <c r="AL8" s="2619" t="s">
        <v>63</v>
      </c>
      <c r="AM8" s="2704"/>
      <c r="AN8" s="2717">
        <v>1</v>
      </c>
      <c r="AO8" s="2869"/>
      <c r="AP8" s="2870" t="s">
        <v>63</v>
      </c>
      <c r="AQ8" s="823"/>
      <c r="AR8" s="1975">
        <v>1</v>
      </c>
      <c r="AS8" s="1978" t="s">
        <v>28</v>
      </c>
      <c r="AT8" s="1263"/>
      <c r="AU8" s="1769"/>
      <c r="AV8" s="1263"/>
      <c r="AW8" s="1769"/>
      <c r="AX8" s="2246"/>
      <c r="AY8" s="1971" t="s">
        <v>63</v>
      </c>
      <c r="AZ8" s="2246"/>
      <c r="BA8" s="1971" t="s">
        <v>63</v>
      </c>
      <c r="BB8" s="1860"/>
      <c r="BC8" s="2765" t="s">
        <v>616</v>
      </c>
      <c r="BE8" s="1012"/>
      <c r="BF8" s="1012" t="str">
        <f>IF(T8="","",T8)</f>
        <v/>
      </c>
      <c r="BG8" s="1012"/>
      <c r="BH8" s="1012"/>
      <c r="BI8" s="1667">
        <v>0</v>
      </c>
    </row>
    <row customHeight="1" ht="11.25" hidden="1">
      <c r="A9" s="1875"/>
      <c r="B9" s="1875"/>
      <c r="C9" s="1875"/>
      <c r="D9" s="1875"/>
      <c r="E9" s="2771"/>
      <c r="F9" s="2771"/>
      <c r="G9" s="2771"/>
      <c r="H9" s="2771"/>
      <c r="I9" s="2798"/>
      <c r="J9" s="2798"/>
      <c r="K9" s="2768"/>
      <c r="L9" s="1876"/>
      <c r="P9" s="2769"/>
      <c r="Q9" s="2769"/>
      <c r="R9" s="2859"/>
      <c r="S9" s="2854"/>
      <c r="T9" s="2873"/>
      <c r="U9" s="812"/>
      <c r="V9" s="1905"/>
      <c r="W9" s="2008"/>
      <c r="X9" s="1905"/>
      <c r="Y9" s="2008"/>
      <c r="Z9" s="1905"/>
      <c r="AA9" s="1905"/>
      <c r="AB9" s="1905"/>
      <c r="AC9" s="1905"/>
      <c r="AD9" s="2698"/>
      <c r="AE9" s="2838"/>
      <c r="AF9" s="2717"/>
      <c r="AG9" s="2875"/>
      <c r="AH9" s="2619"/>
      <c r="AI9" s="2838"/>
      <c r="AJ9" s="2717"/>
      <c r="AK9" s="2839"/>
      <c r="AL9" s="2619"/>
      <c r="AM9" s="2712"/>
      <c r="AN9" s="2717"/>
      <c r="AO9" s="2869"/>
      <c r="AP9" s="2871"/>
      <c r="AQ9" s="828"/>
      <c r="AR9" s="928"/>
      <c r="AS9" s="928" t="s">
        <v>617</v>
      </c>
      <c r="AT9" s="1905"/>
      <c r="AU9" s="2008"/>
      <c r="AV9" s="1905"/>
      <c r="AW9" s="2008"/>
      <c r="AX9" s="1905"/>
      <c r="AY9" s="1905"/>
      <c r="AZ9" s="1905"/>
      <c r="BA9" s="1905"/>
      <c r="BB9" s="1909"/>
      <c r="BC9" s="2766"/>
      <c r="BE9" s="1012"/>
      <c r="BF9" s="1012"/>
      <c r="BG9" s="1012"/>
      <c r="BH9" s="1012"/>
      <c r="BI9" s="1667">
        <v>0</v>
      </c>
    </row>
    <row customHeight="1" ht="11.25" hidden="1">
      <c r="A10" s="1875"/>
      <c r="B10" s="1875"/>
      <c r="C10" s="1875"/>
      <c r="D10" s="1875"/>
      <c r="E10" s="2771"/>
      <c r="F10" s="2771"/>
      <c r="G10" s="2771"/>
      <c r="H10" s="2771"/>
      <c r="I10" s="2798"/>
      <c r="J10" s="2798"/>
      <c r="K10" s="2768"/>
      <c r="L10" s="1876"/>
      <c r="P10" s="2769"/>
      <c r="Q10" s="2769"/>
      <c r="R10" s="2859"/>
      <c r="S10" s="2854"/>
      <c r="T10" s="2873"/>
      <c r="U10" s="812"/>
      <c r="V10" s="1905"/>
      <c r="W10" s="2008"/>
      <c r="X10" s="1905"/>
      <c r="Y10" s="2008"/>
      <c r="Z10" s="1905"/>
      <c r="AA10" s="1905"/>
      <c r="AB10" s="1905"/>
      <c r="AC10" s="1905"/>
      <c r="AD10" s="2698"/>
      <c r="AE10" s="2838"/>
      <c r="AF10" s="2717"/>
      <c r="AG10" s="2875"/>
      <c r="AH10" s="2619"/>
      <c r="AI10" s="2838"/>
      <c r="AJ10" s="2717"/>
      <c r="AK10" s="2839"/>
      <c r="AL10" s="2619"/>
      <c r="AM10" s="828"/>
      <c r="AN10" s="2012"/>
      <c r="AO10" s="2012" t="s">
        <v>618</v>
      </c>
      <c r="AP10" s="928"/>
      <c r="AQ10" s="928"/>
      <c r="AR10" s="928"/>
      <c r="AS10" s="1905"/>
      <c r="AT10" s="1905"/>
      <c r="AU10" s="2008"/>
      <c r="AV10" s="1905"/>
      <c r="AW10" s="2008"/>
      <c r="AX10" s="1905"/>
      <c r="AY10" s="1905"/>
      <c r="AZ10" s="1905"/>
      <c r="BA10" s="1905"/>
      <c r="BB10" s="1909"/>
      <c r="BC10" s="2766"/>
      <c r="BE10" s="1012"/>
      <c r="BF10" s="1012"/>
      <c r="BG10" s="1012"/>
      <c r="BH10" s="1012"/>
      <c r="BI10" s="1667">
        <v>0</v>
      </c>
    </row>
    <row customHeight="1" ht="11.25" hidden="1">
      <c r="A11" s="1875"/>
      <c r="B11" s="1875"/>
      <c r="C11" s="1875"/>
      <c r="D11" s="1875"/>
      <c r="E11" s="2771"/>
      <c r="F11" s="2771"/>
      <c r="G11" s="2771"/>
      <c r="H11" s="2771"/>
      <c r="I11" s="2798"/>
      <c r="J11" s="2798"/>
      <c r="K11" s="2768"/>
      <c r="L11" s="1876"/>
      <c r="P11" s="2769"/>
      <c r="Q11" s="2769"/>
      <c r="R11" s="2859"/>
      <c r="S11" s="2854"/>
      <c r="T11" s="2873"/>
      <c r="U11" s="812"/>
      <c r="V11" s="1905"/>
      <c r="W11" s="2008"/>
      <c r="X11" s="1905"/>
      <c r="Y11" s="2008"/>
      <c r="Z11" s="1905"/>
      <c r="AA11" s="1905"/>
      <c r="AB11" s="1905"/>
      <c r="AC11" s="1905"/>
      <c r="AD11" s="2698"/>
      <c r="AE11" s="2838"/>
      <c r="AF11" s="2717"/>
      <c r="AG11" s="2875"/>
      <c r="AH11" s="2619"/>
      <c r="AI11" s="806"/>
      <c r="AJ11" s="927"/>
      <c r="AK11" s="825" t="s">
        <v>619</v>
      </c>
      <c r="AL11" s="1905"/>
      <c r="AM11" s="1905"/>
      <c r="AN11" s="1905"/>
      <c r="AO11" s="1905"/>
      <c r="AP11" s="1905"/>
      <c r="AQ11" s="1905"/>
      <c r="AR11" s="1905"/>
      <c r="AS11" s="1905"/>
      <c r="AT11" s="1905"/>
      <c r="AU11" s="2008"/>
      <c r="AV11" s="1905"/>
      <c r="AW11" s="2008"/>
      <c r="AX11" s="1905"/>
      <c r="AY11" s="1905"/>
      <c r="AZ11" s="1905"/>
      <c r="BA11" s="1905"/>
      <c r="BB11" s="1909"/>
      <c r="BC11" s="2766"/>
      <c r="BE11" s="1012"/>
      <c r="BF11" s="1012"/>
      <c r="BG11" s="1012"/>
      <c r="BH11" s="1012"/>
      <c r="BI11" s="1667">
        <v>0</v>
      </c>
    </row>
    <row customHeight="1" ht="11.25" hidden="1">
      <c r="A12" s="1875"/>
      <c r="B12" s="1875"/>
      <c r="C12" s="1875"/>
      <c r="D12" s="1875"/>
      <c r="E12" s="2771"/>
      <c r="F12" s="2771"/>
      <c r="G12" s="2771"/>
      <c r="H12" s="2771"/>
      <c r="I12" s="2798"/>
      <c r="J12" s="2798"/>
      <c r="K12" s="2768"/>
      <c r="L12" s="1876"/>
      <c r="P12" s="2769"/>
      <c r="Q12" s="2769"/>
      <c r="R12" s="2859"/>
      <c r="S12" s="2855"/>
      <c r="T12" s="2874"/>
      <c r="U12" s="812"/>
      <c r="V12" s="1905"/>
      <c r="W12" s="1906" t="str">
        <f>Z8&amp;"-"&amp;AB8</f>
        <v>-</v>
      </c>
      <c r="X12" s="1905"/>
      <c r="Y12" s="1906" t="str">
        <f>AB8&amp;"-"&amp;AD8</f>
        <v>-да</v>
      </c>
      <c r="Z12" s="1905"/>
      <c r="AA12" s="1905"/>
      <c r="AB12" s="1905"/>
      <c r="AC12" s="1905"/>
      <c r="AD12" s="2624"/>
      <c r="AE12" s="824"/>
      <c r="AF12" s="826"/>
      <c r="AG12" s="928" t="s">
        <v>620</v>
      </c>
      <c r="AH12" s="1905"/>
      <c r="AI12" s="1905"/>
      <c r="AJ12" s="1905"/>
      <c r="AK12" s="1905"/>
      <c r="AL12" s="1905"/>
      <c r="AM12" s="1905"/>
      <c r="AN12" s="1905"/>
      <c r="AO12" s="1905"/>
      <c r="AP12" s="1905"/>
      <c r="AQ12" s="1905"/>
      <c r="AR12" s="1905"/>
      <c r="AS12" s="1905"/>
      <c r="AT12" s="1905"/>
      <c r="AU12" s="1906" t="str">
        <f>AX8&amp;"-"&amp;AZ8</f>
        <v>-</v>
      </c>
      <c r="AV12" s="1905"/>
      <c r="AW12" s="1906" t="str">
        <f>AZ8&amp;"-"&amp;BB8</f>
        <v>-</v>
      </c>
      <c r="AX12" s="1905"/>
      <c r="AY12" s="1905"/>
      <c r="AZ12" s="1905"/>
      <c r="BA12" s="1905"/>
      <c r="BB12" s="1908" t="str">
        <f>BE8&amp;"-"&amp;BG8</f>
        <v>-</v>
      </c>
      <c r="BC12" s="2766"/>
      <c r="BE12" s="1012"/>
      <c r="BF12" s="1012" t="str">
        <f>IF(T12="","",T12)</f>
        <v/>
      </c>
      <c r="BG12" s="1012"/>
      <c r="BH12" s="1012"/>
      <c r="BI12" s="1667">
        <v>0</v>
      </c>
    </row>
    <row customHeight="1" ht="11.25" hidden="1">
      <c r="A13" s="1875"/>
      <c r="B13" s="1875"/>
      <c r="C13" s="1875"/>
      <c r="D13" s="1875"/>
      <c r="E13" s="2771"/>
      <c r="F13" s="2771"/>
      <c r="G13" s="2771"/>
      <c r="H13" s="2771"/>
      <c r="I13" s="2798"/>
      <c r="J13" s="2768"/>
      <c r="K13" s="1875"/>
      <c r="L13" s="1876"/>
      <c r="P13" s="2769"/>
      <c r="Q13" s="2769"/>
      <c r="R13" s="868"/>
      <c r="S13" s="1790"/>
      <c r="T13" s="799" t="s">
        <v>583</v>
      </c>
      <c r="U13" s="879"/>
      <c r="V13" s="879"/>
      <c r="W13" s="879"/>
      <c r="X13" s="879"/>
      <c r="Y13" s="879"/>
      <c r="Z13" s="879"/>
      <c r="AA13" s="879"/>
      <c r="AB13" s="879"/>
      <c r="AC13" s="879"/>
      <c r="AD13" s="2017"/>
      <c r="AE13" s="879"/>
      <c r="AF13" s="879"/>
      <c r="AG13" s="879"/>
      <c r="AH13" s="879"/>
      <c r="AI13" s="879"/>
      <c r="AJ13" s="879"/>
      <c r="AK13" s="879"/>
      <c r="AL13" s="879"/>
      <c r="AM13" s="879"/>
      <c r="AN13" s="879"/>
      <c r="AO13" s="879"/>
      <c r="AP13" s="879"/>
      <c r="AQ13" s="879"/>
      <c r="AR13" s="879"/>
      <c r="AS13" s="879"/>
      <c r="AT13" s="879"/>
      <c r="AU13" s="879"/>
      <c r="AV13" s="879"/>
      <c r="AW13" s="879"/>
      <c r="AX13" s="879"/>
      <c r="AY13" s="879"/>
      <c r="AZ13" s="879"/>
      <c r="BA13" s="879"/>
      <c r="BB13" s="836"/>
      <c r="BC13" s="2767"/>
      <c r="BE13" s="1012"/>
      <c r="BF13" s="1012" t="str">
        <f>IF(T13="","",T13)</f>
        <v>Добавить строку</v>
      </c>
      <c r="BG13" s="1012"/>
      <c r="BH13" s="1012"/>
      <c r="BI13" s="1667">
        <v>0</v>
      </c>
    </row>
    <row s="46890" customFormat="1" customHeight="1" ht="14.25" hidden="1">
      <c r="A14" s="1855"/>
      <c r="B14" s="1855"/>
      <c r="C14" s="1855"/>
      <c r="D14" s="1855"/>
      <c r="E14" s="2771"/>
      <c r="F14" s="2771"/>
      <c r="G14" s="2771"/>
      <c r="H14" s="2771"/>
      <c r="I14" s="2768"/>
      <c r="J14" s="1855"/>
      <c r="K14" s="1855"/>
      <c r="L14" s="1858"/>
      <c r="M14" s="1022"/>
      <c r="N14" s="1022"/>
      <c r="O14" s="1022"/>
      <c r="P14" s="2769"/>
      <c r="Q14" s="1974"/>
      <c r="R14" s="868"/>
      <c r="S14" s="1898"/>
      <c r="T14" s="1899"/>
      <c r="U14" s="1900"/>
      <c r="V14" s="1900"/>
      <c r="W14" s="1900"/>
      <c r="X14" s="1900"/>
      <c r="Y14" s="1900"/>
      <c r="Z14" s="1900"/>
      <c r="AA14" s="1900"/>
      <c r="AB14" s="1900"/>
      <c r="AC14" s="1900"/>
      <c r="AD14" s="1900"/>
      <c r="AE14" s="1900"/>
      <c r="AF14" s="1900"/>
      <c r="AG14" s="1900"/>
      <c r="AH14" s="1900"/>
      <c r="AI14" s="1900"/>
      <c r="AJ14" s="1900"/>
      <c r="AK14" s="1900"/>
      <c r="AL14" s="1900"/>
      <c r="AM14" s="1900"/>
      <c r="AN14" s="1900"/>
      <c r="AO14" s="1900"/>
      <c r="AP14" s="1900"/>
      <c r="AQ14" s="1900"/>
      <c r="AR14" s="1900"/>
      <c r="AS14" s="1900"/>
      <c r="AT14" s="1900"/>
      <c r="AU14" s="1900"/>
      <c r="AV14" s="1900"/>
      <c r="AW14" s="1900"/>
      <c r="AX14" s="1900"/>
      <c r="AY14" s="1900"/>
      <c r="AZ14" s="1900"/>
      <c r="BA14" s="1900"/>
      <c r="BB14" s="1900"/>
      <c r="BC14" s="1901"/>
      <c r="BE14" s="1012"/>
      <c r="BF14" s="1012" t="str">
        <f>IF(T14="","",T14)</f>
        <v/>
      </c>
      <c r="BG14" s="1012"/>
      <c r="BH14" s="1012"/>
      <c r="BI14" s="1023">
        <v>0</v>
      </c>
    </row>
    <row s="46890" customFormat="1" customHeight="1" ht="14.25" hidden="1">
      <c r="A15" s="1855"/>
      <c r="B15" s="1855"/>
      <c r="C15" s="1855"/>
      <c r="D15" s="1855"/>
      <c r="E15" s="2771"/>
      <c r="F15" s="2771"/>
      <c r="G15" s="2771"/>
      <c r="H15" s="2770"/>
      <c r="I15" s="1855"/>
      <c r="J15" s="1855"/>
      <c r="K15" s="1855"/>
      <c r="L15" s="1858"/>
      <c r="M15" s="1827"/>
      <c r="N15" s="1827"/>
      <c r="O15" s="1030"/>
      <c r="P15" s="892"/>
      <c r="Q15" s="1856"/>
      <c r="R15" s="1913"/>
      <c r="S15" s="1898"/>
      <c r="T15" s="1899"/>
      <c r="U15" s="1900"/>
      <c r="V15" s="1900"/>
      <c r="W15" s="1900"/>
      <c r="X15" s="1900"/>
      <c r="Y15" s="1900"/>
      <c r="Z15" s="1900"/>
      <c r="AA15" s="1900"/>
      <c r="AB15" s="1900"/>
      <c r="AC15" s="1900"/>
      <c r="AD15" s="1900"/>
      <c r="AE15" s="1900"/>
      <c r="AF15" s="1900"/>
      <c r="AG15" s="1900"/>
      <c r="AH15" s="1900"/>
      <c r="AI15" s="1900"/>
      <c r="AJ15" s="1900"/>
      <c r="AK15" s="1900"/>
      <c r="AL15" s="1900"/>
      <c r="AM15" s="1900"/>
      <c r="AN15" s="1900"/>
      <c r="AO15" s="1900"/>
      <c r="AP15" s="1900"/>
      <c r="AQ15" s="1900"/>
      <c r="AR15" s="1900"/>
      <c r="AS15" s="1900"/>
      <c r="AT15" s="1900"/>
      <c r="AU15" s="1900"/>
      <c r="AV15" s="1900"/>
      <c r="AW15" s="1900"/>
      <c r="AX15" s="1900"/>
      <c r="AY15" s="1900"/>
      <c r="AZ15" s="1900"/>
      <c r="BA15" s="1900"/>
      <c r="BB15" s="1900"/>
      <c r="BC15" s="1901"/>
      <c r="BE15" s="1012"/>
      <c r="BF15" s="1012" t="str">
        <f>IF(T15="","",T15)</f>
        <v/>
      </c>
      <c r="BG15" s="1012"/>
      <c r="BH15" s="1012"/>
      <c r="BI15" s="1023">
        <v>0</v>
      </c>
    </row>
    <row s="46890" customFormat="1" customHeight="1" ht="14.25" hidden="1">
      <c r="A16" s="1855"/>
      <c r="B16" s="1855"/>
      <c r="C16" s="1855"/>
      <c r="D16" s="1826"/>
      <c r="E16" s="2771"/>
      <c r="F16" s="2771"/>
      <c r="G16" s="2770"/>
      <c r="H16" s="1826"/>
      <c r="I16" s="1826"/>
      <c r="J16" s="1826"/>
      <c r="K16" s="1826"/>
      <c r="L16" s="1976"/>
      <c r="M16" s="1827"/>
      <c r="N16" s="1827"/>
      <c r="P16" s="1828"/>
      <c r="Q16" s="1829"/>
      <c r="R16" s="1828"/>
      <c r="S16" s="1834"/>
      <c r="T16" s="1837"/>
      <c r="U16" s="1836"/>
      <c r="V16" s="1836"/>
      <c r="W16" s="1836"/>
      <c r="X16" s="1836"/>
      <c r="Y16" s="1836"/>
      <c r="Z16" s="1836"/>
      <c r="AA16" s="1836"/>
      <c r="AB16" s="1836"/>
      <c r="AC16" s="1836"/>
      <c r="AD16" s="1836"/>
      <c r="AE16" s="1836"/>
      <c r="AF16" s="1836"/>
      <c r="AG16" s="1836"/>
      <c r="AH16" s="1836"/>
      <c r="AI16" s="1836"/>
      <c r="AJ16" s="1836"/>
      <c r="AK16" s="1836"/>
      <c r="AL16" s="1836"/>
      <c r="AM16" s="1836"/>
      <c r="AN16" s="1836"/>
      <c r="AO16" s="1836"/>
      <c r="AP16" s="1836"/>
      <c r="AQ16" s="1836"/>
      <c r="AR16" s="1836"/>
      <c r="AS16" s="1836"/>
      <c r="AT16" s="1836"/>
      <c r="AU16" s="1836"/>
      <c r="AV16" s="1836"/>
      <c r="AW16" s="1836"/>
      <c r="AX16" s="1836"/>
      <c r="AY16" s="1836"/>
      <c r="AZ16" s="1836"/>
      <c r="BA16" s="1836"/>
      <c r="BB16" s="1836"/>
      <c r="BC16" s="1836"/>
      <c r="BE16" s="1301"/>
      <c r="BF16" s="1301" t="str">
        <f>IF(T16="","",T16)</f>
        <v/>
      </c>
      <c r="BG16" s="1301"/>
      <c r="BH16" s="1301"/>
      <c r="BI16" s="1030">
        <v>0</v>
      </c>
    </row>
    <row s="46890" customFormat="1" customHeight="1" ht="14.25" hidden="1">
      <c r="A17" s="1855"/>
      <c r="B17" s="1855"/>
      <c r="C17" s="1826"/>
      <c r="D17" s="1826"/>
      <c r="E17" s="2771"/>
      <c r="F17" s="2770"/>
      <c r="G17" s="1826"/>
      <c r="H17" s="1826"/>
      <c r="I17" s="1826"/>
      <c r="J17" s="1826"/>
      <c r="K17" s="1826"/>
      <c r="L17" s="1976"/>
      <c r="M17" s="1833"/>
      <c r="N17" s="1833"/>
      <c r="P17" s="1828"/>
      <c r="Q17" s="1829"/>
      <c r="R17" s="1828"/>
      <c r="S17" s="1834"/>
      <c r="T17" s="1837" t="s">
        <v>321</v>
      </c>
      <c r="U17" s="1836"/>
      <c r="V17" s="1836"/>
      <c r="W17" s="1836"/>
      <c r="X17" s="1836"/>
      <c r="Y17" s="1836"/>
      <c r="Z17" s="1836"/>
      <c r="AA17" s="1836"/>
      <c r="AB17" s="1836"/>
      <c r="AC17" s="1836"/>
      <c r="AD17" s="1836"/>
      <c r="AE17" s="1836"/>
      <c r="AF17" s="1836"/>
      <c r="AG17" s="1836"/>
      <c r="AH17" s="1836"/>
      <c r="AI17" s="1836"/>
      <c r="AJ17" s="1836"/>
      <c r="AK17" s="1836"/>
      <c r="AL17" s="1836"/>
      <c r="AM17" s="1836"/>
      <c r="AN17" s="1836"/>
      <c r="AO17" s="1836"/>
      <c r="AP17" s="1836"/>
      <c r="AQ17" s="1836"/>
      <c r="AR17" s="1836"/>
      <c r="AS17" s="1836"/>
      <c r="AT17" s="1836"/>
      <c r="AU17" s="1836"/>
      <c r="AV17" s="1836"/>
      <c r="AW17" s="1836"/>
      <c r="AX17" s="1836"/>
      <c r="AY17" s="1836"/>
      <c r="AZ17" s="1836"/>
      <c r="BA17" s="1836"/>
      <c r="BB17" s="1836"/>
      <c r="BC17" s="1836"/>
      <c r="BE17" s="1301"/>
      <c r="BF17" s="1301" t="str">
        <f>IF(T17="","",T17)</f>
        <v>Добавить централизованную систему для дифференциации</v>
      </c>
      <c r="BG17" s="1301"/>
      <c r="BH17" s="1301"/>
      <c r="BI17" s="1030">
        <v>0</v>
      </c>
    </row>
    <row s="46890" customFormat="1" customHeight="1" ht="14.25" hidden="1">
      <c r="A18" s="1855"/>
      <c r="B18" s="1855"/>
      <c r="C18" s="1855"/>
      <c r="D18" s="1855"/>
      <c r="E18" s="2770"/>
      <c r="F18" s="1855"/>
      <c r="G18" s="1855"/>
      <c r="H18" s="1855"/>
      <c r="I18" s="1855"/>
      <c r="J18" s="1855"/>
      <c r="K18" s="1855"/>
      <c r="L18" s="1858"/>
      <c r="M18" s="1833"/>
      <c r="N18" s="1833"/>
      <c r="O18" s="1030"/>
      <c r="P18" s="892"/>
      <c r="Q18" s="1856"/>
      <c r="R18" s="892"/>
      <c r="S18" s="1834"/>
      <c r="T18" s="1837" t="s">
        <v>385</v>
      </c>
      <c r="U18" s="1836"/>
      <c r="V18" s="1836"/>
      <c r="W18" s="1836"/>
      <c r="X18" s="1836"/>
      <c r="Y18" s="1836"/>
      <c r="Z18" s="1836"/>
      <c r="AA18" s="1836"/>
      <c r="AB18" s="1836"/>
      <c r="AC18" s="1836"/>
      <c r="AD18" s="1836"/>
      <c r="AE18" s="1836"/>
      <c r="AF18" s="1836"/>
      <c r="AG18" s="1836"/>
      <c r="AH18" s="1836"/>
      <c r="AI18" s="1836"/>
      <c r="AJ18" s="1836"/>
      <c r="AK18" s="1836"/>
      <c r="AL18" s="1836"/>
      <c r="AM18" s="1836"/>
      <c r="AN18" s="1836"/>
      <c r="AO18" s="1836"/>
      <c r="AP18" s="1836"/>
      <c r="AQ18" s="1836"/>
      <c r="AR18" s="1836"/>
      <c r="AS18" s="1836"/>
      <c r="AT18" s="1836"/>
      <c r="AU18" s="1836"/>
      <c r="AV18" s="1836"/>
      <c r="AW18" s="1836"/>
      <c r="AX18" s="1836"/>
      <c r="AY18" s="1836"/>
      <c r="AZ18" s="1836"/>
      <c r="BA18" s="1836"/>
      <c r="BB18" s="1836"/>
      <c r="BC18" s="1836"/>
      <c r="BE18" s="1012"/>
      <c r="BF18" s="1012" t="str">
        <f>IF(T18="","",T18)</f>
        <v>Добавить территорию для дифференциации</v>
      </c>
      <c r="BG18" s="1012"/>
      <c r="BH18" s="1012"/>
      <c r="BI18" s="1023">
        <v>0</v>
      </c>
    </row>
    <row customHeight="1" ht="14.25" hidden="1">
      <c r="AC19" s="839"/>
      <c r="BA19" s="839"/>
      <c r="BI19" s="1667">
        <v>0</v>
      </c>
    </row>
    <row customHeight="1" ht="14.25" hidden="1">
      <c r="AD20" s="1836" t="s">
        <v>19</v>
      </c>
      <c r="AE20" s="2013"/>
      <c r="AF20" s="1060">
        <v>1</v>
      </c>
      <c r="AG20" s="2014"/>
      <c r="AH20" s="1836" t="s">
        <v>19</v>
      </c>
      <c r="AI20" s="2013"/>
      <c r="AJ20" s="1060">
        <v>1</v>
      </c>
      <c r="AK20" s="2014"/>
      <c r="AL20" s="1836" t="s">
        <v>19</v>
      </c>
      <c r="AM20" s="2015"/>
      <c r="AN20" s="1060">
        <v>1</v>
      </c>
      <c r="AO20" s="2016"/>
      <c r="AP20" s="1836" t="s">
        <v>19</v>
      </c>
      <c r="AQ20" s="2015"/>
      <c r="AR20" s="1060">
        <v>1</v>
      </c>
      <c r="AS20" s="2016"/>
      <c r="AT20" s="837"/>
      <c r="AU20" s="896"/>
      <c r="AV20" s="837"/>
      <c r="AW20" s="896"/>
      <c r="AX20" s="2248"/>
      <c r="AY20" s="1972" t="s">
        <v>63</v>
      </c>
      <c r="AZ20" s="2248"/>
      <c r="BA20" s="1972" t="s">
        <v>63</v>
      </c>
      <c r="BI20" s="1667">
        <v>0</v>
      </c>
    </row>
    <row customHeight="1" ht="14.25" hidden="1">
      <c r="BD21" s="1008"/>
      <c r="BE21" s="1008"/>
      <c r="BF21" s="1008"/>
      <c r="BG21" s="1008"/>
      <c r="BH21" s="1008"/>
      <c r="BI21" s="1667">
        <v>0</v>
      </c>
    </row>
    <row customHeight="1" ht="14.25" hidden="1">
      <c r="O22" s="1879" t="s">
        <v>533</v>
      </c>
      <c r="Z22" s="1857"/>
      <c r="AB22" s="1857"/>
      <c r="AC22" s="839"/>
      <c r="AX22" s="1857"/>
      <c r="AZ22" s="1857"/>
      <c r="BA22" s="839"/>
      <c r="BD22" s="1008"/>
      <c r="BE22" s="1008"/>
      <c r="BF22" s="1008"/>
      <c r="BG22" s="1008"/>
      <c r="BH22" s="1008"/>
      <c r="BI22" s="1667">
        <v>0</v>
      </c>
    </row>
    <row customHeight="1" ht="14.25" hidden="1">
      <c r="AC23" s="839"/>
      <c r="BA23" s="839"/>
      <c r="BD23" s="1008"/>
      <c r="BE23" s="1008"/>
      <c r="BF23" s="1008"/>
      <c r="BG23" s="1008"/>
      <c r="BH23" s="1008"/>
      <c r="BI23" s="1667">
        <v>0</v>
      </c>
    </row>
    <row s="47895" customFormat="1" customHeight="1" ht="14.25" hidden="1">
      <c r="M24" s="2020"/>
      <c r="N24" s="2020"/>
      <c r="O24" s="2021" t="s">
        <v>534</v>
      </c>
      <c r="P24" s="2020"/>
      <c r="Q24" s="2022"/>
      <c r="R24" s="2022"/>
      <c r="AA24" s="2019" t="s">
        <v>536</v>
      </c>
      <c r="AC24" s="2019" t="s">
        <v>537</v>
      </c>
      <c r="AD24" s="2019" t="s">
        <v>584</v>
      </c>
      <c r="AH24" s="2019" t="s">
        <v>584</v>
      </c>
      <c r="AK24" s="2019" t="s">
        <v>621</v>
      </c>
      <c r="AL24" s="2019" t="s">
        <v>584</v>
      </c>
      <c r="AP24" s="2019" t="s">
        <v>584</v>
      </c>
      <c r="AY24" s="2019" t="s">
        <v>536</v>
      </c>
      <c r="BA24" s="2019" t="s">
        <v>537</v>
      </c>
      <c r="BD24" s="2023"/>
      <c r="BE24" s="2023"/>
      <c r="BF24" s="2023"/>
      <c r="BG24" s="2023"/>
      <c r="BH24" s="2023"/>
      <c r="BI24" s="2019">
        <v>0</v>
      </c>
    </row>
    <row customHeight="1" ht="14.25" hidden="1">
      <c r="O25" s="1876"/>
      <c r="BD25" s="1008"/>
      <c r="BE25" s="1008"/>
      <c r="BF25" s="1008"/>
      <c r="BG25" s="1008"/>
      <c r="BH25" s="1008"/>
      <c r="BI25" s="1667">
        <v>0</v>
      </c>
    </row>
    <row customHeight="1" ht="14.25" hidden="1">
      <c r="O26" s="1876"/>
      <c r="BD26" s="1008"/>
      <c r="BE26" s="1008"/>
      <c r="BF26" s="1008"/>
      <c r="BG26" s="1008"/>
      <c r="BH26" s="1008"/>
      <c r="BI26" s="1667">
        <v>0</v>
      </c>
    </row>
    <row customHeight="1" ht="14.699999999999998">
      <c r="Q27" s="803"/>
      <c r="R27" s="888"/>
      <c r="S27" s="1787"/>
      <c r="T27" s="875"/>
      <c r="U27" s="875"/>
      <c r="V27" s="1021"/>
      <c r="W27" s="1021"/>
      <c r="X27" s="1021"/>
      <c r="Y27" s="1021"/>
      <c r="Z27" s="1021"/>
      <c r="AA27" s="1021"/>
      <c r="AB27" s="1021"/>
      <c r="AC27" s="1021"/>
      <c r="AD27" s="1021"/>
      <c r="AE27" s="1021"/>
      <c r="AF27" s="1021"/>
      <c r="AG27" s="1021"/>
      <c r="AH27" s="1021"/>
      <c r="AI27" s="1021"/>
      <c r="AJ27" s="1021"/>
      <c r="AK27" s="1021"/>
      <c r="AL27" s="1021"/>
      <c r="AM27" s="1021"/>
      <c r="AN27" s="1021"/>
      <c r="AO27" s="1021"/>
      <c r="AP27" s="1021"/>
      <c r="AQ27" s="1021"/>
      <c r="AR27" s="1021"/>
      <c r="AS27" s="1021"/>
      <c r="AT27" s="1021"/>
      <c r="AU27" s="1021"/>
      <c r="AV27" s="1021"/>
      <c r="AW27" s="1021"/>
      <c r="AX27" s="1021"/>
      <c r="AY27" s="1021"/>
      <c r="AZ27" s="1021"/>
      <c r="BA27" s="1021"/>
      <c r="BI27" s="1667">
        <v>14</v>
      </c>
    </row>
    <row customHeight="1" ht="14.699999999999998">
      <c r="Q28" s="803"/>
      <c r="R28" s="888"/>
      <c r="S28" s="2760"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760"/>
      <c r="U28" s="2760"/>
      <c r="V28" s="2760"/>
      <c r="W28" s="2760"/>
      <c r="X28" s="2760"/>
      <c r="Y28" s="2760"/>
      <c r="Z28" s="2760"/>
      <c r="AA28" s="2760"/>
      <c r="AB28" s="2760"/>
      <c r="AC28" s="2760"/>
      <c r="AD28" s="2760"/>
      <c r="AE28" s="2760"/>
      <c r="AF28" s="2760"/>
      <c r="AG28" s="2760"/>
      <c r="AH28" s="2760"/>
      <c r="AI28" s="2760"/>
      <c r="AJ28" s="2760"/>
      <c r="AK28" s="2760"/>
      <c r="AL28" s="2760"/>
      <c r="AM28" s="2760"/>
      <c r="AN28" s="2760"/>
      <c r="AO28" s="2760"/>
      <c r="AP28" s="2760"/>
      <c r="AQ28" s="2760"/>
      <c r="AR28" s="2760"/>
      <c r="AS28" s="2760"/>
      <c r="AT28" s="2760"/>
      <c r="AU28" s="2760"/>
      <c r="AV28" s="2760"/>
      <c r="AW28" s="2760"/>
      <c r="AX28" s="2760"/>
      <c r="AY28" s="2760"/>
      <c r="AZ28" s="2760"/>
      <c r="BA28" s="1755"/>
      <c r="BI28" s="1667">
        <v>14</v>
      </c>
    </row>
    <row customHeight="1" ht="14.699999999999998">
      <c r="Q29" s="803"/>
      <c r="R29" s="888"/>
      <c r="S29" s="2761" t="str">
        <f>IF(org=0,"Не определено",org)</f>
        <v>КГУП "Примтеплоэнерго"</v>
      </c>
      <c r="T29" s="2761"/>
      <c r="U29" s="2761"/>
      <c r="V29" s="2761"/>
      <c r="W29" s="2761"/>
      <c r="X29" s="2761"/>
      <c r="Y29" s="2761"/>
      <c r="Z29" s="2761"/>
      <c r="AA29" s="2761"/>
      <c r="AB29" s="2761"/>
      <c r="AC29" s="2761"/>
      <c r="AD29" s="2761"/>
      <c r="AE29" s="2761"/>
      <c r="AF29" s="2761"/>
      <c r="AG29" s="2761"/>
      <c r="AH29" s="2761"/>
      <c r="AI29" s="2761"/>
      <c r="AJ29" s="2761"/>
      <c r="AK29" s="2761"/>
      <c r="AL29" s="2761"/>
      <c r="AM29" s="2761"/>
      <c r="AN29" s="2761"/>
      <c r="AO29" s="2761"/>
      <c r="AP29" s="2761"/>
      <c r="AQ29" s="2761"/>
      <c r="AR29" s="2761"/>
      <c r="AS29" s="2761"/>
      <c r="AT29" s="2761"/>
      <c r="AU29" s="2761"/>
      <c r="AV29" s="2761"/>
      <c r="AW29" s="2761"/>
      <c r="AX29" s="2761"/>
      <c r="AY29" s="2761"/>
      <c r="AZ29" s="2761"/>
      <c r="BA29" s="1755"/>
      <c r="BI29" s="1667">
        <v>14</v>
      </c>
    </row>
    <row customHeight="1" ht="14.25">
      <c r="Q30" s="803"/>
      <c r="R30" s="888"/>
      <c r="S30" s="1787"/>
      <c r="T30" s="875"/>
      <c r="U30" s="875"/>
      <c r="V30" s="834"/>
      <c r="W30" s="834"/>
      <c r="X30" s="834"/>
      <c r="Y30" s="834"/>
      <c r="Z30" s="834"/>
      <c r="AA30" s="834"/>
      <c r="AB30" s="834"/>
      <c r="AC30" s="834"/>
      <c r="AD30" s="834"/>
      <c r="AE30" s="834"/>
      <c r="AF30" s="834"/>
      <c r="AG30" s="834"/>
      <c r="AH30" s="834"/>
      <c r="AI30" s="834"/>
      <c r="AJ30" s="834"/>
      <c r="AK30" s="834"/>
      <c r="AL30" s="834"/>
      <c r="AM30" s="834"/>
      <c r="AN30" s="834"/>
      <c r="AO30" s="834"/>
      <c r="AP30" s="834"/>
      <c r="AQ30" s="834"/>
      <c r="AR30" s="834"/>
      <c r="AS30" s="834"/>
      <c r="AT30" s="834"/>
      <c r="AU30" s="834"/>
      <c r="AV30" s="834"/>
      <c r="AW30" s="834"/>
      <c r="AX30" s="834"/>
      <c r="AY30" s="834"/>
      <c r="AZ30" s="834"/>
      <c r="BA30" s="834"/>
      <c r="BB30" s="1021"/>
      <c r="BI30" s="1667">
        <v>0</v>
      </c>
    </row>
    <row s="47026" customFormat="1" customHeight="1" ht="25.5">
      <c r="A31" s="1880"/>
      <c r="B31" s="1880"/>
      <c r="C31" s="1880"/>
      <c r="D31" s="1880"/>
      <c r="E31" s="1880"/>
      <c r="F31" s="1880"/>
      <c r="G31" s="1880"/>
      <c r="H31" s="1880"/>
      <c r="I31" s="1880"/>
      <c r="J31" s="1880"/>
      <c r="K31" s="1880"/>
      <c r="L31" s="1881"/>
      <c r="M31" s="1880"/>
      <c r="N31" s="1880"/>
      <c r="O31" s="1880"/>
      <c r="P31" s="1880"/>
      <c r="Q31" s="1880"/>
      <c r="S31" s="2762" t="s">
        <v>42</v>
      </c>
      <c r="T31" s="2762"/>
      <c r="U31" s="1884"/>
      <c r="V31" s="2763" t="str">
        <f>IF(TITLE_NAME_OR_PR_CHANGE="",IF(TITLE_NAME_OR_PR="","",TITLE_NAME_OR_PR),TITLE_NAME_OR_PR_CHANGE)</f>
        <v>Агентство по тарифам Приморского края</v>
      </c>
      <c r="W31" s="2763"/>
      <c r="X31" s="2763"/>
      <c r="Y31" s="2763"/>
      <c r="Z31" s="2763"/>
      <c r="AA31" s="2763"/>
      <c r="AB31" s="2763"/>
      <c r="AC31" s="838"/>
      <c r="AD31" s="2763" t="str">
        <f>IF(TITLE_NAME_OR_PR_CHANGE="",IF(TITLE_NAME_OR_PR="","",TITLE_NAME_OR_PR),TITLE_NAME_OR_PR_CHANGE)</f>
        <v>Агентство по тарифам Приморского края</v>
      </c>
      <c r="AE31" s="2763"/>
      <c r="AF31" s="2763"/>
      <c r="AG31" s="2763"/>
      <c r="AH31" s="2763"/>
      <c r="AI31" s="2763"/>
      <c r="AJ31" s="2763"/>
      <c r="AK31" s="2763"/>
      <c r="AL31" s="2763"/>
      <c r="AM31" s="2763"/>
      <c r="AN31" s="2763"/>
      <c r="AO31" s="2763"/>
      <c r="AP31" s="2763"/>
      <c r="AQ31" s="2763"/>
      <c r="AR31" s="2763"/>
      <c r="AS31" s="2763"/>
      <c r="AT31" s="2763"/>
      <c r="AU31" s="2763"/>
      <c r="AV31" s="2763"/>
      <c r="AW31" s="2763"/>
      <c r="AX31" s="2763"/>
      <c r="AY31" s="2763"/>
      <c r="AZ31" s="2763"/>
      <c r="BA31" s="838"/>
      <c r="BB31" s="838"/>
      <c r="BC31" s="792"/>
      <c r="BD31" s="880"/>
      <c r="BE31" s="880"/>
      <c r="BF31" s="880"/>
      <c r="BG31" s="880"/>
      <c r="BH31" s="880"/>
      <c r="BI31" s="930">
        <v>0</v>
      </c>
    </row>
    <row s="47026" customFormat="1" customHeight="1" ht="18.75">
      <c r="A32" s="1880"/>
      <c r="B32" s="1880"/>
      <c r="C32" s="1880"/>
      <c r="D32" s="1880"/>
      <c r="E32" s="1880"/>
      <c r="F32" s="1880"/>
      <c r="G32" s="1880"/>
      <c r="H32" s="1880"/>
      <c r="I32" s="1880"/>
      <c r="J32" s="1880"/>
      <c r="K32" s="1880"/>
      <c r="L32" s="1881"/>
      <c r="M32" s="1880"/>
      <c r="N32" s="1880"/>
      <c r="O32" s="1880"/>
      <c r="P32" s="1880"/>
      <c r="Q32" s="1880"/>
      <c r="S32" s="2762" t="s">
        <v>539</v>
      </c>
      <c r="T32" s="2762"/>
      <c r="U32" s="1884"/>
      <c r="V32" s="2776" t="str">
        <f>IF(TITLE_DATE_PR_CHANGE="",IF(TITLE_DATE_PR="","",TITLE_DATE_PR),TITLE_DATE_PR_CHANGE)</f>
        <v>45631.495844907404</v>
      </c>
      <c r="W32" s="2776"/>
      <c r="X32" s="2776"/>
      <c r="Y32" s="2776"/>
      <c r="Z32" s="2776"/>
      <c r="AA32" s="2776"/>
      <c r="AB32" s="2776"/>
      <c r="AC32" s="838"/>
      <c r="AD32" s="2776" t="str">
        <f>IF(TITLE_DATE_PR_CHANGE="",IF(TITLE_DATE_PR="","",TITLE_DATE_PR),TITLE_DATE_PR_CHANGE)</f>
        <v>45631.495844907404</v>
      </c>
      <c r="AE32" s="2776"/>
      <c r="AF32" s="2776"/>
      <c r="AG32" s="2776"/>
      <c r="AH32" s="2776"/>
      <c r="AI32" s="2776"/>
      <c r="AJ32" s="2776"/>
      <c r="AK32" s="2776"/>
      <c r="AL32" s="2776"/>
      <c r="AM32" s="2776"/>
      <c r="AN32" s="2776"/>
      <c r="AO32" s="2776"/>
      <c r="AP32" s="2776"/>
      <c r="AQ32" s="2776"/>
      <c r="AR32" s="2776"/>
      <c r="AS32" s="2776"/>
      <c r="AT32" s="2776"/>
      <c r="AU32" s="2776"/>
      <c r="AV32" s="2776"/>
      <c r="AW32" s="2776"/>
      <c r="AX32" s="2776"/>
      <c r="AY32" s="2776"/>
      <c r="AZ32" s="2776"/>
      <c r="BA32" s="838"/>
      <c r="BB32" s="838"/>
      <c r="BC32" s="792"/>
      <c r="BD32" s="880"/>
      <c r="BE32" s="880"/>
      <c r="BF32" s="880"/>
      <c r="BG32" s="880"/>
      <c r="BH32" s="880"/>
      <c r="BI32" s="930">
        <v>0</v>
      </c>
    </row>
    <row s="47026" customFormat="1" customHeight="1" ht="18.75">
      <c r="A33" s="1880"/>
      <c r="B33" s="1880"/>
      <c r="C33" s="1880"/>
      <c r="D33" s="1880"/>
      <c r="E33" s="1880"/>
      <c r="F33" s="1880"/>
      <c r="G33" s="1880"/>
      <c r="H33" s="1880"/>
      <c r="I33" s="1880"/>
      <c r="J33" s="1880"/>
      <c r="K33" s="1880"/>
      <c r="L33" s="1881"/>
      <c r="M33" s="1880"/>
      <c r="N33" s="1880"/>
      <c r="O33" s="1880"/>
      <c r="P33" s="1880"/>
      <c r="Q33" s="1880"/>
      <c r="S33" s="2762" t="s">
        <v>540</v>
      </c>
      <c r="T33" s="2762"/>
      <c r="U33" s="1884"/>
      <c r="V33" s="2763" t="str">
        <f>IF(TITLE_NUMBER_PR_CHANGE="",IF(TITLE_NUMBER_PR="","",TITLE_NUMBER_PR),TITLE_NUMBER_PR_CHANGE)</f>
        <v>53/9</v>
      </c>
      <c r="W33" s="2763"/>
      <c r="X33" s="2763"/>
      <c r="Y33" s="2763"/>
      <c r="Z33" s="2763"/>
      <c r="AA33" s="2763"/>
      <c r="AB33" s="2763"/>
      <c r="AC33" s="838"/>
      <c r="AD33" s="2763" t="str">
        <f>IF(TITLE_NUMBER_PR_CHANGE="",IF(TITLE_NUMBER_PR="","",TITLE_NUMBER_PR),TITLE_NUMBER_PR_CHANGE)</f>
        <v>53/9</v>
      </c>
      <c r="AE33" s="2763"/>
      <c r="AF33" s="2763"/>
      <c r="AG33" s="2763"/>
      <c r="AH33" s="2763"/>
      <c r="AI33" s="2763"/>
      <c r="AJ33" s="2763"/>
      <c r="AK33" s="2763"/>
      <c r="AL33" s="2763"/>
      <c r="AM33" s="2763"/>
      <c r="AN33" s="2763"/>
      <c r="AO33" s="2763"/>
      <c r="AP33" s="2763"/>
      <c r="AQ33" s="2763"/>
      <c r="AR33" s="2763"/>
      <c r="AS33" s="2763"/>
      <c r="AT33" s="2763"/>
      <c r="AU33" s="2763"/>
      <c r="AV33" s="2763"/>
      <c r="AW33" s="2763"/>
      <c r="AX33" s="2763"/>
      <c r="AY33" s="2763"/>
      <c r="AZ33" s="2763"/>
      <c r="BA33" s="838"/>
      <c r="BB33" s="838"/>
      <c r="BC33" s="792"/>
      <c r="BD33" s="880"/>
      <c r="BE33" s="880"/>
      <c r="BF33" s="880"/>
      <c r="BG33" s="880"/>
      <c r="BH33" s="880"/>
      <c r="BI33" s="930">
        <v>0</v>
      </c>
    </row>
    <row s="47026" customFormat="1" customHeight="1" ht="18.75">
      <c r="A34" s="1880"/>
      <c r="B34" s="1880"/>
      <c r="C34" s="1880"/>
      <c r="D34" s="1880"/>
      <c r="E34" s="1880"/>
      <c r="F34" s="1880"/>
      <c r="G34" s="1880"/>
      <c r="H34" s="1880"/>
      <c r="I34" s="1880"/>
      <c r="J34" s="1880"/>
      <c r="K34" s="1880"/>
      <c r="L34" s="1881"/>
      <c r="M34" s="1880"/>
      <c r="N34" s="1880"/>
      <c r="O34" s="1880"/>
      <c r="P34" s="1880"/>
      <c r="Q34" s="1880"/>
      <c r="S34" s="2762" t="s">
        <v>44</v>
      </c>
      <c r="T34" s="2762"/>
      <c r="U34" s="1884"/>
      <c r="V34" s="2763" t="str">
        <f>IF(TITLE_IST_PUB_CHANGE="",IF(TITLE_IST_PUB="","",TITLE_IST_PUB),TITLE_IST_PUB_CHANGE)</f>
        <v>http://pravo.gov.ru</v>
      </c>
      <c r="W34" s="2763"/>
      <c r="X34" s="2763"/>
      <c r="Y34" s="2763"/>
      <c r="Z34" s="2763"/>
      <c r="AA34" s="2763"/>
      <c r="AB34" s="2763"/>
      <c r="AC34" s="838"/>
      <c r="AD34" s="2763" t="str">
        <f>IF(TITLE_IST_PUB_CHANGE="",IF(TITLE_IST_PUB="","",TITLE_IST_PUB),TITLE_IST_PUB_CHANGE)</f>
        <v>http://pravo.gov.ru</v>
      </c>
      <c r="AE34" s="2763"/>
      <c r="AF34" s="2763"/>
      <c r="AG34" s="2763"/>
      <c r="AH34" s="2763"/>
      <c r="AI34" s="2763"/>
      <c r="AJ34" s="2763"/>
      <c r="AK34" s="2763"/>
      <c r="AL34" s="2763"/>
      <c r="AM34" s="2763"/>
      <c r="AN34" s="2763"/>
      <c r="AO34" s="2763"/>
      <c r="AP34" s="2763"/>
      <c r="AQ34" s="2763"/>
      <c r="AR34" s="2763"/>
      <c r="AS34" s="2763"/>
      <c r="AT34" s="2763"/>
      <c r="AU34" s="2763"/>
      <c r="AV34" s="2763"/>
      <c r="AW34" s="2763"/>
      <c r="AX34" s="2763"/>
      <c r="AY34" s="2763"/>
      <c r="AZ34" s="2763"/>
      <c r="BA34" s="838"/>
      <c r="BB34" s="838"/>
      <c r="BC34" s="792"/>
      <c r="BD34" s="880"/>
      <c r="BE34" s="880"/>
      <c r="BF34" s="880"/>
      <c r="BG34" s="880"/>
      <c r="BH34" s="880"/>
      <c r="BI34" s="930">
        <v>0</v>
      </c>
    </row>
    <row customHeight="1" ht="14.25" hidden="1">
      <c r="Q35" s="803"/>
      <c r="R35" s="888"/>
      <c r="S35" s="1787"/>
      <c r="T35" s="875"/>
      <c r="U35" s="875"/>
      <c r="V35" s="834"/>
      <c r="W35" s="834"/>
      <c r="X35" s="834"/>
      <c r="Y35" s="834"/>
      <c r="Z35" s="834"/>
      <c r="AA35" s="834"/>
      <c r="AB35" s="834"/>
      <c r="AC35" s="834"/>
      <c r="AD35" s="834"/>
      <c r="AE35" s="834"/>
      <c r="AF35" s="834"/>
      <c r="AG35" s="834"/>
      <c r="AH35" s="834"/>
      <c r="AI35" s="834"/>
      <c r="AJ35" s="834"/>
      <c r="AK35" s="834"/>
      <c r="AL35" s="834"/>
      <c r="AM35" s="834"/>
      <c r="AN35" s="834"/>
      <c r="AO35" s="834"/>
      <c r="AP35" s="834"/>
      <c r="AQ35" s="834"/>
      <c r="AR35" s="834"/>
      <c r="AS35" s="834"/>
      <c r="AT35" s="834"/>
      <c r="AU35" s="834"/>
      <c r="AV35" s="834"/>
      <c r="AW35" s="834"/>
      <c r="AX35" s="834"/>
      <c r="AY35" s="834"/>
      <c r="AZ35" s="834"/>
      <c r="BA35" s="834"/>
      <c r="BB35" s="1021"/>
      <c r="BI35" s="1667">
        <v>0</v>
      </c>
    </row>
    <row s="47026" customFormat="1" customHeight="1" ht="18.75" hidden="1">
      <c r="A36" s="1880"/>
      <c r="B36" s="1880"/>
      <c r="C36" s="1880"/>
      <c r="D36" s="1880"/>
      <c r="E36" s="1880"/>
      <c r="F36" s="1880"/>
      <c r="G36" s="1880"/>
      <c r="H36" s="1880"/>
      <c r="I36" s="1880"/>
      <c r="J36" s="1880"/>
      <c r="K36" s="1880"/>
      <c r="L36" s="1881"/>
      <c r="M36" s="1880"/>
      <c r="N36" s="1880"/>
      <c r="O36" s="1880"/>
      <c r="P36" s="1880"/>
      <c r="Q36" s="1880"/>
      <c r="S36" s="2762" t="s">
        <v>539</v>
      </c>
      <c r="T36" s="2762"/>
      <c r="U36" s="1884"/>
      <c r="V36" s="2776" t="str">
        <f>IF(TITLE_DATE_PR_CHANGE="",IF(TITLE_DATE_PR="","",TITLE_DATE_PR),TITLE_DATE_PR_CHANGE)</f>
        <v>45631.495844907404</v>
      </c>
      <c r="W36" s="2776"/>
      <c r="X36" s="2776"/>
      <c r="Y36" s="2776"/>
      <c r="Z36" s="2776"/>
      <c r="AA36" s="2776"/>
      <c r="AB36" s="2776"/>
      <c r="AC36" s="838"/>
      <c r="AD36" s="2776" t="str">
        <f>IF(TITLE_DATE_PR_CHANGE="",IF(TITLE_DATE_PR="","",TITLE_DATE_PR),TITLE_DATE_PR_CHANGE)</f>
        <v>45631.495844907404</v>
      </c>
      <c r="AE36" s="2776"/>
      <c r="AF36" s="2776"/>
      <c r="AG36" s="2776"/>
      <c r="AH36" s="2776"/>
      <c r="AI36" s="2776"/>
      <c r="AJ36" s="2776"/>
      <c r="AK36" s="2776"/>
      <c r="AL36" s="2776"/>
      <c r="AM36" s="2776"/>
      <c r="AN36" s="2776"/>
      <c r="AO36" s="2776"/>
      <c r="AP36" s="2776"/>
      <c r="AQ36" s="2776"/>
      <c r="AR36" s="2776"/>
      <c r="AS36" s="2776"/>
      <c r="AT36" s="2776"/>
      <c r="AU36" s="2776"/>
      <c r="AV36" s="2776"/>
      <c r="AW36" s="2776"/>
      <c r="AX36" s="2776"/>
      <c r="AY36" s="2776"/>
      <c r="AZ36" s="2776"/>
      <c r="BA36" s="838"/>
      <c r="BB36" s="838"/>
      <c r="BC36" s="792"/>
      <c r="BD36" s="880"/>
      <c r="BE36" s="880"/>
      <c r="BF36" s="880"/>
      <c r="BG36" s="880"/>
      <c r="BH36" s="880"/>
      <c r="BI36" s="930">
        <v>0</v>
      </c>
    </row>
    <row s="47026" customFormat="1" customHeight="1" ht="18.75" hidden="1">
      <c r="A37" s="1880"/>
      <c r="B37" s="1880"/>
      <c r="C37" s="1880"/>
      <c r="D37" s="1880"/>
      <c r="E37" s="1880"/>
      <c r="F37" s="1880"/>
      <c r="G37" s="1880"/>
      <c r="H37" s="1880"/>
      <c r="I37" s="1880"/>
      <c r="J37" s="1880"/>
      <c r="K37" s="1880"/>
      <c r="L37" s="1881"/>
      <c r="M37" s="1880"/>
      <c r="N37" s="1880"/>
      <c r="O37" s="1880"/>
      <c r="P37" s="1880"/>
      <c r="Q37" s="1880"/>
      <c r="S37" s="2762" t="s">
        <v>540</v>
      </c>
      <c r="T37" s="2762"/>
      <c r="U37" s="1884"/>
      <c r="V37" s="2763" t="str">
        <f>IF(TITLE_NUMBER_PR_CHANGE="",IF(TITLE_NUMBER_PR="","",TITLE_NUMBER_PR),TITLE_NUMBER_PR_CHANGE)</f>
        <v>53/9</v>
      </c>
      <c r="W37" s="2763"/>
      <c r="X37" s="2763"/>
      <c r="Y37" s="2763"/>
      <c r="Z37" s="2763"/>
      <c r="AA37" s="2763"/>
      <c r="AB37" s="2763"/>
      <c r="AC37" s="838"/>
      <c r="AD37" s="2763" t="str">
        <f>IF(TITLE_NUMBER_PR_CHANGE="",IF(TITLE_NUMBER_PR="","",TITLE_NUMBER_PR),TITLE_NUMBER_PR_CHANGE)</f>
        <v>53/9</v>
      </c>
      <c r="AE37" s="2763"/>
      <c r="AF37" s="2763"/>
      <c r="AG37" s="2763"/>
      <c r="AH37" s="2763"/>
      <c r="AI37" s="2763"/>
      <c r="AJ37" s="2763"/>
      <c r="AK37" s="2763"/>
      <c r="AL37" s="2763"/>
      <c r="AM37" s="2763"/>
      <c r="AN37" s="2763"/>
      <c r="AO37" s="2763"/>
      <c r="AP37" s="2763"/>
      <c r="AQ37" s="2763"/>
      <c r="AR37" s="2763"/>
      <c r="AS37" s="2763"/>
      <c r="AT37" s="2763"/>
      <c r="AU37" s="2763"/>
      <c r="AV37" s="2763"/>
      <c r="AW37" s="2763"/>
      <c r="AX37" s="2763"/>
      <c r="AY37" s="2763"/>
      <c r="AZ37" s="2763"/>
      <c r="BA37" s="838"/>
      <c r="BB37" s="838"/>
      <c r="BC37" s="792"/>
      <c r="BD37" s="880"/>
      <c r="BE37" s="880"/>
      <c r="BF37" s="880"/>
      <c r="BG37" s="880"/>
      <c r="BH37" s="880"/>
      <c r="BI37" s="930">
        <v>0</v>
      </c>
    </row>
    <row s="47026" customFormat="1" customHeight="1" ht="0">
      <c r="A38" s="1880"/>
      <c r="B38" s="1880"/>
      <c r="C38" s="1880"/>
      <c r="D38" s="1880"/>
      <c r="E38" s="1880"/>
      <c r="F38" s="1880"/>
      <c r="G38" s="1880"/>
      <c r="H38" s="1880"/>
      <c r="I38" s="1880"/>
      <c r="J38" s="1880"/>
      <c r="K38" s="1880"/>
      <c r="L38" s="1881"/>
      <c r="M38" s="1880"/>
      <c r="N38" s="1880"/>
      <c r="O38" s="1880"/>
      <c r="P38" s="1880"/>
      <c r="Q38" s="1880"/>
      <c r="S38" s="835"/>
      <c r="T38" s="835"/>
      <c r="U38" s="1966"/>
      <c r="V38" s="838"/>
      <c r="W38" s="838"/>
      <c r="X38" s="838"/>
      <c r="Y38" s="838"/>
      <c r="Z38" s="838"/>
      <c r="AA38" s="838"/>
      <c r="AB38" s="838"/>
      <c r="AC38" s="790" t="s">
        <v>543</v>
      </c>
      <c r="AD38" s="838"/>
      <c r="AE38" s="838"/>
      <c r="AF38" s="838"/>
      <c r="AG38" s="838"/>
      <c r="AH38" s="838"/>
      <c r="AI38" s="838"/>
      <c r="AJ38" s="838"/>
      <c r="AK38" s="838"/>
      <c r="AL38" s="838"/>
      <c r="AM38" s="838"/>
      <c r="AN38" s="838"/>
      <c r="AO38" s="838"/>
      <c r="AP38" s="838"/>
      <c r="AQ38" s="838"/>
      <c r="AR38" s="838"/>
      <c r="AS38" s="838"/>
      <c r="AT38" s="838"/>
      <c r="AU38" s="838"/>
      <c r="AV38" s="838"/>
      <c r="AW38" s="838"/>
      <c r="AX38" s="838"/>
      <c r="AY38" s="838"/>
      <c r="AZ38" s="838"/>
      <c r="BA38" s="790" t="s">
        <v>543</v>
      </c>
      <c r="BD38" s="880"/>
      <c r="BE38" s="880"/>
      <c r="BF38" s="880"/>
      <c r="BG38" s="880"/>
      <c r="BH38" s="880"/>
      <c r="BI38" s="930">
        <v>0</v>
      </c>
    </row>
    <row customHeight="1" ht="14.699999999999998">
      <c r="Q39" s="803"/>
      <c r="R39" s="888"/>
      <c r="S39" s="1787"/>
      <c r="T39" s="875"/>
      <c r="U39" s="1756"/>
      <c r="V39" s="2764"/>
      <c r="W39" s="2764"/>
      <c r="X39" s="2764"/>
      <c r="Y39" s="2764"/>
      <c r="Z39" s="2764"/>
      <c r="AA39" s="2764"/>
      <c r="AB39" s="2764"/>
      <c r="AC39" s="2764"/>
      <c r="AD39" s="2764"/>
      <c r="AE39" s="2764"/>
      <c r="AF39" s="2764"/>
      <c r="AG39" s="2764"/>
      <c r="AH39" s="2764"/>
      <c r="AI39" s="2764"/>
      <c r="AJ39" s="2764"/>
      <c r="AK39" s="2764"/>
      <c r="AL39" s="2764"/>
      <c r="AM39" s="2764"/>
      <c r="AN39" s="2764"/>
      <c r="AO39" s="2764"/>
      <c r="AP39" s="2764"/>
      <c r="AQ39" s="2764"/>
      <c r="AR39" s="2764"/>
      <c r="AS39" s="2764"/>
      <c r="AT39" s="2764"/>
      <c r="AU39" s="2764"/>
      <c r="AV39" s="2764"/>
      <c r="AW39" s="2764"/>
      <c r="AX39" s="2764"/>
      <c r="AY39" s="2764"/>
      <c r="AZ39" s="2764"/>
      <c r="BA39" s="2764"/>
      <c r="BI39" s="1667">
        <v>14</v>
      </c>
    </row>
    <row customHeight="1" ht="14.699999999999998">
      <c r="Q40" s="803"/>
      <c r="R40" s="888"/>
      <c r="S40" s="2639" t="s">
        <v>418</v>
      </c>
      <c r="T40" s="2639"/>
      <c r="U40" s="2639"/>
      <c r="V40" s="2639"/>
      <c r="W40" s="2639"/>
      <c r="X40" s="2639"/>
      <c r="Y40" s="2639"/>
      <c r="Z40" s="2639"/>
      <c r="AA40" s="2639"/>
      <c r="AB40" s="2639"/>
      <c r="AC40" s="2639"/>
      <c r="AD40" s="2639"/>
      <c r="AE40" s="2639"/>
      <c r="AF40" s="2639"/>
      <c r="AG40" s="2639"/>
      <c r="AH40" s="2639"/>
      <c r="AI40" s="2639"/>
      <c r="AJ40" s="2639"/>
      <c r="AK40" s="2639"/>
      <c r="AL40" s="2639"/>
      <c r="AM40" s="2639"/>
      <c r="AN40" s="2639"/>
      <c r="AO40" s="2639"/>
      <c r="AP40" s="2639"/>
      <c r="AQ40" s="2639"/>
      <c r="AR40" s="2639"/>
      <c r="AS40" s="2639"/>
      <c r="AT40" s="2639"/>
      <c r="AU40" s="2639"/>
      <c r="AV40" s="2639"/>
      <c r="AW40" s="2639"/>
      <c r="AX40" s="2639"/>
      <c r="AY40" s="2639"/>
      <c r="AZ40" s="2639"/>
      <c r="BA40" s="2639"/>
      <c r="BB40" s="2639"/>
      <c r="BC40" s="2639" t="s">
        <v>419</v>
      </c>
      <c r="BI40" s="1667">
        <v>14</v>
      </c>
    </row>
    <row customHeight="1" ht="14.699999999999998">
      <c r="Q41" s="803"/>
      <c r="R41" s="888"/>
      <c r="S41" s="2785" t="s">
        <v>90</v>
      </c>
      <c r="T41" s="2721" t="s">
        <v>622</v>
      </c>
      <c r="U41" s="813"/>
      <c r="V41" s="2786" t="s">
        <v>545</v>
      </c>
      <c r="W41" s="2787"/>
      <c r="X41" s="2787"/>
      <c r="Y41" s="2787"/>
      <c r="Z41" s="2787"/>
      <c r="AA41" s="2787"/>
      <c r="AB41" s="2788"/>
      <c r="AC41" s="2789" t="s">
        <v>546</v>
      </c>
      <c r="AD41" s="2840" t="s">
        <v>623</v>
      </c>
      <c r="AE41" s="2803"/>
      <c r="AF41" s="2803"/>
      <c r="AG41" s="2841"/>
      <c r="AH41" s="2840" t="s">
        <v>624</v>
      </c>
      <c r="AI41" s="2803"/>
      <c r="AJ41" s="2803"/>
      <c r="AK41" s="2841"/>
      <c r="AL41" s="2840" t="s">
        <v>625</v>
      </c>
      <c r="AM41" s="2803"/>
      <c r="AN41" s="2803"/>
      <c r="AO41" s="2841"/>
      <c r="AP41" s="2840" t="s">
        <v>626</v>
      </c>
      <c r="AQ41" s="2803"/>
      <c r="AR41" s="2803"/>
      <c r="AS41" s="2841"/>
      <c r="AT41" s="2786" t="s">
        <v>545</v>
      </c>
      <c r="AU41" s="2787"/>
      <c r="AV41" s="2787"/>
      <c r="AW41" s="2787"/>
      <c r="AX41" s="2787"/>
      <c r="AY41" s="2787"/>
      <c r="AZ41" s="2788"/>
      <c r="BA41" s="2789" t="s">
        <v>546</v>
      </c>
      <c r="BB41" s="2792" t="s">
        <v>548</v>
      </c>
      <c r="BC41" s="2639"/>
      <c r="BI41" s="1667">
        <v>14</v>
      </c>
    </row>
    <row customHeight="1" ht="35.699999999999996">
      <c r="Q42" s="803"/>
      <c r="R42" s="888"/>
      <c r="S42" s="2785"/>
      <c r="T42" s="2721"/>
      <c r="U42" s="1543"/>
      <c r="V42" s="2704" t="s">
        <v>627</v>
      </c>
      <c r="W42" s="2705"/>
      <c r="X42" s="2704" t="s">
        <v>628</v>
      </c>
      <c r="Y42" s="2705"/>
      <c r="Z42" s="2806" t="s">
        <v>629</v>
      </c>
      <c r="AA42" s="2825"/>
      <c r="AB42" s="2826"/>
      <c r="AC42" s="2790"/>
      <c r="AD42" s="2842"/>
      <c r="AE42" s="2843"/>
      <c r="AF42" s="2843"/>
      <c r="AG42" s="2844"/>
      <c r="AH42" s="2842"/>
      <c r="AI42" s="2843"/>
      <c r="AJ42" s="2843"/>
      <c r="AK42" s="2844"/>
      <c r="AL42" s="2842"/>
      <c r="AM42" s="2843"/>
      <c r="AN42" s="2843"/>
      <c r="AO42" s="2844"/>
      <c r="AP42" s="2842"/>
      <c r="AQ42" s="2843"/>
      <c r="AR42" s="2843"/>
      <c r="AS42" s="2844"/>
      <c r="AT42" s="2704" t="s">
        <v>627</v>
      </c>
      <c r="AU42" s="2705"/>
      <c r="AV42" s="2704" t="s">
        <v>628</v>
      </c>
      <c r="AW42" s="2705"/>
      <c r="AX42" s="2806" t="s">
        <v>629</v>
      </c>
      <c r="AY42" s="2825"/>
      <c r="AZ42" s="2826"/>
      <c r="BA42" s="2790"/>
      <c r="BB42" s="2793"/>
      <c r="BC42" s="2639"/>
      <c r="BI42" s="1667">
        <v>34</v>
      </c>
    </row>
    <row customHeight="1" ht="14.699999999999998">
      <c r="Q43" s="803"/>
      <c r="R43" s="888"/>
      <c r="S43" s="2785"/>
      <c r="T43" s="2721"/>
      <c r="U43" s="1543"/>
      <c r="V43" s="2712"/>
      <c r="W43" s="2713"/>
      <c r="X43" s="2712"/>
      <c r="Y43" s="2713"/>
      <c r="Z43" s="2807"/>
      <c r="AA43" s="2827"/>
      <c r="AB43" s="2828"/>
      <c r="AC43" s="2790"/>
      <c r="AD43" s="2842"/>
      <c r="AE43" s="2843"/>
      <c r="AF43" s="2843"/>
      <c r="AG43" s="2844"/>
      <c r="AH43" s="2842"/>
      <c r="AI43" s="2843"/>
      <c r="AJ43" s="2843"/>
      <c r="AK43" s="2844"/>
      <c r="AL43" s="2842"/>
      <c r="AM43" s="2843"/>
      <c r="AN43" s="2843"/>
      <c r="AO43" s="2844"/>
      <c r="AP43" s="2842"/>
      <c r="AQ43" s="2843"/>
      <c r="AR43" s="2843"/>
      <c r="AS43" s="2844"/>
      <c r="AT43" s="2712"/>
      <c r="AU43" s="2713"/>
      <c r="AV43" s="2712"/>
      <c r="AW43" s="2713"/>
      <c r="AX43" s="2807"/>
      <c r="AY43" s="2827"/>
      <c r="AZ43" s="2828"/>
      <c r="BA43" s="2790"/>
      <c r="BB43" s="2793"/>
      <c r="BC43" s="2639"/>
      <c r="BI43" s="1667">
        <v>14</v>
      </c>
    </row>
    <row customHeight="1" ht="14.699999999999998">
      <c r="A44" s="1882"/>
      <c r="B44" s="1882" t="s">
        <v>191</v>
      </c>
      <c r="C44" s="1882" t="s">
        <v>192</v>
      </c>
      <c r="D44" s="1882" t="s">
        <v>193</v>
      </c>
      <c r="E44" s="1876" t="s">
        <v>553</v>
      </c>
      <c r="F44" s="1876" t="s">
        <v>554</v>
      </c>
      <c r="G44" s="1876" t="s">
        <v>555</v>
      </c>
      <c r="H44" s="1876" t="s">
        <v>556</v>
      </c>
      <c r="I44" s="1876" t="s">
        <v>557</v>
      </c>
      <c r="J44" s="1876" t="s">
        <v>558</v>
      </c>
      <c r="K44" s="1876" t="s">
        <v>559</v>
      </c>
      <c r="L44" s="1876" t="s">
        <v>534</v>
      </c>
      <c r="Q44" s="803"/>
      <c r="R44" s="888"/>
      <c r="S44" s="2785"/>
      <c r="T44" s="2721"/>
      <c r="U44" s="814"/>
      <c r="V44" s="1960" t="s">
        <v>593</v>
      </c>
      <c r="W44" s="1960" t="s">
        <v>594</v>
      </c>
      <c r="X44" s="1960" t="s">
        <v>593</v>
      </c>
      <c r="Y44" s="1960" t="s">
        <v>594</v>
      </c>
      <c r="Z44" s="1967" t="s">
        <v>562</v>
      </c>
      <c r="AA44" s="2782" t="s">
        <v>563</v>
      </c>
      <c r="AB44" s="2783"/>
      <c r="AC44" s="2791"/>
      <c r="AD44" s="2845"/>
      <c r="AE44" s="2846"/>
      <c r="AF44" s="2846"/>
      <c r="AG44" s="2847"/>
      <c r="AH44" s="2845"/>
      <c r="AI44" s="2846"/>
      <c r="AJ44" s="2846"/>
      <c r="AK44" s="2847"/>
      <c r="AL44" s="2845"/>
      <c r="AM44" s="2846"/>
      <c r="AN44" s="2846"/>
      <c r="AO44" s="2847"/>
      <c r="AP44" s="2845"/>
      <c r="AQ44" s="2846"/>
      <c r="AR44" s="2846"/>
      <c r="AS44" s="2847"/>
      <c r="AT44" s="1960" t="s">
        <v>593</v>
      </c>
      <c r="AU44" s="1960" t="s">
        <v>594</v>
      </c>
      <c r="AV44" s="1960" t="s">
        <v>593</v>
      </c>
      <c r="AW44" s="1960" t="s">
        <v>594</v>
      </c>
      <c r="AX44" s="1967" t="s">
        <v>562</v>
      </c>
      <c r="AY44" s="2782" t="s">
        <v>563</v>
      </c>
      <c r="AZ44" s="2783"/>
      <c r="BA44" s="2791"/>
      <c r="BB44" s="2794"/>
      <c r="BC44" s="2639"/>
      <c r="BI44" s="1667">
        <v>14</v>
      </c>
    </row>
    <row s="47496" customFormat="1" customHeight="1" ht="11.25" hidden="1">
      <c r="A45" s="1882"/>
      <c r="B45" s="1882"/>
      <c r="C45" s="1882"/>
      <c r="D45" s="1882"/>
      <c r="E45" s="1882"/>
      <c r="F45" s="1882"/>
      <c r="G45" s="1882"/>
      <c r="H45" s="1882"/>
      <c r="I45" s="1882"/>
      <c r="J45" s="1882"/>
      <c r="K45" s="1882"/>
      <c r="L45" s="1876"/>
      <c r="M45" s="1874"/>
      <c r="N45" s="1874"/>
      <c r="O45" s="1874"/>
      <c r="P45" s="1022"/>
      <c r="Q45" s="1766"/>
      <c r="R45" s="1766">
        <v>1</v>
      </c>
      <c r="S45" s="1789" t="s">
        <v>101</v>
      </c>
      <c r="T45" s="1767" t="s">
        <v>105</v>
      </c>
      <c r="U45" s="1757" t="str">
        <f>OFFSET(U45,0,-1)</f>
        <v>2</v>
      </c>
      <c r="V45" s="1963">
        <f>OFFSET(V45,0,-1)+1</f>
        <v>3</v>
      </c>
      <c r="W45" s="1963">
        <f>OFFSET(W45,0,-1)+1</f>
        <v>4</v>
      </c>
      <c r="X45" s="1963">
        <f>OFFSET(X45,0,-1)+1</f>
        <v>5</v>
      </c>
      <c r="Y45" s="1963">
        <f>OFFSET(Y45,0,-1)+1</f>
        <v>6</v>
      </c>
      <c r="Z45" s="1963">
        <f>OFFSET(Z45,0,-1)+1</f>
        <v>7</v>
      </c>
      <c r="AA45" s="2784">
        <f>OFFSET(AA45,0,-1)+1</f>
        <v>8</v>
      </c>
      <c r="AB45" s="2784"/>
      <c r="AC45" s="1963">
        <f>OFFSET(AC45,0,-2)+1</f>
        <v>9</v>
      </c>
      <c r="AD45" s="1963">
        <f>OFFSET(AD45,0,-1)+1</f>
        <v>10</v>
      </c>
      <c r="AE45" s="1963"/>
      <c r="AF45" s="1963"/>
      <c r="AG45" s="1963"/>
      <c r="AH45" s="1963"/>
      <c r="AI45" s="1963"/>
      <c r="AJ45" s="1963"/>
      <c r="AK45" s="1963"/>
      <c r="AL45" s="1963"/>
      <c r="AM45" s="1963"/>
      <c r="AN45" s="1963"/>
      <c r="AO45" s="1963"/>
      <c r="AP45" s="1963"/>
      <c r="AQ45" s="1963"/>
      <c r="AR45" s="1963"/>
      <c r="AS45" s="1963"/>
      <c r="AT45" s="1963"/>
      <c r="AU45" s="1963"/>
      <c r="AV45" s="1963"/>
      <c r="AW45" s="1963">
        <f>OFFSET(AW45,0,-1)+1</f>
        <v>1</v>
      </c>
      <c r="AX45" s="1963">
        <f>OFFSET(AX45,0,-1)+1</f>
        <v>2</v>
      </c>
      <c r="AY45" s="2784">
        <f>OFFSET(AY45,0,-1)+1</f>
        <v>3</v>
      </c>
      <c r="AZ45" s="2784"/>
      <c r="BA45" s="1963">
        <f>OFFSET(BA45,0,-2)+1</f>
        <v>4</v>
      </c>
      <c r="BB45" s="1757">
        <f>OFFSET(BB45,0,-1)</f>
        <v>4</v>
      </c>
      <c r="BC45" s="1963">
        <f>OFFSET(BC45,0,-1)+1</f>
        <v>5</v>
      </c>
      <c r="BD45" s="1023"/>
      <c r="BE45" s="1023"/>
      <c r="BF45" s="1023"/>
      <c r="BG45" s="1023"/>
      <c r="BH45" s="1023"/>
      <c r="BI45" s="1008">
        <v>0</v>
      </c>
    </row>
    <row customHeight="1" ht="22.049999999999997">
      <c r="A46" s="1875" t="s">
        <v>295</v>
      </c>
      <c r="B46" s="1875"/>
      <c r="C46" s="1875"/>
      <c r="D46" s="1875"/>
      <c r="E46" s="2770">
        <v>1</v>
      </c>
      <c r="F46" s="1875"/>
      <c r="G46" s="1875"/>
      <c r="H46" s="1875"/>
      <c r="I46" s="1875"/>
      <c r="J46" s="1875"/>
      <c r="K46" s="1875"/>
      <c r="L46" s="1876"/>
      <c r="M46" s="1877"/>
      <c r="N46" s="1877"/>
      <c r="O46" s="1877"/>
      <c r="P46" s="1921"/>
      <c r="Q46" s="1385"/>
      <c r="R46" s="867"/>
      <c r="S46" s="1969">
        <f>INDEX(PT_DIFFERENTIATION_NUM_NTAR,MATCH(A46,PT_DIFFERENTIATION_NTAR_ID,0))</f>
        <v>0</v>
      </c>
      <c r="T46" s="810" t="s">
        <v>179</v>
      </c>
      <c r="U46" s="812"/>
      <c r="V46" s="2755"/>
      <c r="W46" s="2755"/>
      <c r="X46" s="2755"/>
      <c r="Y46" s="2755"/>
      <c r="Z46" s="2755"/>
      <c r="AA46" s="2755"/>
      <c r="AB46" s="2755"/>
      <c r="AC46" s="2756"/>
      <c r="AD46" s="2754" t="str">
        <f>INDEX(PT_DIFFERENTIATION_NTAR,MATCH(A46,PT_DIFFERENTIATION_NTAR_ID,0))</f>
        <v/>
      </c>
      <c r="AE46" s="2755"/>
      <c r="AF46" s="2755"/>
      <c r="AG46" s="2755"/>
      <c r="AH46" s="2755"/>
      <c r="AI46" s="2755"/>
      <c r="AJ46" s="2755"/>
      <c r="AK46" s="2755"/>
      <c r="AL46" s="2755"/>
      <c r="AM46" s="2755"/>
      <c r="AN46" s="2755"/>
      <c r="AO46" s="2755"/>
      <c r="AP46" s="2755"/>
      <c r="AQ46" s="2755"/>
      <c r="AR46" s="2755"/>
      <c r="AS46" s="2755"/>
      <c r="AT46" s="2755"/>
      <c r="AU46" s="2755"/>
      <c r="AV46" s="2755"/>
      <c r="AW46" s="2755"/>
      <c r="AX46" s="2755"/>
      <c r="AY46" s="2755"/>
      <c r="AZ46" s="2755"/>
      <c r="BA46" s="2755"/>
      <c r="BB46" s="2756"/>
      <c r="BC46"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1012"/>
      <c r="BF46" s="1012" t="str">
        <f>IF(T46="","",T46)</f>
        <v>Наименование тарифа</v>
      </c>
      <c r="BG46" s="1012"/>
      <c r="BH46" s="1012"/>
      <c r="BI46" s="1667">
        <v>21</v>
      </c>
    </row>
    <row customHeight="1" ht="22.049999999999997">
      <c r="A47" s="1875" t="s">
        <v>295</v>
      </c>
      <c r="B47" s="1875" t="s">
        <v>296</v>
      </c>
      <c r="C47" s="1875"/>
      <c r="D47" s="1875"/>
      <c r="E47" s="2771"/>
      <c r="F47" s="2770">
        <v>1</v>
      </c>
      <c r="G47" s="1875"/>
      <c r="H47" s="1875"/>
      <c r="I47" s="1875"/>
      <c r="J47" s="1875"/>
      <c r="K47" s="1875"/>
      <c r="L47" s="1876"/>
      <c r="M47" s="1877"/>
      <c r="N47" s="1877"/>
      <c r="O47" s="1877"/>
      <c r="P47" s="1922"/>
      <c r="Q47" s="1923"/>
      <c r="R47" s="865"/>
      <c r="S47" s="1969" t="str">
        <f>INDEX(PT_DIFFERENTIATION_NUM_TER,MATCH(B47,PT_DIFFERENTIATION_TER_ID,0))</f>
        <v>.</v>
      </c>
      <c r="T47" s="820" t="s">
        <v>515</v>
      </c>
      <c r="U47" s="812"/>
      <c r="V47" s="2755"/>
      <c r="W47" s="2755"/>
      <c r="X47" s="2755"/>
      <c r="Y47" s="2755"/>
      <c r="Z47" s="2755"/>
      <c r="AA47" s="2755"/>
      <c r="AB47" s="2755"/>
      <c r="AC47" s="2756"/>
      <c r="AD47" s="2754" t="str">
        <f>INDEX(PT_DIFFERENTIATION_TER,MATCH(B47,PT_DIFFERENTIATION_TER_ID,0))</f>
        <v/>
      </c>
      <c r="AE47" s="2755"/>
      <c r="AF47" s="2755"/>
      <c r="AG47" s="2755"/>
      <c r="AH47" s="2755"/>
      <c r="AI47" s="2755"/>
      <c r="AJ47" s="2755"/>
      <c r="AK47" s="2755"/>
      <c r="AL47" s="2755"/>
      <c r="AM47" s="2755"/>
      <c r="AN47" s="2755"/>
      <c r="AO47" s="2755"/>
      <c r="AP47" s="2755"/>
      <c r="AQ47" s="2755"/>
      <c r="AR47" s="2755"/>
      <c r="AS47" s="2755"/>
      <c r="AT47" s="2755"/>
      <c r="AU47" s="2755"/>
      <c r="AV47" s="2755"/>
      <c r="AW47" s="2755"/>
      <c r="AX47" s="2755"/>
      <c r="AY47" s="2755"/>
      <c r="AZ47" s="2755"/>
      <c r="BA47" s="2755"/>
      <c r="BB47" s="2756"/>
      <c r="BC47" s="1770" t="s">
        <v>516</v>
      </c>
      <c r="BE47" s="1012"/>
      <c r="BF47" s="1012" t="str">
        <f>IF(T47="","",T47)</f>
        <v>Территория действия тарифа</v>
      </c>
      <c r="BG47" s="1012"/>
      <c r="BH47" s="1012"/>
      <c r="BI47" s="1667">
        <v>21</v>
      </c>
    </row>
    <row customHeight="1" ht="43.050000000000004">
      <c r="A48" s="1875" t="s">
        <v>295</v>
      </c>
      <c r="B48" s="1875" t="s">
        <v>296</v>
      </c>
      <c r="C48" s="1875" t="s">
        <v>297</v>
      </c>
      <c r="D48" s="1875"/>
      <c r="E48" s="2771"/>
      <c r="F48" s="2771"/>
      <c r="G48" s="2770">
        <v>1</v>
      </c>
      <c r="H48" s="1875"/>
      <c r="I48" s="1875"/>
      <c r="J48" s="1875"/>
      <c r="K48" s="1875"/>
      <c r="L48" s="1876"/>
      <c r="M48" s="1877"/>
      <c r="N48" s="1877"/>
      <c r="O48" s="1877"/>
      <c r="P48" s="1924"/>
      <c r="Q48" s="1923"/>
      <c r="R48" s="865"/>
      <c r="S48" s="1969" t="str">
        <f>INDEX(PT_DIFFERENTIATION_NUM_CS,MATCH(C48,PT_DIFFERENTIATION_CS_ID,0))</f>
        <v>..</v>
      </c>
      <c r="T48" s="821" t="s">
        <v>596</v>
      </c>
      <c r="U48" s="812"/>
      <c r="V48" s="2755"/>
      <c r="W48" s="2755"/>
      <c r="X48" s="2755"/>
      <c r="Y48" s="2755"/>
      <c r="Z48" s="2755"/>
      <c r="AA48" s="2755"/>
      <c r="AB48" s="2755"/>
      <c r="AC48" s="2756"/>
      <c r="AD48" s="2754" t="str">
        <f>INDEX(PT_DIFFERENTIATION_CS,MATCH(C48,PT_DIFFERENTIATION_CS_ID,0))</f>
        <v/>
      </c>
      <c r="AE48" s="2755"/>
      <c r="AF48" s="2755"/>
      <c r="AG48" s="2755"/>
      <c r="AH48" s="2755"/>
      <c r="AI48" s="2755"/>
      <c r="AJ48" s="2755"/>
      <c r="AK48" s="2755"/>
      <c r="AL48" s="2755"/>
      <c r="AM48" s="2755"/>
      <c r="AN48" s="2755"/>
      <c r="AO48" s="2755"/>
      <c r="AP48" s="2755"/>
      <c r="AQ48" s="2755"/>
      <c r="AR48" s="2755"/>
      <c r="AS48" s="2755"/>
      <c r="AT48" s="2755"/>
      <c r="AU48" s="2755"/>
      <c r="AV48" s="2755"/>
      <c r="AW48" s="2755"/>
      <c r="AX48" s="2755"/>
      <c r="AY48" s="2755"/>
      <c r="AZ48" s="2755"/>
      <c r="BA48" s="2755"/>
      <c r="BB48" s="2756"/>
      <c r="BC48" s="1770" t="s">
        <v>597</v>
      </c>
      <c r="BE48" s="1012"/>
      <c r="BF48" s="1012" t="str">
        <f>IF(T48="","",T48)</f>
        <v>Наименование централизованной системы холодного водоснабжения</v>
      </c>
      <c r="BG48" s="1012"/>
      <c r="BH48" s="1012"/>
      <c r="BI48" s="1667">
        <v>41</v>
      </c>
    </row>
    <row s="46890" customFormat="1" customHeight="1" ht="0">
      <c r="A49" s="1855" t="s">
        <v>295</v>
      </c>
      <c r="B49" s="1855" t="s">
        <v>296</v>
      </c>
      <c r="C49" s="1855" t="s">
        <v>297</v>
      </c>
      <c r="D49" s="1855" t="s">
        <v>630</v>
      </c>
      <c r="E49" s="2771"/>
      <c r="F49" s="2771"/>
      <c r="G49" s="2771"/>
      <c r="H49" s="2770">
        <v>1</v>
      </c>
      <c r="I49" s="1855"/>
      <c r="J49" s="1855"/>
      <c r="K49" s="1855"/>
      <c r="L49" s="1858"/>
      <c r="M49" s="1827"/>
      <c r="N49" s="1827"/>
      <c r="O49" s="1827"/>
      <c r="P49" s="2009"/>
      <c r="Q49" s="2010"/>
      <c r="R49" s="869"/>
      <c r="S49" s="1554"/>
      <c r="T49" s="2011"/>
      <c r="U49" s="1896"/>
      <c r="V49" s="2809"/>
      <c r="W49" s="2809"/>
      <c r="X49" s="2809"/>
      <c r="Y49" s="2809"/>
      <c r="Z49" s="2809"/>
      <c r="AA49" s="2809"/>
      <c r="AB49" s="2809"/>
      <c r="AC49" s="2810"/>
      <c r="AD49" s="2808"/>
      <c r="AE49" s="2809"/>
      <c r="AF49" s="2809"/>
      <c r="AG49" s="2809"/>
      <c r="AH49" s="2809"/>
      <c r="AI49" s="2809"/>
      <c r="AJ49" s="2809"/>
      <c r="AK49" s="2809"/>
      <c r="AL49" s="2809"/>
      <c r="AM49" s="2809"/>
      <c r="AN49" s="2809"/>
      <c r="AO49" s="2809"/>
      <c r="AP49" s="2809"/>
      <c r="AQ49" s="2809"/>
      <c r="AR49" s="2809"/>
      <c r="AS49" s="2809"/>
      <c r="AT49" s="2809"/>
      <c r="AU49" s="2809"/>
      <c r="AV49" s="2809"/>
      <c r="AW49" s="2809"/>
      <c r="AX49" s="2809"/>
      <c r="AY49" s="2809"/>
      <c r="AZ49" s="2809"/>
      <c r="BA49" s="2809"/>
      <c r="BB49" s="2810"/>
      <c r="BC49" s="1897" t="s">
        <v>520</v>
      </c>
      <c r="BE49" s="1012"/>
      <c r="BF49" s="1012" t="str">
        <f>IF(T49="","",T49)</f>
        <v/>
      </c>
      <c r="BG49" s="1012"/>
      <c r="BH49" s="1012"/>
      <c r="BI49" s="1023">
        <v>0</v>
      </c>
    </row>
    <row s="46890" customFormat="1" customHeight="1" ht="0">
      <c r="A50" s="1855" t="s">
        <v>295</v>
      </c>
      <c r="B50" s="1855" t="s">
        <v>296</v>
      </c>
      <c r="C50" s="1855" t="s">
        <v>297</v>
      </c>
      <c r="D50" s="1855" t="s">
        <v>630</v>
      </c>
      <c r="E50" s="2771"/>
      <c r="F50" s="2771"/>
      <c r="G50" s="2771"/>
      <c r="H50" s="2771"/>
      <c r="I50" s="2768" t="str">
        <f>S49&amp;".1"</f>
        <v>.1</v>
      </c>
      <c r="J50" s="1855"/>
      <c r="K50" s="1855"/>
      <c r="L50" s="1858" t="s">
        <v>521</v>
      </c>
      <c r="M50" s="1022"/>
      <c r="N50" s="1022"/>
      <c r="O50" s="1022"/>
      <c r="P50" s="2769">
        <v>1</v>
      </c>
      <c r="Q50" s="1974"/>
      <c r="R50" s="868"/>
      <c r="S50" s="1554"/>
      <c r="T50" s="1895"/>
      <c r="U50" s="1896"/>
      <c r="V50" s="2809"/>
      <c r="W50" s="2809"/>
      <c r="X50" s="2809"/>
      <c r="Y50" s="2809"/>
      <c r="Z50" s="2809"/>
      <c r="AA50" s="2809"/>
      <c r="AB50" s="2809"/>
      <c r="AC50" s="2810"/>
      <c r="AD50" s="2808"/>
      <c r="AE50" s="2809"/>
      <c r="AF50" s="2809"/>
      <c r="AG50" s="2809"/>
      <c r="AH50" s="2809"/>
      <c r="AI50" s="2809"/>
      <c r="AJ50" s="2809"/>
      <c r="AK50" s="2809"/>
      <c r="AL50" s="2809"/>
      <c r="AM50" s="2809"/>
      <c r="AN50" s="2809"/>
      <c r="AO50" s="2809"/>
      <c r="AP50" s="2809"/>
      <c r="AQ50" s="2809"/>
      <c r="AR50" s="2809"/>
      <c r="AS50" s="2809"/>
      <c r="AT50" s="2809"/>
      <c r="AU50" s="2809"/>
      <c r="AV50" s="2809"/>
      <c r="AW50" s="2809"/>
      <c r="AX50" s="2809"/>
      <c r="AY50" s="2809"/>
      <c r="AZ50" s="2809"/>
      <c r="BA50" s="2809"/>
      <c r="BB50" s="2810"/>
      <c r="BC50" s="1897"/>
      <c r="BE50" s="1012"/>
      <c r="BF50" s="1012" t="str">
        <f>IF(T50="","",T50)</f>
        <v/>
      </c>
      <c r="BG50" s="1012"/>
      <c r="BH50" s="1012"/>
      <c r="BI50" s="1023">
        <v>0</v>
      </c>
    </row>
    <row s="46890" customFormat="1" customHeight="1" ht="0">
      <c r="A51" s="1855" t="s">
        <v>295</v>
      </c>
      <c r="B51" s="1855" t="s">
        <v>296</v>
      </c>
      <c r="C51" s="1855" t="s">
        <v>297</v>
      </c>
      <c r="D51" s="1855" t="s">
        <v>630</v>
      </c>
      <c r="E51" s="2771"/>
      <c r="F51" s="2771"/>
      <c r="G51" s="2771"/>
      <c r="H51" s="2771"/>
      <c r="I51" s="2798"/>
      <c r="J51" s="2768" t="str">
        <f>S49&amp;".1"</f>
        <v>.1</v>
      </c>
      <c r="K51" s="1855"/>
      <c r="L51" s="1858"/>
      <c r="M51" s="1022"/>
      <c r="N51" s="1022"/>
      <c r="O51" s="1022"/>
      <c r="P51" s="2769"/>
      <c r="Q51" s="2769">
        <v>1</v>
      </c>
      <c r="R51" s="869"/>
      <c r="S51" s="1554"/>
      <c r="T51" s="1911"/>
      <c r="U51" s="1896"/>
      <c r="V51" s="2809"/>
      <c r="W51" s="2809"/>
      <c r="X51" s="2809"/>
      <c r="Y51" s="2809"/>
      <c r="Z51" s="2809"/>
      <c r="AA51" s="2809"/>
      <c r="AB51" s="2809"/>
      <c r="AC51" s="2810"/>
      <c r="AD51" s="2808"/>
      <c r="AE51" s="2809"/>
      <c r="AF51" s="2809"/>
      <c r="AG51" s="2809"/>
      <c r="AH51" s="2809"/>
      <c r="AI51" s="2809"/>
      <c r="AJ51" s="2809"/>
      <c r="AK51" s="2809"/>
      <c r="AL51" s="2809"/>
      <c r="AM51" s="2809"/>
      <c r="AN51" s="2876"/>
      <c r="AO51" s="2876"/>
      <c r="AP51" s="2809"/>
      <c r="AQ51" s="2809"/>
      <c r="AR51" s="2809"/>
      <c r="AS51" s="2809"/>
      <c r="AT51" s="2809"/>
      <c r="AU51" s="2809"/>
      <c r="AV51" s="2809"/>
      <c r="AW51" s="2809"/>
      <c r="AX51" s="2809"/>
      <c r="AY51" s="2809"/>
      <c r="AZ51" s="2809"/>
      <c r="BA51" s="2809"/>
      <c r="BB51" s="2810"/>
      <c r="BC51" s="1897"/>
      <c r="BE51" s="1012"/>
      <c r="BF51" s="1012" t="str">
        <f>IF(T51="","",T51)</f>
        <v/>
      </c>
      <c r="BG51" s="1012"/>
      <c r="BH51" s="1012"/>
      <c r="BI51" s="1023">
        <v>0</v>
      </c>
    </row>
    <row customHeight="1" ht="11.549999999999999">
      <c r="A52" s="1875" t="s">
        <v>295</v>
      </c>
      <c r="B52" s="1875" t="s">
        <v>296</v>
      </c>
      <c r="C52" s="1875" t="s">
        <v>297</v>
      </c>
      <c r="D52" s="1875" t="s">
        <v>630</v>
      </c>
      <c r="E52" s="2771"/>
      <c r="F52" s="2771"/>
      <c r="G52" s="2771"/>
      <c r="H52" s="2771"/>
      <c r="I52" s="2798"/>
      <c r="J52" s="2798"/>
      <c r="K52" s="2768" t="str">
        <f>S48&amp;".1"</f>
        <v>...1</v>
      </c>
      <c r="L52" s="1876"/>
      <c r="P52" s="2769"/>
      <c r="Q52" s="2769"/>
      <c r="R52" s="869">
        <v>1</v>
      </c>
      <c r="S52" s="2853" t="str">
        <f>$K52</f>
        <v>...1</v>
      </c>
      <c r="T52" s="2872"/>
      <c r="U52" s="812"/>
      <c r="V52" s="1263"/>
      <c r="W52" s="1769"/>
      <c r="X52" s="1263"/>
      <c r="Y52" s="1769"/>
      <c r="Z52" s="2246"/>
      <c r="AA52" s="1971" t="s">
        <v>63</v>
      </c>
      <c r="AB52" s="2246"/>
      <c r="AC52" s="1971" t="s">
        <v>63</v>
      </c>
      <c r="AD52" s="2697" t="s">
        <v>63</v>
      </c>
      <c r="AE52" s="2838"/>
      <c r="AF52" s="2717">
        <v>1</v>
      </c>
      <c r="AG52" s="2875"/>
      <c r="AH52" s="2619" t="s">
        <v>63</v>
      </c>
      <c r="AI52" s="2838"/>
      <c r="AJ52" s="2717">
        <v>1</v>
      </c>
      <c r="AK52" s="2839" t="s">
        <v>28</v>
      </c>
      <c r="AL52" s="2619" t="s">
        <v>63</v>
      </c>
      <c r="AM52" s="2704"/>
      <c r="AN52" s="2717">
        <v>1</v>
      </c>
      <c r="AO52" s="2869"/>
      <c r="AP52" s="2870" t="s">
        <v>63</v>
      </c>
      <c r="AQ52" s="823"/>
      <c r="AR52" s="1975">
        <v>1</v>
      </c>
      <c r="AS52" s="1978" t="s">
        <v>28</v>
      </c>
      <c r="AT52" s="1263"/>
      <c r="AU52" s="1769"/>
      <c r="AV52" s="1263"/>
      <c r="AW52" s="1769"/>
      <c r="AX52" s="2246"/>
      <c r="AY52" s="1971" t="s">
        <v>63</v>
      </c>
      <c r="AZ52" s="2246"/>
      <c r="BA52" s="1971" t="s">
        <v>63</v>
      </c>
      <c r="BB52" s="1860"/>
      <c r="BC52" s="2765" t="s">
        <v>616</v>
      </c>
      <c r="BE52" s="1012"/>
      <c r="BF52" s="1012" t="str">
        <f>IF(T52="","",T52)</f>
        <v/>
      </c>
      <c r="BG52" s="1012"/>
      <c r="BH52" s="1012"/>
      <c r="BI52" s="1667">
        <v>11</v>
      </c>
    </row>
    <row customHeight="1" ht="11.549999999999999">
      <c r="A53" s="1875"/>
      <c r="B53" s="1875"/>
      <c r="C53" s="1875"/>
      <c r="D53" s="1875"/>
      <c r="E53" s="2771"/>
      <c r="F53" s="2771"/>
      <c r="G53" s="2771"/>
      <c r="H53" s="2771"/>
      <c r="I53" s="2798"/>
      <c r="J53" s="2798"/>
      <c r="K53" s="2768"/>
      <c r="L53" s="1876"/>
      <c r="P53" s="2769"/>
      <c r="Q53" s="2769"/>
      <c r="R53" s="869"/>
      <c r="S53" s="2854"/>
      <c r="T53" s="2873"/>
      <c r="U53" s="812"/>
      <c r="V53" s="1905"/>
      <c r="W53" s="2008"/>
      <c r="X53" s="1905"/>
      <c r="Y53" s="2008"/>
      <c r="Z53" s="1905"/>
      <c r="AA53" s="1905"/>
      <c r="AB53" s="1905"/>
      <c r="AC53" s="1905"/>
      <c r="AD53" s="2698"/>
      <c r="AE53" s="2838"/>
      <c r="AF53" s="2717"/>
      <c r="AG53" s="2875"/>
      <c r="AH53" s="2619"/>
      <c r="AI53" s="2838"/>
      <c r="AJ53" s="2717"/>
      <c r="AK53" s="2839"/>
      <c r="AL53" s="2619"/>
      <c r="AM53" s="2712"/>
      <c r="AN53" s="2717"/>
      <c r="AO53" s="2869"/>
      <c r="AP53" s="2871"/>
      <c r="AQ53" s="828"/>
      <c r="AR53" s="928"/>
      <c r="AS53" s="928" t="s">
        <v>617</v>
      </c>
      <c r="AT53" s="1905"/>
      <c r="AU53" s="2008"/>
      <c r="AV53" s="1905"/>
      <c r="AW53" s="2008"/>
      <c r="AX53" s="1905"/>
      <c r="AY53" s="1905"/>
      <c r="AZ53" s="1905"/>
      <c r="BA53" s="1905"/>
      <c r="BB53" s="1909"/>
      <c r="BC53" s="2766"/>
      <c r="BE53" s="1012"/>
      <c r="BF53" s="1012"/>
      <c r="BG53" s="1012"/>
      <c r="BH53" s="1012"/>
      <c r="BI53" s="1667">
        <v>11</v>
      </c>
    </row>
    <row customHeight="1" ht="11.549999999999999">
      <c r="A54" s="1875" t="s">
        <v>295</v>
      </c>
      <c r="B54" s="1875"/>
      <c r="C54" s="1875"/>
      <c r="D54" s="1875"/>
      <c r="E54" s="2771"/>
      <c r="F54" s="2771"/>
      <c r="G54" s="2771"/>
      <c r="H54" s="2771"/>
      <c r="I54" s="2798"/>
      <c r="J54" s="2798"/>
      <c r="K54" s="2768"/>
      <c r="L54" s="1876"/>
      <c r="P54" s="2769"/>
      <c r="Q54" s="2769"/>
      <c r="R54" s="869"/>
      <c r="S54" s="2854"/>
      <c r="T54" s="2873"/>
      <c r="U54" s="812"/>
      <c r="V54" s="1905"/>
      <c r="W54" s="2008"/>
      <c r="X54" s="1905"/>
      <c r="Y54" s="2008"/>
      <c r="Z54" s="1905"/>
      <c r="AA54" s="1905"/>
      <c r="AB54" s="1905"/>
      <c r="AC54" s="1905"/>
      <c r="AD54" s="2698"/>
      <c r="AE54" s="2838"/>
      <c r="AF54" s="2717"/>
      <c r="AG54" s="2875"/>
      <c r="AH54" s="2619"/>
      <c r="AI54" s="2838"/>
      <c r="AJ54" s="2717"/>
      <c r="AK54" s="2839"/>
      <c r="AL54" s="2619"/>
      <c r="AM54" s="828"/>
      <c r="AN54" s="2012"/>
      <c r="AO54" s="2012" t="s">
        <v>618</v>
      </c>
      <c r="AP54" s="928"/>
      <c r="AQ54" s="928"/>
      <c r="AR54" s="928"/>
      <c r="AS54" s="1905"/>
      <c r="AT54" s="1905"/>
      <c r="AU54" s="2008"/>
      <c r="AV54" s="1905"/>
      <c r="AW54" s="2008"/>
      <c r="AX54" s="1905"/>
      <c r="AY54" s="1905"/>
      <c r="AZ54" s="1905"/>
      <c r="BA54" s="1905"/>
      <c r="BB54" s="1909"/>
      <c r="BC54" s="2766"/>
      <c r="BE54" s="1012"/>
      <c r="BF54" s="1012"/>
      <c r="BG54" s="1012"/>
      <c r="BH54" s="1012"/>
      <c r="BI54" s="1667">
        <v>11</v>
      </c>
    </row>
    <row customHeight="1" ht="11.549999999999999">
      <c r="A55" s="1875" t="s">
        <v>295</v>
      </c>
      <c r="B55" s="1875"/>
      <c r="C55" s="1875"/>
      <c r="D55" s="1875"/>
      <c r="E55" s="2771"/>
      <c r="F55" s="2771"/>
      <c r="G55" s="2771"/>
      <c r="H55" s="2771"/>
      <c r="I55" s="2798"/>
      <c r="J55" s="2798"/>
      <c r="K55" s="2768"/>
      <c r="L55" s="1876"/>
      <c r="P55" s="2769"/>
      <c r="Q55" s="2769"/>
      <c r="R55" s="869"/>
      <c r="S55" s="2854"/>
      <c r="T55" s="2873"/>
      <c r="U55" s="812"/>
      <c r="V55" s="1905"/>
      <c r="W55" s="2008"/>
      <c r="X55" s="1905"/>
      <c r="Y55" s="2008"/>
      <c r="Z55" s="1905"/>
      <c r="AA55" s="1905"/>
      <c r="AB55" s="1905"/>
      <c r="AC55" s="1905"/>
      <c r="AD55" s="2698"/>
      <c r="AE55" s="2838"/>
      <c r="AF55" s="2717"/>
      <c r="AG55" s="2875"/>
      <c r="AH55" s="2619"/>
      <c r="AI55" s="806"/>
      <c r="AJ55" s="927"/>
      <c r="AK55" s="825" t="s">
        <v>619</v>
      </c>
      <c r="AL55" s="1905"/>
      <c r="AM55" s="1905"/>
      <c r="AN55" s="1905"/>
      <c r="AO55" s="1905"/>
      <c r="AP55" s="1905"/>
      <c r="AQ55" s="1905"/>
      <c r="AR55" s="1905"/>
      <c r="AS55" s="1905"/>
      <c r="AT55" s="1905"/>
      <c r="AU55" s="2008"/>
      <c r="AV55" s="1905"/>
      <c r="AW55" s="2008"/>
      <c r="AX55" s="1905"/>
      <c r="AY55" s="1905"/>
      <c r="AZ55" s="1905"/>
      <c r="BA55" s="1905"/>
      <c r="BB55" s="1909"/>
      <c r="BC55" s="2766"/>
      <c r="BE55" s="1012"/>
      <c r="BF55" s="1012"/>
      <c r="BG55" s="1012"/>
      <c r="BH55" s="1012"/>
      <c r="BI55" s="1667">
        <v>11</v>
      </c>
    </row>
    <row customHeight="1" ht="11.549999999999999">
      <c r="A56" s="1875" t="s">
        <v>295</v>
      </c>
      <c r="B56" s="1875" t="s">
        <v>296</v>
      </c>
      <c r="C56" s="1875" t="s">
        <v>297</v>
      </c>
      <c r="D56" s="1875" t="s">
        <v>630</v>
      </c>
      <c r="E56" s="2771"/>
      <c r="F56" s="2771"/>
      <c r="G56" s="2771"/>
      <c r="H56" s="2771"/>
      <c r="I56" s="2798"/>
      <c r="J56" s="2798"/>
      <c r="K56" s="2768"/>
      <c r="L56" s="1876"/>
      <c r="P56" s="2769"/>
      <c r="Q56" s="2769"/>
      <c r="R56" s="869"/>
      <c r="S56" s="2855"/>
      <c r="T56" s="2874"/>
      <c r="U56" s="812"/>
      <c r="V56" s="1905"/>
      <c r="W56" s="1906" t="str">
        <f>Z52&amp;"-"&amp;AB52</f>
        <v>-</v>
      </c>
      <c r="X56" s="1905"/>
      <c r="Y56" s="1906" t="str">
        <f>AB52&amp;"-"&amp;AD52</f>
        <v>-да</v>
      </c>
      <c r="Z56" s="1905"/>
      <c r="AA56" s="1905"/>
      <c r="AB56" s="1905"/>
      <c r="AC56" s="1905"/>
      <c r="AD56" s="2624"/>
      <c r="AE56" s="824"/>
      <c r="AF56" s="826"/>
      <c r="AG56" s="928" t="s">
        <v>620</v>
      </c>
      <c r="AH56" s="1905"/>
      <c r="AI56" s="1905"/>
      <c r="AJ56" s="1905"/>
      <c r="AK56" s="1905"/>
      <c r="AL56" s="1905"/>
      <c r="AM56" s="1905"/>
      <c r="AN56" s="1905"/>
      <c r="AO56" s="1905"/>
      <c r="AP56" s="1905"/>
      <c r="AQ56" s="1905"/>
      <c r="AR56" s="1905"/>
      <c r="AS56" s="1905"/>
      <c r="AT56" s="1905"/>
      <c r="AU56" s="1906" t="str">
        <f>AX52&amp;"-"&amp;AZ52</f>
        <v>-</v>
      </c>
      <c r="AV56" s="1905"/>
      <c r="AW56" s="1906" t="str">
        <f>AZ52&amp;"-"&amp;BB52</f>
        <v>-</v>
      </c>
      <c r="AX56" s="1905"/>
      <c r="AY56" s="1905"/>
      <c r="AZ56" s="1905"/>
      <c r="BA56" s="1905"/>
      <c r="BB56" s="1908" t="str">
        <f>BE52&amp;"-"&amp;BG52</f>
        <v>-</v>
      </c>
      <c r="BC56" s="2766"/>
      <c r="BE56" s="1012"/>
      <c r="BF56" s="1012" t="str">
        <f>IF(T56="","",T56)</f>
        <v/>
      </c>
      <c r="BG56" s="1012"/>
      <c r="BH56" s="1012"/>
      <c r="BI56" s="1667">
        <v>11</v>
      </c>
    </row>
    <row customHeight="1" ht="11.549999999999999">
      <c r="A57" s="1875" t="s">
        <v>295</v>
      </c>
      <c r="B57" s="1875" t="s">
        <v>296</v>
      </c>
      <c r="C57" s="1875" t="s">
        <v>297</v>
      </c>
      <c r="D57" s="1875" t="s">
        <v>630</v>
      </c>
      <c r="E57" s="2771"/>
      <c r="F57" s="2771"/>
      <c r="G57" s="2771"/>
      <c r="H57" s="2771"/>
      <c r="I57" s="2798"/>
      <c r="J57" s="2768"/>
      <c r="K57" s="1875"/>
      <c r="L57" s="1876"/>
      <c r="P57" s="2769"/>
      <c r="Q57" s="2769"/>
      <c r="R57" s="868"/>
      <c r="S57" s="1790"/>
      <c r="T57" s="799" t="s">
        <v>583</v>
      </c>
      <c r="U57" s="879"/>
      <c r="V57" s="879"/>
      <c r="W57" s="879"/>
      <c r="X57" s="879"/>
      <c r="Y57" s="879"/>
      <c r="Z57" s="879"/>
      <c r="AA57" s="879"/>
      <c r="AB57" s="879"/>
      <c r="AC57" s="836"/>
      <c r="AD57" s="2017"/>
      <c r="AE57" s="879"/>
      <c r="AF57" s="879"/>
      <c r="AG57" s="879"/>
      <c r="AH57" s="879"/>
      <c r="AI57" s="879"/>
      <c r="AJ57" s="879"/>
      <c r="AK57" s="879"/>
      <c r="AL57" s="879"/>
      <c r="AM57" s="879"/>
      <c r="AN57" s="879"/>
      <c r="AO57" s="879"/>
      <c r="AP57" s="879"/>
      <c r="AQ57" s="879"/>
      <c r="AR57" s="879"/>
      <c r="AS57" s="879"/>
      <c r="AT57" s="879"/>
      <c r="AU57" s="879"/>
      <c r="AV57" s="879"/>
      <c r="AW57" s="879"/>
      <c r="AX57" s="879"/>
      <c r="AY57" s="879"/>
      <c r="AZ57" s="879"/>
      <c r="BA57" s="879"/>
      <c r="BB57" s="836"/>
      <c r="BC57" s="2767"/>
      <c r="BE57" s="1012"/>
      <c r="BF57" s="1012" t="str">
        <f>IF(T57="","",T57)</f>
        <v>Добавить строку</v>
      </c>
      <c r="BG57" s="1012"/>
      <c r="BH57" s="1012"/>
      <c r="BI57" s="1667">
        <v>11</v>
      </c>
    </row>
    <row s="46890" customFormat="1" customHeight="1" ht="0">
      <c r="A58" s="1855" t="s">
        <v>295</v>
      </c>
      <c r="B58" s="1855" t="s">
        <v>296</v>
      </c>
      <c r="C58" s="1855" t="s">
        <v>297</v>
      </c>
      <c r="D58" s="1855" t="s">
        <v>630</v>
      </c>
      <c r="E58" s="2771"/>
      <c r="F58" s="2771"/>
      <c r="G58" s="2771"/>
      <c r="H58" s="2771"/>
      <c r="I58" s="2768"/>
      <c r="J58" s="1855"/>
      <c r="K58" s="1855"/>
      <c r="L58" s="1858"/>
      <c r="M58" s="1022"/>
      <c r="N58" s="1022"/>
      <c r="O58" s="1022"/>
      <c r="P58" s="2769"/>
      <c r="Q58" s="1974"/>
      <c r="R58" s="868"/>
      <c r="S58" s="1898"/>
      <c r="T58" s="1899"/>
      <c r="U58" s="1900"/>
      <c r="V58" s="1900"/>
      <c r="W58" s="1900"/>
      <c r="X58" s="1900"/>
      <c r="Y58" s="1900"/>
      <c r="Z58" s="1900"/>
      <c r="AA58" s="1900"/>
      <c r="AB58" s="1900"/>
      <c r="AC58" s="1900"/>
      <c r="AD58" s="1900"/>
      <c r="AE58" s="1900"/>
      <c r="AF58" s="1900"/>
      <c r="AG58" s="1900"/>
      <c r="AH58" s="1900"/>
      <c r="AI58" s="1900"/>
      <c r="AJ58" s="1900"/>
      <c r="AK58" s="1900"/>
      <c r="AL58" s="1900"/>
      <c r="AM58" s="1900"/>
      <c r="AN58" s="1900"/>
      <c r="AO58" s="1900"/>
      <c r="AP58" s="1900"/>
      <c r="AQ58" s="1900"/>
      <c r="AR58" s="1900"/>
      <c r="AS58" s="1900"/>
      <c r="AT58" s="1900"/>
      <c r="AU58" s="1900"/>
      <c r="AV58" s="1900"/>
      <c r="AW58" s="1900"/>
      <c r="AX58" s="1900"/>
      <c r="AY58" s="1900"/>
      <c r="AZ58" s="1900"/>
      <c r="BA58" s="1900"/>
      <c r="BB58" s="1900"/>
      <c r="BC58" s="1901"/>
      <c r="BE58" s="1012"/>
      <c r="BF58" s="1012" t="str">
        <f>IF(T58="","",T58)</f>
        <v/>
      </c>
      <c r="BG58" s="1012"/>
      <c r="BH58" s="1012"/>
      <c r="BI58" s="1023">
        <v>0</v>
      </c>
    </row>
    <row s="46890" customFormat="1" customHeight="1" ht="0">
      <c r="A59" s="1855" t="s">
        <v>295</v>
      </c>
      <c r="B59" s="1855" t="s">
        <v>296</v>
      </c>
      <c r="C59" s="1855" t="s">
        <v>297</v>
      </c>
      <c r="D59" s="1855" t="s">
        <v>630</v>
      </c>
      <c r="E59" s="2771"/>
      <c r="F59" s="2771"/>
      <c r="G59" s="2771"/>
      <c r="H59" s="2770"/>
      <c r="I59" s="1855"/>
      <c r="J59" s="1855"/>
      <c r="K59" s="1855"/>
      <c r="L59" s="1858"/>
      <c r="M59" s="1827"/>
      <c r="N59" s="1827"/>
      <c r="O59" s="1030"/>
      <c r="P59" s="892"/>
      <c r="Q59" s="1856"/>
      <c r="R59" s="1913"/>
      <c r="S59" s="1898"/>
      <c r="T59" s="1899"/>
      <c r="U59" s="1900"/>
      <c r="V59" s="1900"/>
      <c r="W59" s="1900"/>
      <c r="X59" s="1900"/>
      <c r="Y59" s="1900"/>
      <c r="Z59" s="1900"/>
      <c r="AA59" s="1900"/>
      <c r="AB59" s="1900"/>
      <c r="AC59" s="1900"/>
      <c r="AD59" s="1900"/>
      <c r="AE59" s="1900"/>
      <c r="AF59" s="1900"/>
      <c r="AG59" s="1900"/>
      <c r="AH59" s="1900"/>
      <c r="AI59" s="1900"/>
      <c r="AJ59" s="1900"/>
      <c r="AK59" s="1900"/>
      <c r="AL59" s="1900"/>
      <c r="AM59" s="1900"/>
      <c r="AN59" s="1900"/>
      <c r="AO59" s="1900"/>
      <c r="AP59" s="1900"/>
      <c r="AQ59" s="1900"/>
      <c r="AR59" s="1900"/>
      <c r="AS59" s="1900"/>
      <c r="AT59" s="1900"/>
      <c r="AU59" s="1900"/>
      <c r="AV59" s="1900"/>
      <c r="AW59" s="1900"/>
      <c r="AX59" s="1900"/>
      <c r="AY59" s="1900"/>
      <c r="AZ59" s="1900"/>
      <c r="BA59" s="1900"/>
      <c r="BB59" s="1900"/>
      <c r="BC59" s="1901"/>
      <c r="BE59" s="1012"/>
      <c r="BF59" s="1012" t="str">
        <f>IF(T59="","",T59)</f>
        <v/>
      </c>
      <c r="BG59" s="1012"/>
      <c r="BH59" s="1012"/>
      <c r="BI59" s="1023">
        <v>0</v>
      </c>
    </row>
    <row s="46890" customFormat="1" customHeight="1" ht="0">
      <c r="A60" s="1855" t="s">
        <v>295</v>
      </c>
      <c r="B60" s="1855" t="s">
        <v>296</v>
      </c>
      <c r="C60" s="1855" t="s">
        <v>297</v>
      </c>
      <c r="D60" s="1826"/>
      <c r="E60" s="2771"/>
      <c r="F60" s="2771"/>
      <c r="G60" s="2770"/>
      <c r="H60" s="1826"/>
      <c r="I60" s="1826"/>
      <c r="J60" s="1826"/>
      <c r="K60" s="1826"/>
      <c r="L60" s="1976"/>
      <c r="M60" s="1827"/>
      <c r="N60" s="1827"/>
      <c r="P60" s="1828"/>
      <c r="Q60" s="1829"/>
      <c r="R60" s="1828"/>
      <c r="S60" s="1834"/>
      <c r="T60" s="1837"/>
      <c r="U60" s="1836"/>
      <c r="V60" s="1836"/>
      <c r="W60" s="1836"/>
      <c r="X60" s="1836"/>
      <c r="Y60" s="1836"/>
      <c r="Z60" s="1836"/>
      <c r="AA60" s="1836"/>
      <c r="AB60" s="1836"/>
      <c r="AC60" s="1836"/>
      <c r="AD60" s="1836"/>
      <c r="AE60" s="1836"/>
      <c r="AF60" s="1836"/>
      <c r="AG60" s="1836"/>
      <c r="AH60" s="1836"/>
      <c r="AI60" s="1836"/>
      <c r="AJ60" s="1836"/>
      <c r="AK60" s="1836"/>
      <c r="AL60" s="1836"/>
      <c r="AM60" s="1836"/>
      <c r="AN60" s="1836"/>
      <c r="AO60" s="1836"/>
      <c r="AP60" s="1836"/>
      <c r="AQ60" s="1836"/>
      <c r="AR60" s="1836"/>
      <c r="AS60" s="1836"/>
      <c r="AT60" s="1836"/>
      <c r="AU60" s="1836"/>
      <c r="AV60" s="1836"/>
      <c r="AW60" s="1836"/>
      <c r="AX60" s="1836"/>
      <c r="AY60" s="1836"/>
      <c r="AZ60" s="1836"/>
      <c r="BA60" s="1836"/>
      <c r="BB60" s="1836"/>
      <c r="BC60" s="1836"/>
      <c r="BE60" s="1301"/>
      <c r="BF60" s="1301" t="str">
        <f>IF(T60="","",T60)</f>
        <v/>
      </c>
      <c r="BG60" s="1301"/>
      <c r="BH60" s="1301"/>
      <c r="BI60" s="1030">
        <v>0</v>
      </c>
    </row>
    <row s="46890" customFormat="1" customHeight="1" ht="0">
      <c r="A61" s="1855" t="s">
        <v>295</v>
      </c>
      <c r="B61" s="1855" t="s">
        <v>296</v>
      </c>
      <c r="C61" s="1826"/>
      <c r="D61" s="1826"/>
      <c r="E61" s="2771"/>
      <c r="F61" s="2770"/>
      <c r="G61" s="1826"/>
      <c r="H61" s="1826"/>
      <c r="I61" s="1826"/>
      <c r="J61" s="1826"/>
      <c r="K61" s="1826"/>
      <c r="L61" s="1976"/>
      <c r="M61" s="1833"/>
      <c r="N61" s="1833"/>
      <c r="P61" s="1828"/>
      <c r="Q61" s="1829"/>
      <c r="R61" s="1828"/>
      <c r="S61" s="1834"/>
      <c r="T61" s="1837" t="s">
        <v>321</v>
      </c>
      <c r="U61" s="1836"/>
      <c r="V61" s="1836"/>
      <c r="W61" s="1836"/>
      <c r="X61" s="1836"/>
      <c r="Y61" s="1836"/>
      <c r="Z61" s="1836"/>
      <c r="AA61" s="1836"/>
      <c r="AB61" s="1836"/>
      <c r="AC61" s="1836"/>
      <c r="AD61" s="1836"/>
      <c r="AE61" s="1836"/>
      <c r="AF61" s="1836"/>
      <c r="AG61" s="1836"/>
      <c r="AH61" s="1836"/>
      <c r="AI61" s="1836"/>
      <c r="AJ61" s="1836"/>
      <c r="AK61" s="1836"/>
      <c r="AL61" s="1836"/>
      <c r="AM61" s="1836"/>
      <c r="AN61" s="1836"/>
      <c r="AO61" s="1836"/>
      <c r="AP61" s="1836"/>
      <c r="AQ61" s="1836"/>
      <c r="AR61" s="1836"/>
      <c r="AS61" s="1836"/>
      <c r="AT61" s="1836"/>
      <c r="AU61" s="1836"/>
      <c r="AV61" s="1836"/>
      <c r="AW61" s="1836"/>
      <c r="AX61" s="1836"/>
      <c r="AY61" s="1836"/>
      <c r="AZ61" s="1836"/>
      <c r="BA61" s="1836"/>
      <c r="BB61" s="1836"/>
      <c r="BC61" s="1836"/>
      <c r="BE61" s="1301"/>
      <c r="BF61" s="1301" t="str">
        <f>IF(T61="","",T61)</f>
        <v>Добавить централизованную систему для дифференциации</v>
      </c>
      <c r="BG61" s="1301"/>
      <c r="BH61" s="1301"/>
      <c r="BI61" s="1030">
        <v>0</v>
      </c>
    </row>
    <row s="46890" customFormat="1" customHeight="1" ht="0">
      <c r="A62" s="1855" t="s">
        <v>295</v>
      </c>
      <c r="B62" s="1855"/>
      <c r="C62" s="1855"/>
      <c r="D62" s="1855"/>
      <c r="E62" s="2770"/>
      <c r="F62" s="1855"/>
      <c r="G62" s="1855"/>
      <c r="H62" s="1855"/>
      <c r="I62" s="1855"/>
      <c r="J62" s="1855"/>
      <c r="K62" s="1855"/>
      <c r="L62" s="1858"/>
      <c r="M62" s="1833"/>
      <c r="N62" s="1833"/>
      <c r="O62" s="1030"/>
      <c r="P62" s="892"/>
      <c r="Q62" s="1856"/>
      <c r="R62" s="892"/>
      <c r="S62" s="1834"/>
      <c r="T62" s="1837" t="s">
        <v>385</v>
      </c>
      <c r="U62" s="1836"/>
      <c r="V62" s="1836"/>
      <c r="W62" s="1836"/>
      <c r="X62" s="1836"/>
      <c r="Y62" s="1836"/>
      <c r="Z62" s="1836"/>
      <c r="AA62" s="1836"/>
      <c r="AB62" s="1836"/>
      <c r="AC62" s="1836"/>
      <c r="AD62" s="1836"/>
      <c r="AE62" s="1836"/>
      <c r="AF62" s="1836"/>
      <c r="AG62" s="1836"/>
      <c r="AH62" s="1836"/>
      <c r="AI62" s="1836"/>
      <c r="AJ62" s="1836"/>
      <c r="AK62" s="1836"/>
      <c r="AL62" s="1836"/>
      <c r="AM62" s="1836"/>
      <c r="AN62" s="1836"/>
      <c r="AO62" s="1836"/>
      <c r="AP62" s="1836"/>
      <c r="AQ62" s="1836"/>
      <c r="AR62" s="1836"/>
      <c r="AS62" s="1836"/>
      <c r="AT62" s="1836"/>
      <c r="AU62" s="1836"/>
      <c r="AV62" s="1836"/>
      <c r="AW62" s="1836"/>
      <c r="AX62" s="1836"/>
      <c r="AY62" s="1836"/>
      <c r="AZ62" s="1836"/>
      <c r="BA62" s="1836"/>
      <c r="BB62" s="1836"/>
      <c r="BC62" s="1836"/>
      <c r="BE62" s="1012"/>
      <c r="BF62" s="1012" t="str">
        <f>IF(T62="","",T62)</f>
        <v>Добавить территорию для дифференциации</v>
      </c>
      <c r="BG62" s="1012"/>
      <c r="BH62" s="1012"/>
      <c r="BI62" s="1023">
        <v>0</v>
      </c>
    </row>
    <row s="46890" customFormat="1" customHeight="1" ht="0">
      <c r="A63" s="1826"/>
      <c r="B63" s="1826"/>
      <c r="C63" s="1826"/>
      <c r="D63" s="1826"/>
      <c r="E63" s="1855"/>
      <c r="F63" s="1826"/>
      <c r="G63" s="1826"/>
      <c r="H63" s="1826"/>
      <c r="I63" s="1826"/>
      <c r="J63" s="1826"/>
      <c r="K63" s="1826"/>
      <c r="L63" s="1976"/>
      <c r="M63" s="1833"/>
      <c r="N63" s="1833"/>
      <c r="P63" s="1828"/>
      <c r="Q63" s="1829"/>
      <c r="R63" s="1828"/>
      <c r="S63" s="1834"/>
      <c r="T63" s="1837" t="s">
        <v>386</v>
      </c>
      <c r="U63" s="1836"/>
      <c r="V63" s="1836"/>
      <c r="W63" s="1836"/>
      <c r="X63" s="1836"/>
      <c r="Y63" s="1836"/>
      <c r="Z63" s="1836"/>
      <c r="AA63" s="1836"/>
      <c r="AB63" s="1836"/>
      <c r="AC63" s="1836"/>
      <c r="AD63" s="1836"/>
      <c r="AE63" s="1836"/>
      <c r="AF63" s="1836"/>
      <c r="AG63" s="1836"/>
      <c r="AH63" s="1836"/>
      <c r="AI63" s="1836"/>
      <c r="AJ63" s="1836"/>
      <c r="AK63" s="1836"/>
      <c r="AL63" s="1836"/>
      <c r="AM63" s="1836"/>
      <c r="AN63" s="1836"/>
      <c r="AO63" s="1836"/>
      <c r="AP63" s="1836"/>
      <c r="AQ63" s="1836"/>
      <c r="AR63" s="1836"/>
      <c r="AS63" s="1836"/>
      <c r="AT63" s="1836"/>
      <c r="AU63" s="1836"/>
      <c r="AV63" s="1836"/>
      <c r="AW63" s="1836"/>
      <c r="AX63" s="1836"/>
      <c r="AY63" s="1836"/>
      <c r="AZ63" s="1836"/>
      <c r="BA63" s="1836"/>
      <c r="BB63" s="1836"/>
      <c r="BC63" s="1836"/>
      <c r="BE63" s="1301"/>
      <c r="BF63" s="1301" t="str">
        <f>IF(T63="","",T63)</f>
        <v>Добавить наименование тарифа</v>
      </c>
      <c r="BG63" s="1301"/>
      <c r="BH63" s="1301"/>
      <c r="BI63" s="1030">
        <v>0</v>
      </c>
    </row>
    <row customHeight="1" ht="11.549999999999999">
      <c r="M64" s="1672"/>
      <c r="N64" s="1672"/>
      <c r="O64" s="1049"/>
      <c r="P64" s="1672"/>
      <c r="Q64" s="1672"/>
      <c r="R64" s="1667"/>
      <c r="S64" s="1667"/>
      <c r="BD64" s="1667"/>
      <c r="BE64" s="1667"/>
      <c r="BF64" s="1667"/>
      <c r="BG64" s="1667"/>
      <c r="BH64" s="1667"/>
      <c r="BI64" s="1667">
        <v>11</v>
      </c>
    </row>
    <row customHeight="1" ht="19.95">
      <c r="O65" s="1049"/>
      <c r="S65" s="1765"/>
      <c r="T65" s="2797"/>
      <c r="U65" s="2797"/>
      <c r="V65" s="2797"/>
      <c r="W65" s="2797"/>
      <c r="X65" s="2797"/>
      <c r="Y65" s="2797"/>
      <c r="Z65" s="2797"/>
      <c r="AA65" s="2797"/>
      <c r="AB65" s="2797"/>
      <c r="AC65" s="2797"/>
      <c r="AD65" s="2797"/>
      <c r="AE65" s="2797"/>
      <c r="AF65" s="2797"/>
      <c r="AG65" s="2797"/>
      <c r="AH65" s="2797"/>
      <c r="AI65" s="2797"/>
      <c r="AJ65" s="2797"/>
      <c r="AK65" s="2797"/>
      <c r="AL65" s="2797"/>
      <c r="AM65" s="2797"/>
      <c r="AN65" s="2797"/>
      <c r="AO65" s="2797"/>
      <c r="AP65" s="2797"/>
      <c r="AQ65" s="2797"/>
      <c r="AR65" s="2797"/>
      <c r="AS65" s="2797"/>
      <c r="AT65" s="2797"/>
      <c r="AU65" s="2797"/>
      <c r="AV65" s="2797"/>
      <c r="AW65" s="2797"/>
      <c r="AX65" s="2797"/>
      <c r="AY65" s="2797"/>
      <c r="AZ65" s="2797"/>
      <c r="BA65" s="2797"/>
      <c r="BB65" s="2797"/>
      <c r="BC65" s="2797"/>
      <c r="BI65" s="1667">
        <v>19</v>
      </c>
    </row>
    <row customHeight="1" ht="14.699999999999998">
      <c r="O66" s="1049"/>
      <c r="T66" s="1961"/>
      <c r="U66" s="1961"/>
      <c r="V66" s="1961"/>
      <c r="W66" s="1961"/>
      <c r="X66" s="1961"/>
      <c r="Y66" s="1961"/>
      <c r="Z66" s="1961"/>
      <c r="AA66" s="1961"/>
      <c r="AB66" s="1961"/>
      <c r="AC66" s="1961"/>
      <c r="AD66" s="1961"/>
      <c r="AE66" s="1961"/>
      <c r="AF66" s="1961"/>
      <c r="AG66" s="1961"/>
      <c r="AH66" s="1961"/>
      <c r="AI66" s="1961"/>
      <c r="AJ66" s="1961"/>
      <c r="AK66" s="1961"/>
      <c r="AL66" s="1961"/>
      <c r="AM66" s="1961"/>
      <c r="AN66" s="1961"/>
      <c r="AO66" s="1961"/>
      <c r="AP66" s="1961"/>
      <c r="AQ66" s="1961"/>
      <c r="AR66" s="1961"/>
      <c r="AS66" s="1961"/>
      <c r="AT66" s="1961"/>
      <c r="AU66" s="1961"/>
      <c r="AV66" s="1961"/>
      <c r="AW66" s="1961"/>
      <c r="AX66" s="1961"/>
      <c r="AY66" s="1961"/>
      <c r="AZ66" s="1961"/>
      <c r="BA66" s="1961"/>
      <c r="BB66" s="1961"/>
      <c r="BC66" s="1961"/>
      <c r="BI66" s="1667">
        <v>14</v>
      </c>
    </row>
    <row customHeight="1" ht="19.95">
      <c r="O67" s="1049"/>
      <c r="S67" s="1765"/>
      <c r="T67" s="2797"/>
      <c r="U67" s="2797"/>
      <c r="V67" s="2797"/>
      <c r="W67" s="2797"/>
      <c r="X67" s="2797"/>
      <c r="Y67" s="2797"/>
      <c r="Z67" s="2797"/>
      <c r="AA67" s="2797"/>
      <c r="AB67" s="2797"/>
      <c r="AC67" s="2797"/>
      <c r="AD67" s="2797"/>
      <c r="AE67" s="2797"/>
      <c r="AF67" s="2797"/>
      <c r="AG67" s="2797"/>
      <c r="AH67" s="2797"/>
      <c r="AI67" s="2797"/>
      <c r="AJ67" s="2797"/>
      <c r="AK67" s="2797"/>
      <c r="AL67" s="2797"/>
      <c r="AM67" s="2797"/>
      <c r="AN67" s="2797"/>
      <c r="AO67" s="2797"/>
      <c r="AP67" s="2797"/>
      <c r="AQ67" s="2797"/>
      <c r="AR67" s="2797"/>
      <c r="AS67" s="2797"/>
      <c r="AT67" s="2797"/>
      <c r="AU67" s="2797"/>
      <c r="AV67" s="2797"/>
      <c r="AW67" s="2797"/>
      <c r="AX67" s="2797"/>
      <c r="AY67" s="2797"/>
      <c r="AZ67" s="2797"/>
      <c r="BA67" s="2797"/>
      <c r="BB67" s="2797"/>
      <c r="BC67" s="2797"/>
      <c r="BI67" s="1667">
        <v>19</v>
      </c>
    </row>
    <row customHeight="1" ht="14.699999999999998">
      <c r="O68" s="1049"/>
      <c r="BI68" s="1667">
        <v>14</v>
      </c>
    </row>
    <row customHeight="1" ht="14.25" hidden="1">
      <c r="A69" s="1672" t="s">
        <v>84</v>
      </c>
      <c r="B69" s="1672">
        <v>0</v>
      </c>
      <c r="C69" s="1672">
        <v>0</v>
      </c>
      <c r="D69" s="1672">
        <v>0</v>
      </c>
      <c r="E69" s="1672">
        <v>0</v>
      </c>
      <c r="F69" s="1672">
        <v>0</v>
      </c>
      <c r="G69" s="1672">
        <v>0</v>
      </c>
      <c r="H69" s="1672">
        <v>0</v>
      </c>
      <c r="I69" s="1672">
        <v>0</v>
      </c>
      <c r="J69" s="1672">
        <v>0</v>
      </c>
      <c r="K69" s="1672">
        <v>0</v>
      </c>
      <c r="L69" s="1973">
        <v>0</v>
      </c>
      <c r="M69" s="1874">
        <v>0</v>
      </c>
      <c r="N69" s="1874">
        <v>0</v>
      </c>
      <c r="O69" s="1874">
        <v>0</v>
      </c>
      <c r="P69" s="1874">
        <v>0</v>
      </c>
      <c r="Q69" s="1883">
        <v>0</v>
      </c>
      <c r="R69" s="856">
        <v>3</v>
      </c>
      <c r="S69" s="1093">
        <v>12</v>
      </c>
      <c r="T69" s="1667">
        <v>31</v>
      </c>
      <c r="U69" s="1667">
        <v>0</v>
      </c>
      <c r="V69" s="1667">
        <v>0</v>
      </c>
      <c r="W69" s="1667">
        <v>0</v>
      </c>
      <c r="X69" s="1667">
        <v>0</v>
      </c>
      <c r="Y69" s="1667">
        <v>0</v>
      </c>
      <c r="Z69" s="1667">
        <v>0</v>
      </c>
      <c r="AA69" s="1667">
        <v>0</v>
      </c>
      <c r="AB69" s="1667">
        <v>0</v>
      </c>
      <c r="AC69" s="1667">
        <v>0</v>
      </c>
      <c r="AD69" s="1667">
        <v>3</v>
      </c>
      <c r="AE69" s="1667">
        <v>3</v>
      </c>
      <c r="AF69" s="1667">
        <v>3</v>
      </c>
      <c r="AG69" s="1667">
        <v>24</v>
      </c>
      <c r="AH69" s="1667">
        <v>3</v>
      </c>
      <c r="AI69" s="1667">
        <v>3</v>
      </c>
      <c r="AJ69" s="1667">
        <v>3</v>
      </c>
      <c r="AK69" s="1667">
        <v>24</v>
      </c>
      <c r="AL69" s="1667">
        <v>3</v>
      </c>
      <c r="AM69" s="1667">
        <v>3</v>
      </c>
      <c r="AN69" s="1667">
        <v>3</v>
      </c>
      <c r="AO69" s="1667">
        <v>18</v>
      </c>
      <c r="AP69" s="1667">
        <v>3</v>
      </c>
      <c r="AQ69" s="1667">
        <v>3</v>
      </c>
      <c r="AR69" s="1667">
        <v>3</v>
      </c>
      <c r="AS69" s="1667">
        <v>18</v>
      </c>
      <c r="AT69" s="1667">
        <v>21</v>
      </c>
      <c r="AU69" s="1667">
        <v>21</v>
      </c>
      <c r="AV69" s="1667">
        <v>21</v>
      </c>
      <c r="AW69" s="1667">
        <v>21</v>
      </c>
      <c r="AX69" s="1667">
        <v>11</v>
      </c>
      <c r="AY69" s="1667">
        <v>3</v>
      </c>
      <c r="AZ69" s="1667">
        <v>11</v>
      </c>
      <c r="BA69" s="1667">
        <v>0</v>
      </c>
      <c r="BB69" s="1667">
        <v>4</v>
      </c>
      <c r="BC69" s="1667">
        <v>115</v>
      </c>
      <c r="BD69" s="1023">
        <v>10</v>
      </c>
      <c r="BE69" s="1023">
        <v>10</v>
      </c>
      <c r="BF69" s="1023">
        <v>10</v>
      </c>
      <c r="BG69" s="1023">
        <v>10</v>
      </c>
      <c r="BH69" s="1023">
        <v>10</v>
      </c>
      <c r="BI69" s="1667">
        <v>23</v>
      </c>
    </row>
  </sheetData>
  <sheetProtection formatColumns="0" formatRows="0" autoFilter="0" sort="0" insertRows="0" insertColumns="1" deleteRows="0" deleteColumns="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986A616-67ED-00F5-8B75-1BF27F4DE90F}" mc:Ignorable="x14ac xr xr2 xr3">
  <sheetPr>
    <tabColor theme="6" tint="0.4"/>
  </sheetPr>
  <dimension ref="A1:DB290"/>
  <sheetViews>
    <sheetView topLeftCell="P23" showGridLines="0" zoomScale="90" workbookViewId="0" tabSelected="1">
      <selection activeCell="CR281" sqref="CR281"/>
    </sheetView>
  </sheetViews>
  <sheetFormatPr defaultColWidth="10.57421875" customHeight="1" defaultRowHeight="14.25"/>
  <cols>
    <col min="1" max="1" style="46889" width="10.57421875" hidden="1"/>
    <col min="2" max="2" style="46889" width="11.00390625" hidden="1" customWidth="1"/>
    <col min="3" max="3" style="46889" width="10.57421875" hidden="1"/>
    <col min="4" max="4" style="46889" width="11.8515625" hidden="1" customWidth="1"/>
    <col min="5" max="5" style="46889" width="10.00390625" hidden="1" customWidth="1"/>
    <col min="6" max="6" style="46889" width="8.7109375" hidden="1" customWidth="1"/>
    <col min="7" max="7" style="46889" width="7.57421875" hidden="1" customWidth="1"/>
    <col min="8" max="8" style="46889" width="11.421875" hidden="1" customWidth="1"/>
    <col min="9" max="9" style="46889" width="14.140625" hidden="1" customWidth="1"/>
    <col min="10" max="10" style="46889" width="9.8515625" hidden="1" customWidth="1"/>
    <col min="11" max="11" style="46889" width="14.7109375" hidden="1" customWidth="1"/>
    <col min="12" max="12" style="47738" width="19.140625" hidden="1" customWidth="1"/>
    <col min="13" max="14" style="47739" width="12.28125" hidden="1" customWidth="1"/>
    <col min="15" max="15" style="47739" width="23.421875" hidden="1" customWidth="1"/>
    <col min="16" max="16" style="47740" width="3.00390625" customWidth="1"/>
    <col min="17" max="18" style="47741" width="3.00390625" customWidth="1"/>
    <col min="19" max="19" style="47742" width="12.00390625" customWidth="1"/>
    <col min="20" max="20" style="46808" width="35.00390625" customWidth="1"/>
    <col min="21" max="21" style="46808" width="0.140625" customWidth="1"/>
    <col min="22" max="24" style="46808" width="24.7109375" hidden="1" customWidth="1"/>
    <col min="25" max="25" style="46808" width="11.7109375" hidden="1" customWidth="1"/>
    <col min="26" max="26" style="46808" width="3.7109375" hidden="1" customWidth="1"/>
    <col min="27" max="27" style="46808" width="11.7109375" hidden="1" customWidth="1"/>
    <col min="28" max="28" style="46808" width="8.57421875" hidden="1" customWidth="1"/>
    <col min="29" max="31" style="46808" width="24.00390625" customWidth="1"/>
    <col min="32" max="32" style="46808" width="11.00390625" customWidth="1"/>
    <col min="33" max="33" style="46808" width="3.7109375" customWidth="1"/>
    <col min="34" max="34" style="46808" width="11.00390625" customWidth="1"/>
    <col min="35" max="35" style="46808" width="8.57421875" customWidth="1"/>
    <col min="91" max="91" style="54543" width="10.57421875"/>
    <col min="98" max="98" style="54544" width="10.57421875" hidden="1"/>
    <col min="99" max="99" style="46808" width="4.00390625" customWidth="1"/>
    <col min="100" max="100" style="46808" width="115.00390625" customWidth="1"/>
    <col min="101" max="105" style="46890" width="10.00390625" customWidth="1"/>
    <col min="106" max="106" style="46808" width="10.57421875" hidden="1"/>
  </cols>
  <sheetData>
    <row customHeight="1" ht="22.5" hidden="1">
      <c r="X1" s="839"/>
      <c r="Y1" s="839"/>
      <c r="AE1" s="839"/>
      <c r="AF1" s="839"/>
      <c r="AJ1" s="6952"/>
      <c r="AK1" s="6952"/>
      <c r="AL1" s="6952"/>
      <c r="AM1" s="6952"/>
      <c r="AN1" s="6952"/>
      <c r="AO1" s="6952"/>
      <c r="AP1" s="6952"/>
      <c r="AQ1" s="6952"/>
      <c r="AR1" s="6952"/>
      <c r="AS1" s="6952"/>
      <c r="AT1" s="6952"/>
      <c r="AU1" s="6952"/>
      <c r="AV1" s="6952"/>
      <c r="AW1" s="6952"/>
      <c r="AX1" s="6952"/>
      <c r="AY1" s="6952"/>
      <c r="AZ1" s="6952"/>
      <c r="BA1" s="6952"/>
      <c r="BB1" s="6952"/>
      <c r="BC1" s="6952"/>
      <c r="BD1" s="6952"/>
      <c r="BE1" s="6952"/>
      <c r="BF1" s="6952"/>
      <c r="BG1" s="6952"/>
      <c r="BH1" s="6952"/>
      <c r="BI1" s="6952"/>
      <c r="BJ1" s="6952"/>
      <c r="BK1" s="6952"/>
      <c r="BL1" s="6952"/>
      <c r="BM1" s="6952"/>
      <c r="BN1" s="6952"/>
      <c r="BO1" s="6952"/>
      <c r="BP1" s="6952"/>
      <c r="BQ1" s="6952"/>
      <c r="BR1" s="6952"/>
      <c r="BS1" s="6952"/>
      <c r="BT1" s="6952"/>
      <c r="BU1" s="6952"/>
      <c r="BV1" s="6952"/>
      <c r="BW1" s="6952"/>
      <c r="BX1" s="6952"/>
      <c r="BY1" s="6952"/>
      <c r="BZ1" s="6952"/>
      <c r="CA1" s="6952"/>
      <c r="CB1" s="6952"/>
      <c r="CC1" s="6952"/>
      <c r="CD1" s="6952"/>
      <c r="CE1" s="6952"/>
      <c r="CF1" s="6952"/>
      <c r="CG1" s="6952"/>
      <c r="CH1" s="6952"/>
      <c r="CI1" s="6952"/>
      <c r="CJ1" s="6952"/>
      <c r="CK1" s="6952"/>
      <c r="CL1" s="6952"/>
      <c r="CM1" s="6952"/>
      <c r="CN1" s="23674"/>
      <c r="CO1" s="23674"/>
      <c r="CP1" s="23674"/>
      <c r="CQ1" s="23674"/>
      <c r="CR1" s="23674"/>
      <c r="CS1" s="23674"/>
      <c r="CT1" s="23674"/>
      <c r="DB1" s="1667" t="s">
        <v>14</v>
      </c>
    </row>
    <row customHeight="1" ht="23.25" hidden="1">
      <c r="A2" s="1875"/>
      <c r="B2" s="1875"/>
      <c r="C2" s="1875"/>
      <c r="D2" s="1875"/>
      <c r="E2" s="2770">
        <v>1</v>
      </c>
      <c r="F2" s="1875"/>
      <c r="G2" s="1875"/>
      <c r="H2" s="1875"/>
      <c r="I2" s="1875"/>
      <c r="J2" s="1875"/>
      <c r="K2" s="1875"/>
      <c r="L2" s="1876"/>
      <c r="M2" s="1877"/>
      <c r="N2" s="1877"/>
      <c r="O2" s="1877"/>
      <c r="P2" s="873"/>
      <c r="Q2" s="872"/>
      <c r="R2" s="867"/>
      <c r="S2" s="2005">
        <f>INDEX(PT_DIFFERENTIATION_NUM_NTAR,MATCH(A2,PT_DIFFERENTIATION_NTAR_ID,0))</f>
      </c>
      <c r="T2" s="810" t="s">
        <v>179</v>
      </c>
      <c r="U2" s="812"/>
      <c r="V2" s="2754"/>
      <c r="W2" s="2755"/>
      <c r="X2" s="2755"/>
      <c r="Y2" s="2755"/>
      <c r="Z2" s="2755"/>
      <c r="AA2" s="2755"/>
      <c r="AB2" s="2756"/>
      <c r="AC2" s="2754">
        <f>INDEX(PT_DIFFERENTIATION_NTAR,MATCH(A2,PT_DIFFERENTIATION_NTAR_ID,0))</f>
      </c>
      <c r="AD2" s="2755"/>
      <c r="AE2" s="2755"/>
      <c r="AF2" s="2755"/>
      <c r="AG2" s="2755"/>
      <c r="AH2" s="2755"/>
      <c r="AI2" s="2755"/>
      <c r="AJ2" s="6954"/>
      <c r="AK2" s="6955"/>
      <c r="AL2" s="6955"/>
      <c r="AM2" s="6955"/>
      <c r="AN2" s="6955"/>
      <c r="AO2" s="6955"/>
      <c r="AP2" s="6956"/>
      <c r="AQ2" s="6954"/>
      <c r="AR2" s="6955"/>
      <c r="AS2" s="6955"/>
      <c r="AT2" s="6955"/>
      <c r="AU2" s="6955"/>
      <c r="AV2" s="6955"/>
      <c r="AW2" s="6956"/>
      <c r="AX2" s="6954"/>
      <c r="AY2" s="6955"/>
      <c r="AZ2" s="6955"/>
      <c r="BA2" s="6955"/>
      <c r="BB2" s="6955"/>
      <c r="BC2" s="6955"/>
      <c r="BD2" s="6956"/>
      <c r="BE2" s="6954"/>
      <c r="BF2" s="6955"/>
      <c r="BG2" s="6955"/>
      <c r="BH2" s="6955"/>
      <c r="BI2" s="6955"/>
      <c r="BJ2" s="6955"/>
      <c r="BK2" s="6956"/>
      <c r="BL2" s="6954"/>
      <c r="BM2" s="6955"/>
      <c r="BN2" s="6955"/>
      <c r="BO2" s="6955"/>
      <c r="BP2" s="6955"/>
      <c r="BQ2" s="6955"/>
      <c r="BR2" s="6956"/>
      <c r="BS2" s="6954"/>
      <c r="BT2" s="6955"/>
      <c r="BU2" s="6955"/>
      <c r="BV2" s="6955"/>
      <c r="BW2" s="6955"/>
      <c r="BX2" s="6955"/>
      <c r="BY2" s="6956"/>
      <c r="BZ2" s="6954"/>
      <c r="CA2" s="6955"/>
      <c r="CB2" s="6955"/>
      <c r="CC2" s="6955"/>
      <c r="CD2" s="6955"/>
      <c r="CE2" s="6955"/>
      <c r="CF2" s="6956"/>
      <c r="CG2" s="6954"/>
      <c r="CH2" s="6955"/>
      <c r="CI2" s="6955"/>
      <c r="CJ2" s="6955"/>
      <c r="CK2" s="6955"/>
      <c r="CL2" s="6955"/>
      <c r="CM2" s="6956"/>
      <c r="CN2" s="23679"/>
      <c r="CO2" s="23680"/>
      <c r="CP2" s="23680"/>
      <c r="CQ2" s="23680"/>
      <c r="CR2" s="23680"/>
      <c r="CS2" s="23680"/>
      <c r="CT2" s="23681"/>
      <c r="CU2" s="2756"/>
      <c r="CV2"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CX2" s="1012"/>
      <c r="CY2" s="1012" t="str">
        <f>IF(T2="","",T2)</f>
        <v>Наименование тарифа</v>
      </c>
      <c r="CZ2" s="1012"/>
      <c r="DA2" s="1012"/>
      <c r="DB2" s="1667">
        <v>0</v>
      </c>
    </row>
    <row customHeight="1" ht="23.25" hidden="1">
      <c r="A3" s="1875"/>
      <c r="B3" s="1875"/>
      <c r="C3" s="1875"/>
      <c r="D3" s="1875"/>
      <c r="E3" s="2771"/>
      <c r="F3" s="2770">
        <v>1</v>
      </c>
      <c r="G3" s="1875"/>
      <c r="H3" s="1875"/>
      <c r="I3" s="1875"/>
      <c r="J3" s="1875"/>
      <c r="K3" s="1875"/>
      <c r="L3" s="1876"/>
      <c r="M3" s="1877"/>
      <c r="N3" s="1877"/>
      <c r="O3" s="1877"/>
      <c r="P3" s="1999"/>
      <c r="Q3" s="864"/>
      <c r="R3" s="865"/>
      <c r="S3" s="2005">
        <f>INDEX(PT_DIFFERENTIATION_NUM_TER,MATCH(B3,PT_DIFFERENTIATION_TER_ID,0))</f>
      </c>
      <c r="T3" s="820" t="s">
        <v>515</v>
      </c>
      <c r="U3" s="812"/>
      <c r="V3" s="2754"/>
      <c r="W3" s="2755"/>
      <c r="X3" s="2755"/>
      <c r="Y3" s="2755"/>
      <c r="Z3" s="2755"/>
      <c r="AA3" s="2755"/>
      <c r="AB3" s="2756"/>
      <c r="AC3" s="2754">
        <f>INDEX(PT_DIFFERENTIATION_TER,MATCH(B3,PT_DIFFERENTIATION_TER_ID,0))</f>
      </c>
      <c r="AD3" s="2755"/>
      <c r="AE3" s="2755"/>
      <c r="AF3" s="2755"/>
      <c r="AG3" s="2755"/>
      <c r="AH3" s="2755"/>
      <c r="AI3" s="2755"/>
      <c r="AJ3" s="6954"/>
      <c r="AK3" s="6955"/>
      <c r="AL3" s="6955"/>
      <c r="AM3" s="6955"/>
      <c r="AN3" s="6955"/>
      <c r="AO3" s="6955"/>
      <c r="AP3" s="6956"/>
      <c r="AQ3" s="6954"/>
      <c r="AR3" s="6955"/>
      <c r="AS3" s="6955"/>
      <c r="AT3" s="6955"/>
      <c r="AU3" s="6955"/>
      <c r="AV3" s="6955"/>
      <c r="AW3" s="6956"/>
      <c r="AX3" s="6954"/>
      <c r="AY3" s="6955"/>
      <c r="AZ3" s="6955"/>
      <c r="BA3" s="6955"/>
      <c r="BB3" s="6955"/>
      <c r="BC3" s="6955"/>
      <c r="BD3" s="6956"/>
      <c r="BE3" s="6954"/>
      <c r="BF3" s="6955"/>
      <c r="BG3" s="6955"/>
      <c r="BH3" s="6955"/>
      <c r="BI3" s="6955"/>
      <c r="BJ3" s="6955"/>
      <c r="BK3" s="6956"/>
      <c r="BL3" s="6954"/>
      <c r="BM3" s="6955"/>
      <c r="BN3" s="6955"/>
      <c r="BO3" s="6955"/>
      <c r="BP3" s="6955"/>
      <c r="BQ3" s="6955"/>
      <c r="BR3" s="6956"/>
      <c r="BS3" s="6954"/>
      <c r="BT3" s="6955"/>
      <c r="BU3" s="6955"/>
      <c r="BV3" s="6955"/>
      <c r="BW3" s="6955"/>
      <c r="BX3" s="6955"/>
      <c r="BY3" s="6956"/>
      <c r="BZ3" s="6954"/>
      <c r="CA3" s="6955"/>
      <c r="CB3" s="6955"/>
      <c r="CC3" s="6955"/>
      <c r="CD3" s="6955"/>
      <c r="CE3" s="6955"/>
      <c r="CF3" s="6956"/>
      <c r="CG3" s="6954"/>
      <c r="CH3" s="6955"/>
      <c r="CI3" s="6955"/>
      <c r="CJ3" s="6955"/>
      <c r="CK3" s="6955"/>
      <c r="CL3" s="6955"/>
      <c r="CM3" s="6956"/>
      <c r="CN3" s="23679"/>
      <c r="CO3" s="23680"/>
      <c r="CP3" s="23680"/>
      <c r="CQ3" s="23680"/>
      <c r="CR3" s="23680"/>
      <c r="CS3" s="23680"/>
      <c r="CT3" s="23681"/>
      <c r="CU3" s="2756"/>
      <c r="CV3" s="1770" t="s">
        <v>516</v>
      </c>
      <c r="CX3" s="1012"/>
      <c r="CY3" s="1012" t="str">
        <f>IF(T3="","",T3)</f>
        <v>Территория действия тарифа</v>
      </c>
      <c r="CZ3" s="1012"/>
      <c r="DA3" s="1012"/>
      <c r="DB3" s="1667">
        <v>0</v>
      </c>
    </row>
    <row customHeight="1" ht="23.25" hidden="1">
      <c r="A4" s="1875"/>
      <c r="B4" s="1875"/>
      <c r="C4" s="1875"/>
      <c r="D4" s="1875"/>
      <c r="E4" s="2771"/>
      <c r="F4" s="2771"/>
      <c r="G4" s="2770">
        <v>1</v>
      </c>
      <c r="H4" s="1875"/>
      <c r="I4" s="1875"/>
      <c r="J4" s="1875"/>
      <c r="K4" s="1875"/>
      <c r="L4" s="1876"/>
      <c r="M4" s="1877"/>
      <c r="N4" s="1877"/>
      <c r="O4" s="1877"/>
      <c r="P4" s="866"/>
      <c r="Q4" s="864"/>
      <c r="R4" s="865"/>
      <c r="S4" s="2005">
        <f>INDEX(PT_DIFFERENTIATION_NUM_CS,MATCH(C4,PT_DIFFERENTIATION_CS_ID,0))</f>
      </c>
      <c r="T4" s="821" t="s">
        <v>631</v>
      </c>
      <c r="U4" s="812"/>
      <c r="V4" s="2754"/>
      <c r="W4" s="2755"/>
      <c r="X4" s="2755"/>
      <c r="Y4" s="2755"/>
      <c r="Z4" s="2755"/>
      <c r="AA4" s="2755"/>
      <c r="AB4" s="2756"/>
      <c r="AC4" s="2754">
        <f>INDEX(PT_DIFFERENTIATION_CS,MATCH(C4,PT_DIFFERENTIATION_CS_ID,0))</f>
      </c>
      <c r="AD4" s="2755"/>
      <c r="AE4" s="2755"/>
      <c r="AF4" s="2755"/>
      <c r="AG4" s="2755"/>
      <c r="AH4" s="2755"/>
      <c r="AI4" s="2755"/>
      <c r="AJ4" s="6954"/>
      <c r="AK4" s="6955"/>
      <c r="AL4" s="6955"/>
      <c r="AM4" s="6955"/>
      <c r="AN4" s="6955"/>
      <c r="AO4" s="6955"/>
      <c r="AP4" s="6956"/>
      <c r="AQ4" s="6954"/>
      <c r="AR4" s="6955"/>
      <c r="AS4" s="6955"/>
      <c r="AT4" s="6955"/>
      <c r="AU4" s="6955"/>
      <c r="AV4" s="6955"/>
      <c r="AW4" s="6956"/>
      <c r="AX4" s="6954"/>
      <c r="AY4" s="6955"/>
      <c r="AZ4" s="6955"/>
      <c r="BA4" s="6955"/>
      <c r="BB4" s="6955"/>
      <c r="BC4" s="6955"/>
      <c r="BD4" s="6956"/>
      <c r="BE4" s="6954"/>
      <c r="BF4" s="6955"/>
      <c r="BG4" s="6955"/>
      <c r="BH4" s="6955"/>
      <c r="BI4" s="6955"/>
      <c r="BJ4" s="6955"/>
      <c r="BK4" s="6956"/>
      <c r="BL4" s="6954"/>
      <c r="BM4" s="6955"/>
      <c r="BN4" s="6955"/>
      <c r="BO4" s="6955"/>
      <c r="BP4" s="6955"/>
      <c r="BQ4" s="6955"/>
      <c r="BR4" s="6956"/>
      <c r="BS4" s="6954"/>
      <c r="BT4" s="6955"/>
      <c r="BU4" s="6955"/>
      <c r="BV4" s="6955"/>
      <c r="BW4" s="6955"/>
      <c r="BX4" s="6955"/>
      <c r="BY4" s="6956"/>
      <c r="BZ4" s="6954"/>
      <c r="CA4" s="6955"/>
      <c r="CB4" s="6955"/>
      <c r="CC4" s="6955"/>
      <c r="CD4" s="6955"/>
      <c r="CE4" s="6955"/>
      <c r="CF4" s="6956"/>
      <c r="CG4" s="6954"/>
      <c r="CH4" s="6955"/>
      <c r="CI4" s="6955"/>
      <c r="CJ4" s="6955"/>
      <c r="CK4" s="6955"/>
      <c r="CL4" s="6955"/>
      <c r="CM4" s="6956"/>
      <c r="CN4" s="23679"/>
      <c r="CO4" s="23680"/>
      <c r="CP4" s="23680"/>
      <c r="CQ4" s="23680"/>
      <c r="CR4" s="23680"/>
      <c r="CS4" s="23680"/>
      <c r="CT4" s="23681"/>
      <c r="CU4" s="2756"/>
      <c r="CV4" s="1770" t="s">
        <v>632</v>
      </c>
      <c r="CX4" s="1012"/>
      <c r="CY4" s="1012" t="str">
        <f>IF(T4="","",T4)</f>
        <v>Наименование централизованной системы водоотведения</v>
      </c>
      <c r="CZ4" s="1012"/>
      <c r="DA4" s="1012"/>
      <c r="DB4" s="1667">
        <v>0</v>
      </c>
    </row>
    <row customHeight="1" ht="23.25" hidden="1">
      <c r="A5" s="1875"/>
      <c r="B5" s="1875"/>
      <c r="C5" s="1875"/>
      <c r="D5" s="1875"/>
      <c r="E5" s="2771"/>
      <c r="F5" s="2771"/>
      <c r="G5" s="2771"/>
      <c r="H5" s="2771"/>
      <c r="I5" s="2768">
        <f>S4&amp;".1"</f>
      </c>
      <c r="J5" s="1875"/>
      <c r="K5" s="1875"/>
      <c r="L5" s="1876"/>
      <c r="P5" s="2769">
        <v>1</v>
      </c>
      <c r="Q5" s="1993"/>
      <c r="R5" s="868"/>
      <c r="S5" s="2005">
        <f>$I5</f>
      </c>
      <c r="T5" s="797" t="s">
        <v>598</v>
      </c>
      <c r="U5" s="812"/>
      <c r="V5" s="2862"/>
      <c r="W5" s="2863"/>
      <c r="X5" s="2863"/>
      <c r="Y5" s="2863"/>
      <c r="Z5" s="2863"/>
      <c r="AA5" s="2863"/>
      <c r="AB5" s="2864"/>
      <c r="AC5" s="2865"/>
      <c r="AD5" s="2866"/>
      <c r="AE5" s="2866"/>
      <c r="AF5" s="2866"/>
      <c r="AG5" s="2866"/>
      <c r="AH5" s="2866"/>
      <c r="AI5" s="2866"/>
      <c r="AJ5" s="6959"/>
      <c r="AK5" s="6960"/>
      <c r="AL5" s="6960"/>
      <c r="AM5" s="6960"/>
      <c r="AN5" s="6960"/>
      <c r="AO5" s="6960"/>
      <c r="AP5" s="6961"/>
      <c r="AQ5" s="6959"/>
      <c r="AR5" s="6960"/>
      <c r="AS5" s="6960"/>
      <c r="AT5" s="6960"/>
      <c r="AU5" s="6960"/>
      <c r="AV5" s="6960"/>
      <c r="AW5" s="6961"/>
      <c r="AX5" s="6959"/>
      <c r="AY5" s="6960"/>
      <c r="AZ5" s="6960"/>
      <c r="BA5" s="6960"/>
      <c r="BB5" s="6960"/>
      <c r="BC5" s="6960"/>
      <c r="BD5" s="6961"/>
      <c r="BE5" s="6959"/>
      <c r="BF5" s="6960"/>
      <c r="BG5" s="6960"/>
      <c r="BH5" s="6960"/>
      <c r="BI5" s="6960"/>
      <c r="BJ5" s="6960"/>
      <c r="BK5" s="6961"/>
      <c r="BL5" s="6959"/>
      <c r="BM5" s="6960"/>
      <c r="BN5" s="6960"/>
      <c r="BO5" s="6960"/>
      <c r="BP5" s="6960"/>
      <c r="BQ5" s="6960"/>
      <c r="BR5" s="6961"/>
      <c r="BS5" s="6959"/>
      <c r="BT5" s="6960"/>
      <c r="BU5" s="6960"/>
      <c r="BV5" s="6960"/>
      <c r="BW5" s="6960"/>
      <c r="BX5" s="6960"/>
      <c r="BY5" s="6961"/>
      <c r="BZ5" s="6959"/>
      <c r="CA5" s="6960"/>
      <c r="CB5" s="6960"/>
      <c r="CC5" s="6960"/>
      <c r="CD5" s="6960"/>
      <c r="CE5" s="6960"/>
      <c r="CF5" s="6961"/>
      <c r="CG5" s="6959"/>
      <c r="CH5" s="6960"/>
      <c r="CI5" s="6960"/>
      <c r="CJ5" s="6960"/>
      <c r="CK5" s="6960"/>
      <c r="CL5" s="6960"/>
      <c r="CM5" s="6961"/>
      <c r="CN5" s="23687"/>
      <c r="CO5" s="23688"/>
      <c r="CP5" s="23688"/>
      <c r="CQ5" s="23688"/>
      <c r="CR5" s="23688"/>
      <c r="CS5" s="23688"/>
      <c r="CT5" s="23689"/>
      <c r="CU5" s="2867"/>
      <c r="CV5" s="1770" t="s">
        <v>599</v>
      </c>
      <c r="CX5" s="1012"/>
      <c r="CY5" s="1012" t="str">
        <f>IF(T5="","",T5)</f>
        <v>Наименование признака дифференциации</v>
      </c>
      <c r="CZ5" s="1012"/>
      <c r="DA5" s="1012"/>
      <c r="DB5" s="1667">
        <v>0</v>
      </c>
    </row>
    <row customHeight="1" ht="23.25" hidden="1">
      <c r="A6" s="1875"/>
      <c r="B6" s="1875"/>
      <c r="C6" s="1875"/>
      <c r="D6" s="1875"/>
      <c r="E6" s="2771"/>
      <c r="F6" s="2771"/>
      <c r="G6" s="2771"/>
      <c r="H6" s="2771"/>
      <c r="I6" s="2798"/>
      <c r="J6" s="2768">
        <f>I5&amp;".1"</f>
      </c>
      <c r="K6" s="1875"/>
      <c r="L6" s="1876" t="s">
        <v>524</v>
      </c>
      <c r="P6" s="2769"/>
      <c r="Q6" s="2769">
        <v>1</v>
      </c>
      <c r="R6" s="869"/>
      <c r="S6" s="2005">
        <f>$J6</f>
      </c>
      <c r="T6" s="798" t="s">
        <v>525</v>
      </c>
      <c r="U6" s="812"/>
      <c r="V6" s="2757"/>
      <c r="W6" s="2758"/>
      <c r="X6" s="2758"/>
      <c r="Y6" s="2758"/>
      <c r="Z6" s="2758"/>
      <c r="AA6" s="2758"/>
      <c r="AB6" s="2759"/>
      <c r="AC6" s="2757"/>
      <c r="AD6" s="2758"/>
      <c r="AE6" s="2758"/>
      <c r="AF6" s="2758"/>
      <c r="AG6" s="2758"/>
      <c r="AH6" s="2758"/>
      <c r="AI6" s="2758"/>
      <c r="AJ6" s="6962"/>
      <c r="AK6" s="6963"/>
      <c r="AL6" s="6963"/>
      <c r="AM6" s="6963"/>
      <c r="AN6" s="6963"/>
      <c r="AO6" s="6963"/>
      <c r="AP6" s="6964"/>
      <c r="AQ6" s="6962"/>
      <c r="AR6" s="6963"/>
      <c r="AS6" s="6963"/>
      <c r="AT6" s="6963"/>
      <c r="AU6" s="6963"/>
      <c r="AV6" s="6963"/>
      <c r="AW6" s="6964"/>
      <c r="AX6" s="6962"/>
      <c r="AY6" s="6963"/>
      <c r="AZ6" s="6963"/>
      <c r="BA6" s="6963"/>
      <c r="BB6" s="6963"/>
      <c r="BC6" s="6963"/>
      <c r="BD6" s="6964"/>
      <c r="BE6" s="6962"/>
      <c r="BF6" s="6963"/>
      <c r="BG6" s="6963"/>
      <c r="BH6" s="6963"/>
      <c r="BI6" s="6963"/>
      <c r="BJ6" s="6963"/>
      <c r="BK6" s="6964"/>
      <c r="BL6" s="6962"/>
      <c r="BM6" s="6963"/>
      <c r="BN6" s="6963"/>
      <c r="BO6" s="6963"/>
      <c r="BP6" s="6963"/>
      <c r="BQ6" s="6963"/>
      <c r="BR6" s="6964"/>
      <c r="BS6" s="6962"/>
      <c r="BT6" s="6963"/>
      <c r="BU6" s="6963"/>
      <c r="BV6" s="6963"/>
      <c r="BW6" s="6963"/>
      <c r="BX6" s="6963"/>
      <c r="BY6" s="6964"/>
      <c r="BZ6" s="6962"/>
      <c r="CA6" s="6963"/>
      <c r="CB6" s="6963"/>
      <c r="CC6" s="6963"/>
      <c r="CD6" s="6963"/>
      <c r="CE6" s="6963"/>
      <c r="CF6" s="6964"/>
      <c r="CG6" s="6962"/>
      <c r="CH6" s="6963"/>
      <c r="CI6" s="6963"/>
      <c r="CJ6" s="6963"/>
      <c r="CK6" s="6963"/>
      <c r="CL6" s="6963"/>
      <c r="CM6" s="6964"/>
      <c r="CN6" s="23693"/>
      <c r="CO6" s="23694"/>
      <c r="CP6" s="23694"/>
      <c r="CQ6" s="23694"/>
      <c r="CR6" s="23694"/>
      <c r="CS6" s="23694"/>
      <c r="CT6" s="23695"/>
      <c r="CU6" s="2759"/>
      <c r="CV6" s="1819" t="s">
        <v>600</v>
      </c>
      <c r="CX6" s="1012"/>
      <c r="CY6" s="1012" t="str">
        <f>IF(T6="","",T6)</f>
        <v>Группа потребителей</v>
      </c>
      <c r="CZ6" s="1012"/>
      <c r="DA6" s="1012"/>
      <c r="DB6" s="1667">
        <v>0</v>
      </c>
    </row>
    <row customHeight="1" ht="23.25" hidden="1">
      <c r="A7" s="1875"/>
      <c r="B7" s="1875"/>
      <c r="C7" s="1875"/>
      <c r="D7" s="1875"/>
      <c r="E7" s="2771"/>
      <c r="F7" s="2771"/>
      <c r="G7" s="2771"/>
      <c r="H7" s="2771"/>
      <c r="I7" s="2798"/>
      <c r="J7" s="2798"/>
      <c r="K7" s="2768">
        <f>J6&amp;".1"</f>
      </c>
      <c r="L7" s="1876"/>
      <c r="P7" s="2769"/>
      <c r="Q7" s="2769"/>
      <c r="R7" s="869">
        <v>1</v>
      </c>
      <c r="S7" s="2005">
        <f>$K7</f>
      </c>
      <c r="T7" s="1949"/>
      <c r="U7" s="812"/>
      <c r="V7" s="1263"/>
      <c r="W7" s="1263"/>
      <c r="X7" s="1769"/>
      <c r="Y7" s="2777"/>
      <c r="Z7" s="2619" t="s">
        <v>63</v>
      </c>
      <c r="AA7" s="2777"/>
      <c r="AB7" s="2619" t="s">
        <v>63</v>
      </c>
      <c r="AC7" s="1263"/>
      <c r="AD7" s="1263"/>
      <c r="AE7" s="1769"/>
      <c r="AF7" s="2777"/>
      <c r="AG7" s="2619" t="s">
        <v>63</v>
      </c>
      <c r="AH7" s="2799"/>
      <c r="AI7" s="2619" t="s">
        <v>63</v>
      </c>
      <c r="AJ7" s="6965"/>
      <c r="AK7" s="6965"/>
      <c r="AL7" s="6966"/>
      <c r="AM7" s="6967"/>
      <c r="AN7" s="6968" t="s">
        <v>63</v>
      </c>
      <c r="AO7" s="6967"/>
      <c r="AP7" s="6968" t="s">
        <v>63</v>
      </c>
      <c r="AQ7" s="6965"/>
      <c r="AR7" s="6965"/>
      <c r="AS7" s="6966"/>
      <c r="AT7" s="6967"/>
      <c r="AU7" s="6968" t="s">
        <v>63</v>
      </c>
      <c r="AV7" s="6967"/>
      <c r="AW7" s="6968" t="s">
        <v>63</v>
      </c>
      <c r="AX7" s="6965"/>
      <c r="AY7" s="6965"/>
      <c r="AZ7" s="6966"/>
      <c r="BA7" s="6967"/>
      <c r="BB7" s="6968" t="s">
        <v>63</v>
      </c>
      <c r="BC7" s="6967"/>
      <c r="BD7" s="6968" t="s">
        <v>63</v>
      </c>
      <c r="BE7" s="6965"/>
      <c r="BF7" s="6965"/>
      <c r="BG7" s="6966"/>
      <c r="BH7" s="6967"/>
      <c r="BI7" s="6968" t="s">
        <v>63</v>
      </c>
      <c r="BJ7" s="6967"/>
      <c r="BK7" s="6968" t="s">
        <v>63</v>
      </c>
      <c r="BL7" s="6965"/>
      <c r="BM7" s="6965"/>
      <c r="BN7" s="6966"/>
      <c r="BO7" s="6967"/>
      <c r="BP7" s="6968" t="s">
        <v>63</v>
      </c>
      <c r="BQ7" s="6967"/>
      <c r="BR7" s="6968" t="s">
        <v>63</v>
      </c>
      <c r="BS7" s="6965"/>
      <c r="BT7" s="6965"/>
      <c r="BU7" s="6966"/>
      <c r="BV7" s="6967"/>
      <c r="BW7" s="6968" t="s">
        <v>63</v>
      </c>
      <c r="BX7" s="6967"/>
      <c r="BY7" s="6968" t="s">
        <v>63</v>
      </c>
      <c r="BZ7" s="6965"/>
      <c r="CA7" s="6965"/>
      <c r="CB7" s="6966"/>
      <c r="CC7" s="6967"/>
      <c r="CD7" s="6968" t="s">
        <v>63</v>
      </c>
      <c r="CE7" s="6967"/>
      <c r="CF7" s="6968" t="s">
        <v>63</v>
      </c>
      <c r="CG7" s="6965"/>
      <c r="CH7" s="6965"/>
      <c r="CI7" s="6966"/>
      <c r="CJ7" s="6967"/>
      <c r="CK7" s="6968" t="s">
        <v>63</v>
      </c>
      <c r="CL7" s="6967"/>
      <c r="CM7" s="6968" t="s">
        <v>63</v>
      </c>
      <c r="CN7" s="23700"/>
      <c r="CO7" s="23700"/>
      <c r="CP7" s="23701"/>
      <c r="CQ7" s="23702"/>
      <c r="CR7" s="23703" t="s">
        <v>63</v>
      </c>
      <c r="CS7" s="23702"/>
      <c r="CT7" s="23703" t="s">
        <v>63</v>
      </c>
      <c r="CU7" s="1950"/>
      <c r="CV7" s="28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7" s="1023">
        <f>STRCHECKDATE(V8:CU8)</f>
      </c>
      <c r="CX7" s="1012"/>
      <c r="CY7" s="1012" t="str">
        <f>IF(T7="","",T7)</f>
        <v/>
      </c>
      <c r="CZ7" s="1012"/>
      <c r="DA7" s="1012"/>
      <c r="DB7" s="1667">
        <v>0</v>
      </c>
    </row>
    <row customHeight="1" ht="14.25" hidden="1">
      <c r="A8" s="1875"/>
      <c r="B8" s="1875"/>
      <c r="C8" s="1875"/>
      <c r="D8" s="1875"/>
      <c r="E8" s="2771"/>
      <c r="F8" s="2771"/>
      <c r="G8" s="2771"/>
      <c r="H8" s="2771"/>
      <c r="I8" s="2798"/>
      <c r="J8" s="2798"/>
      <c r="K8" s="2768"/>
      <c r="L8" s="1876"/>
      <c r="P8" s="2769"/>
      <c r="Q8" s="2769"/>
      <c r="R8" s="869"/>
      <c r="S8" s="2002"/>
      <c r="T8" s="812"/>
      <c r="U8" s="812"/>
      <c r="V8" s="837"/>
      <c r="W8" s="837"/>
      <c r="X8" s="840" t="str">
        <f>Y7&amp;"-"&amp;AA7</f>
        <v>-</v>
      </c>
      <c r="Y8" s="2778"/>
      <c r="Z8" s="2619"/>
      <c r="AA8" s="2778"/>
      <c r="AB8" s="2619"/>
      <c r="AC8" s="837"/>
      <c r="AD8" s="837"/>
      <c r="AE8" s="840" t="str">
        <f>AF7&amp;"-"&amp;AH7</f>
        <v>-</v>
      </c>
      <c r="AF8" s="2778"/>
      <c r="AG8" s="2619"/>
      <c r="AH8" s="2800"/>
      <c r="AI8" s="2619"/>
      <c r="AJ8" s="6970"/>
      <c r="AK8" s="6970"/>
      <c r="AL8" s="6971" t="str">
        <f>AM7&amp;"-"&amp;AO7</f>
        <v>-</v>
      </c>
      <c r="AM8" s="6972"/>
      <c r="AN8" s="6968"/>
      <c r="AO8" s="6972"/>
      <c r="AP8" s="6968"/>
      <c r="AQ8" s="6970"/>
      <c r="AR8" s="6970"/>
      <c r="AS8" s="6971" t="str">
        <f>AT7&amp;"-"&amp;AV7</f>
        <v>-</v>
      </c>
      <c r="AT8" s="6972"/>
      <c r="AU8" s="6968"/>
      <c r="AV8" s="6972"/>
      <c r="AW8" s="6968"/>
      <c r="AX8" s="6970"/>
      <c r="AY8" s="6970"/>
      <c r="AZ8" s="6971" t="str">
        <f>BA7&amp;"-"&amp;BC7</f>
        <v>-</v>
      </c>
      <c r="BA8" s="6972"/>
      <c r="BB8" s="6968"/>
      <c r="BC8" s="6972"/>
      <c r="BD8" s="6968"/>
      <c r="BE8" s="6970"/>
      <c r="BF8" s="6970"/>
      <c r="BG8" s="6971" t="str">
        <f>BH7&amp;"-"&amp;BJ7</f>
        <v>-</v>
      </c>
      <c r="BH8" s="6972"/>
      <c r="BI8" s="6968"/>
      <c r="BJ8" s="6972"/>
      <c r="BK8" s="6968"/>
      <c r="BL8" s="6970"/>
      <c r="BM8" s="6970"/>
      <c r="BN8" s="6971" t="str">
        <f>BO7&amp;"-"&amp;BQ7</f>
        <v>-</v>
      </c>
      <c r="BO8" s="6972"/>
      <c r="BP8" s="6968"/>
      <c r="BQ8" s="6972"/>
      <c r="BR8" s="6968"/>
      <c r="BS8" s="6970"/>
      <c r="BT8" s="6970"/>
      <c r="BU8" s="6971" t="str">
        <f>BV7&amp;"-"&amp;BX7</f>
        <v>-</v>
      </c>
      <c r="BV8" s="6972"/>
      <c r="BW8" s="6968"/>
      <c r="BX8" s="6972"/>
      <c r="BY8" s="6968"/>
      <c r="BZ8" s="6970"/>
      <c r="CA8" s="6970"/>
      <c r="CB8" s="6971" t="str">
        <f>CC7&amp;"-"&amp;CE7</f>
        <v>-</v>
      </c>
      <c r="CC8" s="6972"/>
      <c r="CD8" s="6968"/>
      <c r="CE8" s="6972"/>
      <c r="CF8" s="6968"/>
      <c r="CG8" s="6970"/>
      <c r="CH8" s="6970"/>
      <c r="CI8" s="6971" t="str">
        <f>CJ7&amp;"-"&amp;CL7</f>
        <v>-</v>
      </c>
      <c r="CJ8" s="6972"/>
      <c r="CK8" s="6968"/>
      <c r="CL8" s="6972"/>
      <c r="CM8" s="6968"/>
      <c r="CN8" s="23708"/>
      <c r="CO8" s="23708"/>
      <c r="CP8" s="23709" t="str">
        <f>CQ7&amp;"-"&amp;CS7</f>
        <v>-</v>
      </c>
      <c r="CQ8" s="23710"/>
      <c r="CR8" s="23703"/>
      <c r="CS8" s="23710"/>
      <c r="CT8" s="23703"/>
      <c r="CU8" s="1951"/>
      <c r="CV8" s="2861"/>
      <c r="CX8" s="1012"/>
      <c r="CY8" s="1012" t="str">
        <f>IF(T8="","",T8)</f>
        <v/>
      </c>
      <c r="CZ8" s="1012"/>
      <c r="DA8" s="1012"/>
      <c r="DB8" s="1667">
        <v>0</v>
      </c>
    </row>
    <row customHeight="1" ht="21" hidden="1">
      <c r="A9" s="1875"/>
      <c r="B9" s="1875"/>
      <c r="C9" s="1875"/>
      <c r="D9" s="1875"/>
      <c r="E9" s="2771"/>
      <c r="F9" s="2771"/>
      <c r="G9" s="2771"/>
      <c r="H9" s="2771"/>
      <c r="I9" s="2798"/>
      <c r="J9" s="2768"/>
      <c r="K9" s="1875"/>
      <c r="L9" s="1876"/>
      <c r="P9" s="2769"/>
      <c r="Q9" s="2769"/>
      <c r="R9" s="868"/>
      <c r="S9" s="1790"/>
      <c r="T9" s="799" t="s">
        <v>601</v>
      </c>
      <c r="U9" s="879"/>
      <c r="V9" s="879"/>
      <c r="W9" s="879"/>
      <c r="X9" s="879"/>
      <c r="Y9" s="879"/>
      <c r="Z9" s="879"/>
      <c r="AA9" s="879"/>
      <c r="AB9" s="879"/>
      <c r="AC9" s="879"/>
      <c r="AD9" s="879"/>
      <c r="AE9" s="879"/>
      <c r="AF9" s="879"/>
      <c r="AG9" s="879"/>
      <c r="AH9" s="879"/>
      <c r="AI9" s="879"/>
      <c r="AJ9" s="6973"/>
      <c r="AK9" s="6974"/>
      <c r="AL9" s="6975"/>
      <c r="AM9" s="6976"/>
      <c r="AN9" s="6977"/>
      <c r="AO9" s="6978"/>
      <c r="AP9" s="6979"/>
      <c r="AQ9" s="6980"/>
      <c r="AR9" s="6981"/>
      <c r="AS9" s="6982"/>
      <c r="AT9" s="6983"/>
      <c r="AU9" s="6984"/>
      <c r="AV9" s="6985"/>
      <c r="AW9" s="6986"/>
      <c r="AX9" s="6987"/>
      <c r="AY9" s="6988"/>
      <c r="AZ9" s="6989"/>
      <c r="BA9" s="6990"/>
      <c r="BB9" s="6991"/>
      <c r="BC9" s="6992"/>
      <c r="BD9" s="6993"/>
      <c r="BE9" s="6994"/>
      <c r="BF9" s="6995"/>
      <c r="BG9" s="6996"/>
      <c r="BH9" s="6997"/>
      <c r="BI9" s="6998"/>
      <c r="BJ9" s="6999"/>
      <c r="BK9" s="7000"/>
      <c r="BL9" s="7001"/>
      <c r="BM9" s="7002"/>
      <c r="BN9" s="7003"/>
      <c r="BO9" s="7004"/>
      <c r="BP9" s="7005"/>
      <c r="BQ9" s="7006"/>
      <c r="BR9" s="7007"/>
      <c r="BS9" s="7008"/>
      <c r="BT9" s="7009"/>
      <c r="BU9" s="7010"/>
      <c r="BV9" s="7011"/>
      <c r="BW9" s="7012"/>
      <c r="BX9" s="7013"/>
      <c r="BY9" s="7014"/>
      <c r="BZ9" s="7015"/>
      <c r="CA9" s="7016"/>
      <c r="CB9" s="7017"/>
      <c r="CC9" s="7018"/>
      <c r="CD9" s="7019"/>
      <c r="CE9" s="7020"/>
      <c r="CF9" s="7021"/>
      <c r="CG9" s="7022"/>
      <c r="CH9" s="7023"/>
      <c r="CI9" s="7024"/>
      <c r="CJ9" s="7025"/>
      <c r="CK9" s="7026"/>
      <c r="CL9" s="7027"/>
      <c r="CM9" s="7028"/>
      <c r="CN9" s="23767"/>
      <c r="CO9" s="23768"/>
      <c r="CP9" s="23769"/>
      <c r="CQ9" s="23770"/>
      <c r="CR9" s="23771"/>
      <c r="CS9" s="23772"/>
      <c r="CT9" s="23773"/>
      <c r="CU9" s="879"/>
      <c r="CV9" s="1770" t="s">
        <v>602</v>
      </c>
      <c r="CX9" s="1012"/>
      <c r="CY9" s="1012" t="str">
        <f>IF(T9="","",T9)</f>
        <v>Добавить значение признака дифференциации</v>
      </c>
      <c r="CZ9" s="1012"/>
      <c r="DA9" s="1012"/>
      <c r="DB9" s="1667">
        <v>0</v>
      </c>
    </row>
    <row customHeight="1" ht="21" hidden="1">
      <c r="A10" s="1875"/>
      <c r="B10" s="1875"/>
      <c r="C10" s="1875"/>
      <c r="D10" s="1875"/>
      <c r="E10" s="2771"/>
      <c r="F10" s="2771"/>
      <c r="G10" s="2771"/>
      <c r="H10" s="2771"/>
      <c r="I10" s="2768"/>
      <c r="J10" s="1875"/>
      <c r="K10" s="1875"/>
      <c r="L10" s="1876"/>
      <c r="P10" s="2769"/>
      <c r="Q10" s="1993"/>
      <c r="R10" s="868"/>
      <c r="S10" s="1790"/>
      <c r="T10" s="877" t="s">
        <v>530</v>
      </c>
      <c r="U10" s="879"/>
      <c r="V10" s="879"/>
      <c r="W10" s="879"/>
      <c r="X10" s="879"/>
      <c r="Y10" s="879"/>
      <c r="Z10" s="879"/>
      <c r="AA10" s="879"/>
      <c r="AB10" s="878"/>
      <c r="AC10" s="879"/>
      <c r="AD10" s="879"/>
      <c r="AE10" s="879"/>
      <c r="AF10" s="879"/>
      <c r="AG10" s="879"/>
      <c r="AH10" s="879"/>
      <c r="AI10" s="878"/>
      <c r="AJ10" s="7029"/>
      <c r="AK10" s="7030"/>
      <c r="AL10" s="7031"/>
      <c r="AM10" s="7032"/>
      <c r="AN10" s="7033"/>
      <c r="AO10" s="7034"/>
      <c r="AP10" s="7035"/>
      <c r="AQ10" s="7036"/>
      <c r="AR10" s="7037"/>
      <c r="AS10" s="7038"/>
      <c r="AT10" s="7039"/>
      <c r="AU10" s="7040"/>
      <c r="AV10" s="7041"/>
      <c r="AW10" s="7042"/>
      <c r="AX10" s="7043"/>
      <c r="AY10" s="7044"/>
      <c r="AZ10" s="7045"/>
      <c r="BA10" s="7046"/>
      <c r="BB10" s="7047"/>
      <c r="BC10" s="7048"/>
      <c r="BD10" s="7049"/>
      <c r="BE10" s="7050"/>
      <c r="BF10" s="7051"/>
      <c r="BG10" s="7052"/>
      <c r="BH10" s="7053"/>
      <c r="BI10" s="7054"/>
      <c r="BJ10" s="7055"/>
      <c r="BK10" s="7056"/>
      <c r="BL10" s="7057"/>
      <c r="BM10" s="7058"/>
      <c r="BN10" s="7059"/>
      <c r="BO10" s="7060"/>
      <c r="BP10" s="7061"/>
      <c r="BQ10" s="7062"/>
      <c r="BR10" s="7063"/>
      <c r="BS10" s="7064"/>
      <c r="BT10" s="7065"/>
      <c r="BU10" s="7066"/>
      <c r="BV10" s="7067"/>
      <c r="BW10" s="7068"/>
      <c r="BX10" s="7069"/>
      <c r="BY10" s="7070"/>
      <c r="BZ10" s="7071"/>
      <c r="CA10" s="7072"/>
      <c r="CB10" s="7073"/>
      <c r="CC10" s="7074"/>
      <c r="CD10" s="7075"/>
      <c r="CE10" s="7076"/>
      <c r="CF10" s="7077"/>
      <c r="CG10" s="7078"/>
      <c r="CH10" s="7079"/>
      <c r="CI10" s="7080"/>
      <c r="CJ10" s="7081"/>
      <c r="CK10" s="7082"/>
      <c r="CL10" s="7083"/>
      <c r="CM10" s="7084"/>
      <c r="CN10" s="23830"/>
      <c r="CO10" s="23831"/>
      <c r="CP10" s="23832"/>
      <c r="CQ10" s="23833"/>
      <c r="CR10" s="23834"/>
      <c r="CS10" s="23835"/>
      <c r="CT10" s="23836"/>
      <c r="CU10" s="879"/>
      <c r="CV10" s="1952"/>
      <c r="CX10" s="1012"/>
      <c r="CY10" s="1012" t="str">
        <f>IF(T10="","",T10)</f>
        <v>Добавить группу потребителей</v>
      </c>
      <c r="CZ10" s="1012"/>
      <c r="DA10" s="1012"/>
      <c r="DB10" s="1667">
        <v>0</v>
      </c>
    </row>
    <row customHeight="1" ht="21" hidden="1">
      <c r="A11" s="1875"/>
      <c r="B11" s="1875"/>
      <c r="C11" s="1875"/>
      <c r="D11" s="1875"/>
      <c r="E11" s="2771"/>
      <c r="F11" s="2771"/>
      <c r="G11" s="2771"/>
      <c r="H11" s="2770"/>
      <c r="I11" s="1875"/>
      <c r="J11" s="1875"/>
      <c r="K11" s="1875"/>
      <c r="L11" s="1876"/>
      <c r="M11" s="1877"/>
      <c r="N11" s="1877"/>
      <c r="O11" s="1049"/>
      <c r="P11" s="872"/>
      <c r="Q11" s="887"/>
      <c r="R11" s="867"/>
      <c r="S11" s="1790"/>
      <c r="T11" s="884" t="s">
        <v>603</v>
      </c>
      <c r="U11" s="879"/>
      <c r="V11" s="879"/>
      <c r="W11" s="879"/>
      <c r="X11" s="879"/>
      <c r="Y11" s="879"/>
      <c r="Z11" s="879"/>
      <c r="AA11" s="879"/>
      <c r="AB11" s="878"/>
      <c r="AC11" s="879"/>
      <c r="AD11" s="879"/>
      <c r="AE11" s="879"/>
      <c r="AF11" s="879"/>
      <c r="AG11" s="879"/>
      <c r="AH11" s="879"/>
      <c r="AI11" s="878"/>
      <c r="AJ11" s="7085"/>
      <c r="AK11" s="7086"/>
      <c r="AL11" s="7087"/>
      <c r="AM11" s="7088"/>
      <c r="AN11" s="7089"/>
      <c r="AO11" s="7090"/>
      <c r="AP11" s="7091"/>
      <c r="AQ11" s="7092"/>
      <c r="AR11" s="7093"/>
      <c r="AS11" s="7094"/>
      <c r="AT11" s="7095"/>
      <c r="AU11" s="7096"/>
      <c r="AV11" s="7097"/>
      <c r="AW11" s="7098"/>
      <c r="AX11" s="7099"/>
      <c r="AY11" s="7100"/>
      <c r="AZ11" s="7101"/>
      <c r="BA11" s="7102"/>
      <c r="BB11" s="7103"/>
      <c r="BC11" s="7104"/>
      <c r="BD11" s="7105"/>
      <c r="BE11" s="7106"/>
      <c r="BF11" s="7107"/>
      <c r="BG11" s="7108"/>
      <c r="BH11" s="7109"/>
      <c r="BI11" s="7110"/>
      <c r="BJ11" s="7111"/>
      <c r="BK11" s="7112"/>
      <c r="BL11" s="7113"/>
      <c r="BM11" s="7114"/>
      <c r="BN11" s="7115"/>
      <c r="BO11" s="7116"/>
      <c r="BP11" s="7117"/>
      <c r="BQ11" s="7118"/>
      <c r="BR11" s="7119"/>
      <c r="BS11" s="7120"/>
      <c r="BT11" s="7121"/>
      <c r="BU11" s="7122"/>
      <c r="BV11" s="7123"/>
      <c r="BW11" s="7124"/>
      <c r="BX11" s="7125"/>
      <c r="BY11" s="7126"/>
      <c r="BZ11" s="7127"/>
      <c r="CA11" s="7128"/>
      <c r="CB11" s="7129"/>
      <c r="CC11" s="7130"/>
      <c r="CD11" s="7131"/>
      <c r="CE11" s="7132"/>
      <c r="CF11" s="7133"/>
      <c r="CG11" s="7134"/>
      <c r="CH11" s="7135"/>
      <c r="CI11" s="7136"/>
      <c r="CJ11" s="7137"/>
      <c r="CK11" s="7138"/>
      <c r="CL11" s="7139"/>
      <c r="CM11" s="7140"/>
      <c r="CN11" s="23893"/>
      <c r="CO11" s="23894"/>
      <c r="CP11" s="23895"/>
      <c r="CQ11" s="23896"/>
      <c r="CR11" s="23897"/>
      <c r="CS11" s="23898"/>
      <c r="CT11" s="23899"/>
      <c r="CU11" s="879"/>
      <c r="CV11" s="815"/>
      <c r="CX11" s="1012"/>
      <c r="CY11" s="1012" t="str">
        <f>IF(T11="","",T11)</f>
        <v>Добавить наименование признака дифференциации</v>
      </c>
      <c r="CZ11" s="1012"/>
      <c r="DA11" s="1012"/>
      <c r="DB11" s="1667">
        <v>0</v>
      </c>
    </row>
    <row s="46890" customFormat="1" customHeight="1" ht="14.25" hidden="1">
      <c r="A12" s="1855"/>
      <c r="B12" s="1855"/>
      <c r="C12" s="1826"/>
      <c r="D12" s="1826"/>
      <c r="E12" s="2771"/>
      <c r="F12" s="2770"/>
      <c r="G12" s="1826"/>
      <c r="H12" s="1826"/>
      <c r="I12" s="1826"/>
      <c r="J12" s="1826"/>
      <c r="K12" s="1826"/>
      <c r="L12" s="2006"/>
      <c r="M12" s="1833"/>
      <c r="N12" s="1833"/>
      <c r="P12" s="1828"/>
      <c r="Q12" s="1829"/>
      <c r="R12" s="1828"/>
      <c r="S12" s="1834"/>
      <c r="T12" s="1837" t="s">
        <v>321</v>
      </c>
      <c r="U12" s="1836"/>
      <c r="V12" s="1836"/>
      <c r="W12" s="1836"/>
      <c r="X12" s="1836"/>
      <c r="Y12" s="1836"/>
      <c r="Z12" s="1836"/>
      <c r="AA12" s="1836"/>
      <c r="AB12" s="1836"/>
      <c r="AC12" s="1836"/>
      <c r="AD12" s="1836"/>
      <c r="AE12" s="1836"/>
      <c r="AF12" s="1836"/>
      <c r="AG12" s="1836"/>
      <c r="AH12" s="1836"/>
      <c r="AI12" s="1836"/>
      <c r="AJ12" s="7142"/>
      <c r="AK12" s="7142"/>
      <c r="AL12" s="7142"/>
      <c r="AM12" s="7142"/>
      <c r="AN12" s="7142"/>
      <c r="AO12" s="7142"/>
      <c r="AP12" s="7142"/>
      <c r="AQ12" s="7142"/>
      <c r="AR12" s="7142"/>
      <c r="AS12" s="7142"/>
      <c r="AT12" s="7142"/>
      <c r="AU12" s="7142"/>
      <c r="AV12" s="7142"/>
      <c r="AW12" s="7142"/>
      <c r="AX12" s="7142"/>
      <c r="AY12" s="7142"/>
      <c r="AZ12" s="7142"/>
      <c r="BA12" s="7142"/>
      <c r="BB12" s="7142"/>
      <c r="BC12" s="7142"/>
      <c r="BD12" s="7142"/>
      <c r="BE12" s="7142"/>
      <c r="BF12" s="7142"/>
      <c r="BG12" s="7142"/>
      <c r="BH12" s="7142"/>
      <c r="BI12" s="7142"/>
      <c r="BJ12" s="7142"/>
      <c r="BK12" s="7142"/>
      <c r="BL12" s="7142"/>
      <c r="BM12" s="7142"/>
      <c r="BN12" s="7142"/>
      <c r="BO12" s="7142"/>
      <c r="BP12" s="7142"/>
      <c r="BQ12" s="7142"/>
      <c r="BR12" s="7142"/>
      <c r="BS12" s="7142"/>
      <c r="BT12" s="7142"/>
      <c r="BU12" s="7142"/>
      <c r="BV12" s="7142"/>
      <c r="BW12" s="7142"/>
      <c r="BX12" s="7142"/>
      <c r="BY12" s="7142"/>
      <c r="BZ12" s="7142"/>
      <c r="CA12" s="7142"/>
      <c r="CB12" s="7142"/>
      <c r="CC12" s="7142"/>
      <c r="CD12" s="7142"/>
      <c r="CE12" s="7142"/>
      <c r="CF12" s="7142"/>
      <c r="CG12" s="7142"/>
      <c r="CH12" s="7142"/>
      <c r="CI12" s="7142"/>
      <c r="CJ12" s="7142"/>
      <c r="CK12" s="7142"/>
      <c r="CL12" s="7142"/>
      <c r="CM12" s="7142"/>
      <c r="CN12" s="23902"/>
      <c r="CO12" s="23902"/>
      <c r="CP12" s="23902"/>
      <c r="CQ12" s="23902"/>
      <c r="CR12" s="23902"/>
      <c r="CS12" s="23902"/>
      <c r="CT12" s="23902"/>
      <c r="CU12" s="1836"/>
      <c r="CV12" s="1836"/>
      <c r="CX12" s="1301"/>
      <c r="CY12" s="1301" t="str">
        <f>IF(T12="","",T12)</f>
        <v>Добавить централизованную систему для дифференциации</v>
      </c>
      <c r="CZ12" s="1301"/>
      <c r="DA12" s="1301"/>
      <c r="DB12" s="1030">
        <v>0</v>
      </c>
    </row>
    <row s="46890" customFormat="1" customHeight="1" ht="14.25" hidden="1">
      <c r="A13" s="1855"/>
      <c r="B13" s="1855"/>
      <c r="C13" s="1855"/>
      <c r="D13" s="1855"/>
      <c r="E13" s="2770"/>
      <c r="F13" s="1855"/>
      <c r="G13" s="1855"/>
      <c r="H13" s="1855"/>
      <c r="I13" s="1855"/>
      <c r="J13" s="1855"/>
      <c r="K13" s="1855"/>
      <c r="L13" s="1858"/>
      <c r="M13" s="1833"/>
      <c r="N13" s="1833"/>
      <c r="O13" s="1030"/>
      <c r="P13" s="892"/>
      <c r="Q13" s="1856"/>
      <c r="R13" s="892"/>
      <c r="S13" s="1834"/>
      <c r="T13" s="1837" t="s">
        <v>385</v>
      </c>
      <c r="U13" s="1836"/>
      <c r="V13" s="1836"/>
      <c r="W13" s="1836"/>
      <c r="X13" s="1836"/>
      <c r="Y13" s="1836"/>
      <c r="Z13" s="1836"/>
      <c r="AA13" s="1836"/>
      <c r="AB13" s="1836"/>
      <c r="AC13" s="1836"/>
      <c r="AD13" s="1836"/>
      <c r="AE13" s="1836"/>
      <c r="AF13" s="1836"/>
      <c r="AG13" s="1836"/>
      <c r="AH13" s="1836"/>
      <c r="AI13" s="1836"/>
      <c r="AJ13" s="7142"/>
      <c r="AK13" s="7142"/>
      <c r="AL13" s="7142"/>
      <c r="AM13" s="7142"/>
      <c r="AN13" s="7142"/>
      <c r="AO13" s="7142"/>
      <c r="AP13" s="7142"/>
      <c r="AQ13" s="7142"/>
      <c r="AR13" s="7142"/>
      <c r="AS13" s="7142"/>
      <c r="AT13" s="7142"/>
      <c r="AU13" s="7142"/>
      <c r="AV13" s="7142"/>
      <c r="AW13" s="7142"/>
      <c r="AX13" s="7142"/>
      <c r="AY13" s="7142"/>
      <c r="AZ13" s="7142"/>
      <c r="BA13" s="7142"/>
      <c r="BB13" s="7142"/>
      <c r="BC13" s="7142"/>
      <c r="BD13" s="7142"/>
      <c r="BE13" s="7142"/>
      <c r="BF13" s="7142"/>
      <c r="BG13" s="7142"/>
      <c r="BH13" s="7142"/>
      <c r="BI13" s="7142"/>
      <c r="BJ13" s="7142"/>
      <c r="BK13" s="7142"/>
      <c r="BL13" s="7142"/>
      <c r="BM13" s="7142"/>
      <c r="BN13" s="7142"/>
      <c r="BO13" s="7142"/>
      <c r="BP13" s="7142"/>
      <c r="BQ13" s="7142"/>
      <c r="BR13" s="7142"/>
      <c r="BS13" s="7142"/>
      <c r="BT13" s="7142"/>
      <c r="BU13" s="7142"/>
      <c r="BV13" s="7142"/>
      <c r="BW13" s="7142"/>
      <c r="BX13" s="7142"/>
      <c r="BY13" s="7142"/>
      <c r="BZ13" s="7142"/>
      <c r="CA13" s="7142"/>
      <c r="CB13" s="7142"/>
      <c r="CC13" s="7142"/>
      <c r="CD13" s="7142"/>
      <c r="CE13" s="7142"/>
      <c r="CF13" s="7142"/>
      <c r="CG13" s="7142"/>
      <c r="CH13" s="7142"/>
      <c r="CI13" s="7142"/>
      <c r="CJ13" s="7142"/>
      <c r="CK13" s="7142"/>
      <c r="CL13" s="7142"/>
      <c r="CM13" s="7142"/>
      <c r="CN13" s="23902"/>
      <c r="CO13" s="23902"/>
      <c r="CP13" s="23902"/>
      <c r="CQ13" s="23902"/>
      <c r="CR13" s="23902"/>
      <c r="CS13" s="23902"/>
      <c r="CT13" s="23902"/>
      <c r="CU13" s="1836"/>
      <c r="CV13" s="1836"/>
      <c r="CX13" s="1012"/>
      <c r="CY13" s="1012" t="str">
        <f>IF(T13="","",T13)</f>
        <v>Добавить территорию для дифференциации</v>
      </c>
      <c r="CZ13" s="1012"/>
      <c r="DA13" s="1012"/>
      <c r="DB13" s="1023">
        <v>0</v>
      </c>
    </row>
    <row customHeight="1" ht="14.25" hidden="1">
      <c r="AB14" s="839"/>
      <c r="AI14" s="839"/>
      <c r="AJ14" s="6952"/>
      <c r="AK14" s="6952"/>
      <c r="AL14" s="6952"/>
      <c r="AM14" s="6952"/>
      <c r="AN14" s="6952"/>
      <c r="AO14" s="6952"/>
      <c r="AP14" s="6952"/>
      <c r="AQ14" s="6952"/>
      <c r="AR14" s="6952"/>
      <c r="AS14" s="6952"/>
      <c r="AT14" s="6952"/>
      <c r="AU14" s="6952"/>
      <c r="AV14" s="6952"/>
      <c r="AW14" s="6952"/>
      <c r="AX14" s="6952"/>
      <c r="AY14" s="6952"/>
      <c r="AZ14" s="6952"/>
      <c r="BA14" s="6952"/>
      <c r="BB14" s="6952"/>
      <c r="BC14" s="6952"/>
      <c r="BD14" s="6952"/>
      <c r="BE14" s="6952"/>
      <c r="BF14" s="6952"/>
      <c r="BG14" s="6952"/>
      <c r="BH14" s="6952"/>
      <c r="BI14" s="6952"/>
      <c r="BJ14" s="6952"/>
      <c r="BK14" s="6952"/>
      <c r="BL14" s="6952"/>
      <c r="BM14" s="6952"/>
      <c r="BN14" s="6952"/>
      <c r="BO14" s="6952"/>
      <c r="BP14" s="6952"/>
      <c r="BQ14" s="6952"/>
      <c r="BR14" s="6952"/>
      <c r="BS14" s="6952"/>
      <c r="BT14" s="6952"/>
      <c r="BU14" s="6952"/>
      <c r="BV14" s="6952"/>
      <c r="BW14" s="6952"/>
      <c r="BX14" s="6952"/>
      <c r="BY14" s="6952"/>
      <c r="BZ14" s="6952"/>
      <c r="CA14" s="6952"/>
      <c r="CB14" s="6952"/>
      <c r="CC14" s="6952"/>
      <c r="CD14" s="6952"/>
      <c r="CE14" s="6952"/>
      <c r="CF14" s="6952"/>
      <c r="CG14" s="6952"/>
      <c r="CH14" s="6952"/>
      <c r="CI14" s="6952"/>
      <c r="CJ14" s="6952"/>
      <c r="CK14" s="6952"/>
      <c r="CL14" s="6952"/>
      <c r="CM14" s="6952"/>
      <c r="CN14" s="23674"/>
      <c r="CO14" s="23674"/>
      <c r="CP14" s="23674"/>
      <c r="CQ14" s="23674"/>
      <c r="CR14" s="23674"/>
      <c r="CS14" s="23674"/>
      <c r="CT14" s="23674"/>
      <c r="DB14" s="1667">
        <v>0</v>
      </c>
    </row>
    <row customHeight="1" ht="14.25" hidden="1">
      <c r="AC15" s="1872"/>
      <c r="AD15" s="1872"/>
      <c r="AE15" s="1873"/>
      <c r="AF15" s="2779"/>
      <c r="AG15" s="2780" t="s">
        <v>63</v>
      </c>
      <c r="AH15" s="2779"/>
      <c r="AI15" s="2780" t="s">
        <v>63</v>
      </c>
      <c r="AJ15" s="6952"/>
      <c r="AK15" s="6952"/>
      <c r="AL15" s="6952"/>
      <c r="AM15" s="6952"/>
      <c r="AN15" s="6952"/>
      <c r="AO15" s="6952"/>
      <c r="AP15" s="6952"/>
      <c r="AQ15" s="6952"/>
      <c r="AR15" s="6952"/>
      <c r="AS15" s="6952"/>
      <c r="AT15" s="6952"/>
      <c r="AU15" s="6952"/>
      <c r="AV15" s="6952"/>
      <c r="AW15" s="6952"/>
      <c r="AX15" s="6952"/>
      <c r="AY15" s="6952"/>
      <c r="AZ15" s="6952"/>
      <c r="BA15" s="6952"/>
      <c r="BB15" s="6952"/>
      <c r="BC15" s="6952"/>
      <c r="BD15" s="6952"/>
      <c r="BE15" s="6952"/>
      <c r="BF15" s="6952"/>
      <c r="BG15" s="6952"/>
      <c r="BH15" s="6952"/>
      <c r="BI15" s="6952"/>
      <c r="BJ15" s="6952"/>
      <c r="BK15" s="6952"/>
      <c r="BL15" s="6952"/>
      <c r="BM15" s="6952"/>
      <c r="BN15" s="6952"/>
      <c r="BO15" s="6952"/>
      <c r="BP15" s="6952"/>
      <c r="BQ15" s="6952"/>
      <c r="BR15" s="6952"/>
      <c r="BS15" s="6952"/>
      <c r="BT15" s="6952"/>
      <c r="BU15" s="6952"/>
      <c r="BV15" s="6952"/>
      <c r="BW15" s="6952"/>
      <c r="BX15" s="6952"/>
      <c r="BY15" s="6952"/>
      <c r="BZ15" s="6952"/>
      <c r="CA15" s="6952"/>
      <c r="CB15" s="6952"/>
      <c r="CC15" s="6952"/>
      <c r="CD15" s="6952"/>
      <c r="CE15" s="6952"/>
      <c r="CF15" s="6952"/>
      <c r="CG15" s="6952"/>
      <c r="CH15" s="6952"/>
      <c r="CI15" s="6952"/>
      <c r="CJ15" s="6952"/>
      <c r="CK15" s="6952"/>
      <c r="CL15" s="6952"/>
      <c r="CM15" s="6952"/>
      <c r="CN15" s="23674"/>
      <c r="CO15" s="23674"/>
      <c r="CP15" s="23674"/>
      <c r="CQ15" s="23674"/>
      <c r="CR15" s="23674"/>
      <c r="CS15" s="23674"/>
      <c r="CT15" s="23674"/>
      <c r="DB15" s="1667">
        <v>0</v>
      </c>
    </row>
    <row customHeight="1" ht="14.25" hidden="1">
      <c r="AC16" s="1872"/>
      <c r="AD16" s="1872"/>
      <c r="AE16" s="840" t="str">
        <f>AF15&amp;"-"&amp;AH15</f>
        <v>-</v>
      </c>
      <c r="AF16" s="2780"/>
      <c r="AG16" s="2780"/>
      <c r="AH16" s="2780"/>
      <c r="AI16" s="2780"/>
      <c r="AJ16" s="6952"/>
      <c r="AK16" s="6952"/>
      <c r="AL16" s="6952"/>
      <c r="AM16" s="6952"/>
      <c r="AN16" s="6952"/>
      <c r="AO16" s="6952"/>
      <c r="AP16" s="6952"/>
      <c r="AQ16" s="6952"/>
      <c r="AR16" s="6952"/>
      <c r="AS16" s="6952"/>
      <c r="AT16" s="6952"/>
      <c r="AU16" s="6952"/>
      <c r="AV16" s="6952"/>
      <c r="AW16" s="6952"/>
      <c r="AX16" s="6952"/>
      <c r="AY16" s="6952"/>
      <c r="AZ16" s="6952"/>
      <c r="BA16" s="6952"/>
      <c r="BB16" s="6952"/>
      <c r="BC16" s="6952"/>
      <c r="BD16" s="6952"/>
      <c r="BE16" s="6952"/>
      <c r="BF16" s="6952"/>
      <c r="BG16" s="6952"/>
      <c r="BH16" s="6952"/>
      <c r="BI16" s="6952"/>
      <c r="BJ16" s="6952"/>
      <c r="BK16" s="6952"/>
      <c r="BL16" s="6952"/>
      <c r="BM16" s="6952"/>
      <c r="BN16" s="6952"/>
      <c r="BO16" s="6952"/>
      <c r="BP16" s="6952"/>
      <c r="BQ16" s="6952"/>
      <c r="BR16" s="6952"/>
      <c r="BS16" s="6952"/>
      <c r="BT16" s="6952"/>
      <c r="BU16" s="6952"/>
      <c r="BV16" s="6952"/>
      <c r="BW16" s="6952"/>
      <c r="BX16" s="6952"/>
      <c r="BY16" s="6952"/>
      <c r="BZ16" s="6952"/>
      <c r="CA16" s="6952"/>
      <c r="CB16" s="6952"/>
      <c r="CC16" s="6952"/>
      <c r="CD16" s="6952"/>
      <c r="CE16" s="6952"/>
      <c r="CF16" s="6952"/>
      <c r="CG16" s="6952"/>
      <c r="CH16" s="6952"/>
      <c r="CI16" s="6952"/>
      <c r="CJ16" s="6952"/>
      <c r="CK16" s="6952"/>
      <c r="CL16" s="6952"/>
      <c r="CM16" s="6952"/>
      <c r="CN16" s="23674"/>
      <c r="CO16" s="23674"/>
      <c r="CP16" s="23674"/>
      <c r="CQ16" s="23674"/>
      <c r="CR16" s="23674"/>
      <c r="CS16" s="23674"/>
      <c r="CT16" s="23674"/>
      <c r="DB16" s="1667">
        <v>0</v>
      </c>
    </row>
    <row customHeight="1" ht="14.25" hidden="1">
      <c r="AI17" s="839"/>
      <c r="AJ17" s="6952"/>
      <c r="AK17" s="6952"/>
      <c r="AL17" s="6952"/>
      <c r="AM17" s="6952"/>
      <c r="AN17" s="6952"/>
      <c r="AO17" s="6952"/>
      <c r="AP17" s="6952"/>
      <c r="AQ17" s="6952"/>
      <c r="AR17" s="6952"/>
      <c r="AS17" s="6952"/>
      <c r="AT17" s="6952"/>
      <c r="AU17" s="6952"/>
      <c r="AV17" s="6952"/>
      <c r="AW17" s="6952"/>
      <c r="AX17" s="6952"/>
      <c r="AY17" s="6952"/>
      <c r="AZ17" s="6952"/>
      <c r="BA17" s="6952"/>
      <c r="BB17" s="6952"/>
      <c r="BC17" s="6952"/>
      <c r="BD17" s="6952"/>
      <c r="BE17" s="6952"/>
      <c r="BF17" s="6952"/>
      <c r="BG17" s="6952"/>
      <c r="BH17" s="6952"/>
      <c r="BI17" s="6952"/>
      <c r="BJ17" s="6952"/>
      <c r="BK17" s="6952"/>
      <c r="BL17" s="6952"/>
      <c r="BM17" s="6952"/>
      <c r="BN17" s="6952"/>
      <c r="BO17" s="6952"/>
      <c r="BP17" s="6952"/>
      <c r="BQ17" s="6952"/>
      <c r="BR17" s="6952"/>
      <c r="BS17" s="6952"/>
      <c r="BT17" s="6952"/>
      <c r="BU17" s="6952"/>
      <c r="BV17" s="6952"/>
      <c r="BW17" s="6952"/>
      <c r="BX17" s="6952"/>
      <c r="BY17" s="6952"/>
      <c r="BZ17" s="6952"/>
      <c r="CA17" s="6952"/>
      <c r="CB17" s="6952"/>
      <c r="CC17" s="6952"/>
      <c r="CD17" s="6952"/>
      <c r="CE17" s="6952"/>
      <c r="CF17" s="6952"/>
      <c r="CG17" s="6952"/>
      <c r="CH17" s="6952"/>
      <c r="CI17" s="6952"/>
      <c r="CJ17" s="6952"/>
      <c r="CK17" s="6952"/>
      <c r="CL17" s="6952"/>
      <c r="CM17" s="6952"/>
      <c r="CN17" s="23674"/>
      <c r="CO17" s="23674"/>
      <c r="CP17" s="23674"/>
      <c r="CQ17" s="23674"/>
      <c r="CR17" s="23674"/>
      <c r="CS17" s="23674"/>
      <c r="CT17" s="23674"/>
      <c r="DB17" s="1667">
        <v>0</v>
      </c>
    </row>
    <row s="46889" customFormat="1" customHeight="1" ht="22.5" hidden="1">
      <c r="L18" s="1990"/>
      <c r="M18" s="1874"/>
      <c r="N18" s="1874"/>
      <c r="O18" s="1879" t="s">
        <v>533</v>
      </c>
      <c r="P18" s="1874"/>
      <c r="Q18" s="1883"/>
      <c r="R18" s="1883"/>
      <c r="S18" s="1241"/>
      <c r="Y18" s="1879"/>
      <c r="AA18" s="1879"/>
      <c r="AB18" s="1878"/>
      <c r="AF18" s="1879"/>
      <c r="AH18" s="1879"/>
      <c r="AI18" s="1878"/>
      <c r="AJ18" s="7144"/>
      <c r="AK18" s="7144"/>
      <c r="AL18" s="7144"/>
      <c r="AM18" s="7145"/>
      <c r="AN18" s="7144"/>
      <c r="AO18" s="7145"/>
      <c r="AP18" s="7144"/>
      <c r="AQ18" s="7144"/>
      <c r="AR18" s="7144"/>
      <c r="AS18" s="7144"/>
      <c r="AT18" s="7145"/>
      <c r="AU18" s="7144"/>
      <c r="AV18" s="7145"/>
      <c r="AW18" s="7144"/>
      <c r="AX18" s="7144"/>
      <c r="AY18" s="7144"/>
      <c r="AZ18" s="7144"/>
      <c r="BA18" s="7145"/>
      <c r="BB18" s="7144"/>
      <c r="BC18" s="7145"/>
      <c r="BD18" s="7144"/>
      <c r="BE18" s="7144"/>
      <c r="BF18" s="7144"/>
      <c r="BG18" s="7144"/>
      <c r="BH18" s="7145"/>
      <c r="BI18" s="7144"/>
      <c r="BJ18" s="7145"/>
      <c r="BK18" s="7144"/>
      <c r="BL18" s="7144"/>
      <c r="BM18" s="7144"/>
      <c r="BN18" s="7144"/>
      <c r="BO18" s="7145"/>
      <c r="BP18" s="7144"/>
      <c r="BQ18" s="7145"/>
      <c r="BR18" s="7144"/>
      <c r="BS18" s="7144"/>
      <c r="BT18" s="7144"/>
      <c r="BU18" s="7144"/>
      <c r="BV18" s="7145"/>
      <c r="BW18" s="7144"/>
      <c r="BX18" s="7145"/>
      <c r="BY18" s="7144"/>
      <c r="BZ18" s="7144"/>
      <c r="CA18" s="7144"/>
      <c r="CB18" s="7144"/>
      <c r="CC18" s="7145"/>
      <c r="CD18" s="7144"/>
      <c r="CE18" s="7145"/>
      <c r="CF18" s="7144"/>
      <c r="CG18" s="7144"/>
      <c r="CH18" s="7144"/>
      <c r="CI18" s="7144"/>
      <c r="CJ18" s="7145"/>
      <c r="CK18" s="7144"/>
      <c r="CL18" s="7145"/>
      <c r="CM18" s="7144"/>
      <c r="CN18" s="23906"/>
      <c r="CO18" s="23906"/>
      <c r="CP18" s="23906"/>
      <c r="CQ18" s="23907"/>
      <c r="CR18" s="23906"/>
      <c r="CS18" s="23907"/>
      <c r="CT18" s="23906"/>
      <c r="CW18" s="1023"/>
      <c r="CX18" s="1023"/>
      <c r="CY18" s="1023"/>
      <c r="CZ18" s="1023"/>
      <c r="DA18" s="1023"/>
      <c r="DB18" s="1672">
        <v>0</v>
      </c>
    </row>
    <row s="46889" customFormat="1" customHeight="1" ht="14.25" hidden="1">
      <c r="L19" s="1990"/>
      <c r="M19" s="1874"/>
      <c r="N19" s="1874"/>
      <c r="O19" s="1874"/>
      <c r="P19" s="1874"/>
      <c r="Q19" s="1883"/>
      <c r="R19" s="1883"/>
      <c r="S19" s="1241"/>
      <c r="AB19" s="1878"/>
      <c r="AI19" s="1878"/>
      <c r="AJ19" s="7144"/>
      <c r="AK19" s="7144"/>
      <c r="AL19" s="7144"/>
      <c r="AM19" s="7144"/>
      <c r="AN19" s="7144"/>
      <c r="AO19" s="7144"/>
      <c r="AP19" s="7144"/>
      <c r="AQ19" s="7144"/>
      <c r="AR19" s="7144"/>
      <c r="AS19" s="7144"/>
      <c r="AT19" s="7144"/>
      <c r="AU19" s="7144"/>
      <c r="AV19" s="7144"/>
      <c r="AW19" s="7144"/>
      <c r="AX19" s="7144"/>
      <c r="AY19" s="7144"/>
      <c r="AZ19" s="7144"/>
      <c r="BA19" s="7144"/>
      <c r="BB19" s="7144"/>
      <c r="BC19" s="7144"/>
      <c r="BD19" s="7144"/>
      <c r="BE19" s="7144"/>
      <c r="BF19" s="7144"/>
      <c r="BG19" s="7144"/>
      <c r="BH19" s="7144"/>
      <c r="BI19" s="7144"/>
      <c r="BJ19" s="7144"/>
      <c r="BK19" s="7144"/>
      <c r="BL19" s="7144"/>
      <c r="BM19" s="7144"/>
      <c r="BN19" s="7144"/>
      <c r="BO19" s="7144"/>
      <c r="BP19" s="7144"/>
      <c r="BQ19" s="7144"/>
      <c r="BR19" s="7144"/>
      <c r="BS19" s="7144"/>
      <c r="BT19" s="7144"/>
      <c r="BU19" s="7144"/>
      <c r="BV19" s="7144"/>
      <c r="BW19" s="7144"/>
      <c r="BX19" s="7144"/>
      <c r="BY19" s="7144"/>
      <c r="BZ19" s="7144"/>
      <c r="CA19" s="7144"/>
      <c r="CB19" s="7144"/>
      <c r="CC19" s="7144"/>
      <c r="CD19" s="7144"/>
      <c r="CE19" s="7144"/>
      <c r="CF19" s="7144"/>
      <c r="CG19" s="7144"/>
      <c r="CH19" s="7144"/>
      <c r="CI19" s="7144"/>
      <c r="CJ19" s="7144"/>
      <c r="CK19" s="7144"/>
      <c r="CL19" s="7144"/>
      <c r="CM19" s="7144"/>
      <c r="CN19" s="23906"/>
      <c r="CO19" s="23906"/>
      <c r="CP19" s="23906"/>
      <c r="CQ19" s="23906"/>
      <c r="CR19" s="23906"/>
      <c r="CS19" s="23906"/>
      <c r="CT19" s="23906"/>
      <c r="CW19" s="1023"/>
      <c r="CX19" s="1023"/>
      <c r="CY19" s="1023"/>
      <c r="CZ19" s="1023"/>
      <c r="DA19" s="1023"/>
      <c r="DB19" s="1672">
        <v>0</v>
      </c>
    </row>
    <row s="46889" customFormat="1" customHeight="1" ht="12" hidden="1">
      <c r="L20" s="1990"/>
      <c r="M20" s="1874"/>
      <c r="N20" s="1874"/>
      <c r="O20" s="1876" t="s">
        <v>534</v>
      </c>
      <c r="P20" s="1874"/>
      <c r="Q20" s="1954"/>
      <c r="R20" s="1954"/>
      <c r="S20" s="1241"/>
      <c r="T20" s="1672" t="s">
        <v>535</v>
      </c>
      <c r="Z20" s="698" t="s">
        <v>536</v>
      </c>
      <c r="AB20" s="698" t="s">
        <v>537</v>
      </c>
      <c r="AC20" s="1672" t="s">
        <v>535</v>
      </c>
      <c r="AG20" s="698" t="s">
        <v>538</v>
      </c>
      <c r="AI20" s="698" t="s">
        <v>537</v>
      </c>
      <c r="AJ20" s="7144"/>
      <c r="AK20" s="7144"/>
      <c r="AL20" s="7144"/>
      <c r="AM20" s="7144"/>
      <c r="AN20" s="7146" t="s">
        <v>536</v>
      </c>
      <c r="AO20" s="7144"/>
      <c r="AP20" s="7146" t="s">
        <v>537</v>
      </c>
      <c r="AQ20" s="7144"/>
      <c r="AR20" s="7144"/>
      <c r="AS20" s="7144"/>
      <c r="AT20" s="7144"/>
      <c r="AU20" s="7146" t="s">
        <v>536</v>
      </c>
      <c r="AV20" s="7144"/>
      <c r="AW20" s="7146" t="s">
        <v>537</v>
      </c>
      <c r="AX20" s="7144"/>
      <c r="AY20" s="7144"/>
      <c r="AZ20" s="7144"/>
      <c r="BA20" s="7144"/>
      <c r="BB20" s="7146" t="s">
        <v>536</v>
      </c>
      <c r="BC20" s="7144"/>
      <c r="BD20" s="7146" t="s">
        <v>537</v>
      </c>
      <c r="BE20" s="7144"/>
      <c r="BF20" s="7144"/>
      <c r="BG20" s="7144"/>
      <c r="BH20" s="7144"/>
      <c r="BI20" s="7146" t="s">
        <v>536</v>
      </c>
      <c r="BJ20" s="7144"/>
      <c r="BK20" s="7146" t="s">
        <v>537</v>
      </c>
      <c r="BL20" s="7144"/>
      <c r="BM20" s="7144"/>
      <c r="BN20" s="7144"/>
      <c r="BO20" s="7144"/>
      <c r="BP20" s="7146" t="s">
        <v>536</v>
      </c>
      <c r="BQ20" s="7144"/>
      <c r="BR20" s="7146" t="s">
        <v>537</v>
      </c>
      <c r="BS20" s="7144"/>
      <c r="BT20" s="7144"/>
      <c r="BU20" s="7144"/>
      <c r="BV20" s="7144"/>
      <c r="BW20" s="7146" t="s">
        <v>536</v>
      </c>
      <c r="BX20" s="7144"/>
      <c r="BY20" s="7146" t="s">
        <v>537</v>
      </c>
      <c r="BZ20" s="7144"/>
      <c r="CA20" s="7144"/>
      <c r="CB20" s="7144"/>
      <c r="CC20" s="7144"/>
      <c r="CD20" s="7146" t="s">
        <v>536</v>
      </c>
      <c r="CE20" s="7144"/>
      <c r="CF20" s="7146" t="s">
        <v>537</v>
      </c>
      <c r="CG20" s="7144"/>
      <c r="CH20" s="7144"/>
      <c r="CI20" s="7144"/>
      <c r="CJ20" s="7144"/>
      <c r="CK20" s="7146" t="s">
        <v>536</v>
      </c>
      <c r="CL20" s="7144"/>
      <c r="CM20" s="7146" t="s">
        <v>537</v>
      </c>
      <c r="CN20" s="23906"/>
      <c r="CO20" s="23906"/>
      <c r="CP20" s="23906"/>
      <c r="CQ20" s="23906"/>
      <c r="CR20" s="23909" t="s">
        <v>536</v>
      </c>
      <c r="CS20" s="23906"/>
      <c r="CT20" s="23909" t="s">
        <v>537</v>
      </c>
      <c r="DB20" s="1672">
        <v>0</v>
      </c>
    </row>
    <row customHeight="1" ht="14.25" hidden="1">
      <c r="O21" s="1876"/>
      <c r="AJ21" s="6952"/>
      <c r="AK21" s="6952"/>
      <c r="AL21" s="6952"/>
      <c r="AM21" s="6952"/>
      <c r="AN21" s="6952"/>
      <c r="AO21" s="6952"/>
      <c r="AP21" s="6952"/>
      <c r="AQ21" s="6952"/>
      <c r="AR21" s="6952"/>
      <c r="AS21" s="6952"/>
      <c r="AT21" s="6952"/>
      <c r="AU21" s="6952"/>
      <c r="AV21" s="6952"/>
      <c r="AW21" s="6952"/>
      <c r="AX21" s="6952"/>
      <c r="AY21" s="6952"/>
      <c r="AZ21" s="6952"/>
      <c r="BA21" s="6952"/>
      <c r="BB21" s="6952"/>
      <c r="BC21" s="6952"/>
      <c r="BD21" s="6952"/>
      <c r="BE21" s="6952"/>
      <c r="BF21" s="6952"/>
      <c r="BG21" s="6952"/>
      <c r="BH21" s="6952"/>
      <c r="BI21" s="6952"/>
      <c r="BJ21" s="6952"/>
      <c r="BK21" s="6952"/>
      <c r="BL21" s="6952"/>
      <c r="BM21" s="6952"/>
      <c r="BN21" s="6952"/>
      <c r="BO21" s="6952"/>
      <c r="BP21" s="6952"/>
      <c r="BQ21" s="6952"/>
      <c r="BR21" s="6952"/>
      <c r="BS21" s="6952"/>
      <c r="BT21" s="6952"/>
      <c r="BU21" s="6952"/>
      <c r="BV21" s="6952"/>
      <c r="BW21" s="6952"/>
      <c r="BX21" s="6952"/>
      <c r="BY21" s="6952"/>
      <c r="BZ21" s="6952"/>
      <c r="CA21" s="6952"/>
      <c r="CB21" s="6952"/>
      <c r="CC21" s="6952"/>
      <c r="CD21" s="6952"/>
      <c r="CE21" s="6952"/>
      <c r="CF21" s="6952"/>
      <c r="CG21" s="6952"/>
      <c r="CH21" s="6952"/>
      <c r="CI21" s="6952"/>
      <c r="CJ21" s="6952"/>
      <c r="CK21" s="6952"/>
      <c r="CL21" s="6952"/>
      <c r="CM21" s="6952"/>
      <c r="CN21" s="23674"/>
      <c r="CO21" s="23674"/>
      <c r="CP21" s="23674"/>
      <c r="CQ21" s="23674"/>
      <c r="CR21" s="23674"/>
      <c r="CS21" s="23674"/>
      <c r="CT21" s="23674"/>
      <c r="DB21" s="1667">
        <v>0</v>
      </c>
    </row>
    <row customHeight="1" ht="14.25" hidden="1">
      <c r="O22" s="1876"/>
      <c r="AJ22" s="6952"/>
      <c r="AK22" s="6952"/>
      <c r="AL22" s="6952"/>
      <c r="AM22" s="6952"/>
      <c r="AN22" s="6952"/>
      <c r="AO22" s="6952"/>
      <c r="AP22" s="6952"/>
      <c r="AQ22" s="6952"/>
      <c r="AR22" s="6952"/>
      <c r="AS22" s="6952"/>
      <c r="AT22" s="6952"/>
      <c r="AU22" s="6952"/>
      <c r="AV22" s="6952"/>
      <c r="AW22" s="6952"/>
      <c r="AX22" s="6952"/>
      <c r="AY22" s="6952"/>
      <c r="AZ22" s="6952"/>
      <c r="BA22" s="6952"/>
      <c r="BB22" s="6952"/>
      <c r="BC22" s="6952"/>
      <c r="BD22" s="6952"/>
      <c r="BE22" s="6952"/>
      <c r="BF22" s="6952"/>
      <c r="BG22" s="6952"/>
      <c r="BH22" s="6952"/>
      <c r="BI22" s="6952"/>
      <c r="BJ22" s="6952"/>
      <c r="BK22" s="6952"/>
      <c r="BL22" s="6952"/>
      <c r="BM22" s="6952"/>
      <c r="BN22" s="6952"/>
      <c r="BO22" s="6952"/>
      <c r="BP22" s="6952"/>
      <c r="BQ22" s="6952"/>
      <c r="BR22" s="6952"/>
      <c r="BS22" s="6952"/>
      <c r="BT22" s="6952"/>
      <c r="BU22" s="6952"/>
      <c r="BV22" s="6952"/>
      <c r="BW22" s="6952"/>
      <c r="BX22" s="6952"/>
      <c r="BY22" s="6952"/>
      <c r="BZ22" s="6952"/>
      <c r="CA22" s="6952"/>
      <c r="CB22" s="6952"/>
      <c r="CC22" s="6952"/>
      <c r="CD22" s="6952"/>
      <c r="CE22" s="6952"/>
      <c r="CF22" s="6952"/>
      <c r="CG22" s="6952"/>
      <c r="CH22" s="6952"/>
      <c r="CI22" s="6952"/>
      <c r="CJ22" s="6952"/>
      <c r="CK22" s="6952"/>
      <c r="CL22" s="6952"/>
      <c r="CM22" s="6952"/>
      <c r="CN22" s="23674"/>
      <c r="CO22" s="23674"/>
      <c r="CP22" s="23674"/>
      <c r="CQ22" s="23674"/>
      <c r="CR22" s="23674"/>
      <c r="CS22" s="23674"/>
      <c r="CT22" s="23674"/>
      <c r="DB22" s="1667">
        <v>0</v>
      </c>
    </row>
    <row customHeight="1" ht="2.6666641235351562">
      <c r="Q23" s="888"/>
      <c r="R23" s="888"/>
      <c r="S23" s="1787"/>
      <c r="T23" s="875"/>
      <c r="U23" s="875"/>
      <c r="V23" s="1021"/>
      <c r="W23" s="1021"/>
      <c r="X23" s="1021"/>
      <c r="Y23" s="1021"/>
      <c r="Z23" s="1021"/>
      <c r="AA23" s="1021"/>
      <c r="AB23" s="1021"/>
      <c r="AC23" s="1021"/>
      <c r="AD23" s="1021"/>
      <c r="AE23" s="1021"/>
      <c r="AF23" s="1021"/>
      <c r="AG23" s="1021"/>
      <c r="AH23" s="1021"/>
      <c r="AI23" s="1021"/>
      <c r="AJ23" s="6952"/>
      <c r="AK23" s="6952"/>
      <c r="AL23" s="6952"/>
      <c r="AM23" s="6952"/>
      <c r="AN23" s="6952"/>
      <c r="AO23" s="6952"/>
      <c r="AP23" s="6952"/>
      <c r="AQ23" s="6952"/>
      <c r="AR23" s="6952"/>
      <c r="AS23" s="6952"/>
      <c r="AT23" s="6952"/>
      <c r="AU23" s="6952"/>
      <c r="AV23" s="6952"/>
      <c r="AW23" s="6952"/>
      <c r="AX23" s="6952"/>
      <c r="AY23" s="6952"/>
      <c r="AZ23" s="6952"/>
      <c r="BA23" s="6952"/>
      <c r="BB23" s="6952"/>
      <c r="BC23" s="6952"/>
      <c r="BD23" s="6952"/>
      <c r="BE23" s="6952"/>
      <c r="BF23" s="6952"/>
      <c r="BG23" s="6952"/>
      <c r="BH23" s="6952"/>
      <c r="BI23" s="6952"/>
      <c r="BJ23" s="6952"/>
      <c r="BK23" s="6952"/>
      <c r="BL23" s="6952"/>
      <c r="BM23" s="6952"/>
      <c r="BN23" s="6952"/>
      <c r="BO23" s="6952"/>
      <c r="BP23" s="6952"/>
      <c r="BQ23" s="6952"/>
      <c r="BR23" s="6952"/>
      <c r="BS23" s="6952"/>
      <c r="BT23" s="6952"/>
      <c r="BU23" s="6952"/>
      <c r="BV23" s="6952"/>
      <c r="BW23" s="6952"/>
      <c r="BX23" s="6952"/>
      <c r="BY23" s="6952"/>
      <c r="BZ23" s="6952"/>
      <c r="CA23" s="6952"/>
      <c r="CB23" s="6952"/>
      <c r="CC23" s="6952"/>
      <c r="CD23" s="6952"/>
      <c r="CE23" s="6952"/>
      <c r="CF23" s="6952"/>
      <c r="CG23" s="6952"/>
      <c r="CH23" s="6952"/>
      <c r="CI23" s="6952"/>
      <c r="CJ23" s="6952"/>
      <c r="CK23" s="6952"/>
      <c r="CL23" s="6952"/>
      <c r="CM23" s="6952"/>
      <c r="CN23" s="23674"/>
      <c r="CO23" s="23674"/>
      <c r="CP23" s="23674"/>
      <c r="CQ23" s="23674"/>
      <c r="CR23" s="23674"/>
      <c r="CS23" s="23674"/>
      <c r="CT23" s="23674"/>
      <c r="DB23" s="1667">
        <v>14</v>
      </c>
    </row>
    <row customHeight="1" ht="14.699999999999998">
      <c r="Q24" s="888"/>
      <c r="R24" s="888"/>
      <c r="S24" s="2760"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760"/>
      <c r="U24" s="2760"/>
      <c r="V24" s="2760"/>
      <c r="W24" s="2760"/>
      <c r="X24" s="2760"/>
      <c r="Y24" s="2760"/>
      <c r="Z24" s="2760"/>
      <c r="AA24" s="2760"/>
      <c r="AB24" s="2760"/>
      <c r="AC24" s="2760"/>
      <c r="AD24" s="2760"/>
      <c r="AE24" s="2760"/>
      <c r="AF24" s="2760"/>
      <c r="AG24" s="2760"/>
      <c r="AH24" s="2760"/>
      <c r="AI24" s="1755"/>
      <c r="AJ24" s="7147"/>
      <c r="AK24" s="7147"/>
      <c r="AL24" s="7147"/>
      <c r="AM24" s="7147"/>
      <c r="AN24" s="7147"/>
      <c r="AO24" s="7147"/>
      <c r="AP24" s="7147"/>
      <c r="AQ24" s="7147"/>
      <c r="AR24" s="7147"/>
      <c r="AS24" s="7147"/>
      <c r="AT24" s="7147"/>
      <c r="AU24" s="7147"/>
      <c r="AV24" s="7147"/>
      <c r="AW24" s="7147"/>
      <c r="AX24" s="7147"/>
      <c r="AY24" s="7147"/>
      <c r="AZ24" s="7147"/>
      <c r="BA24" s="7147"/>
      <c r="BB24" s="7147"/>
      <c r="BC24" s="7147"/>
      <c r="BD24" s="7147"/>
      <c r="BE24" s="7147"/>
      <c r="BF24" s="7147"/>
      <c r="BG24" s="7147"/>
      <c r="BH24" s="7147"/>
      <c r="BI24" s="7147"/>
      <c r="BJ24" s="7147"/>
      <c r="BK24" s="7147"/>
      <c r="BL24" s="7147"/>
      <c r="BM24" s="7147"/>
      <c r="BN24" s="7147"/>
      <c r="BO24" s="7147"/>
      <c r="BP24" s="7147"/>
      <c r="BQ24" s="7147"/>
      <c r="BR24" s="7147"/>
      <c r="BS24" s="7147"/>
      <c r="BT24" s="7147"/>
      <c r="BU24" s="7147"/>
      <c r="BV24" s="7147"/>
      <c r="BW24" s="7147"/>
      <c r="BX24" s="7147"/>
      <c r="BY24" s="7147"/>
      <c r="BZ24" s="7147"/>
      <c r="CA24" s="7147"/>
      <c r="CB24" s="7147"/>
      <c r="CC24" s="7147"/>
      <c r="CD24" s="7147"/>
      <c r="CE24" s="7147"/>
      <c r="CF24" s="7147"/>
      <c r="CG24" s="7147"/>
      <c r="CH24" s="7147"/>
      <c r="CI24" s="7147"/>
      <c r="CJ24" s="7147"/>
      <c r="CK24" s="7147"/>
      <c r="CL24" s="7147"/>
      <c r="CM24" s="7147"/>
      <c r="CN24" s="23911"/>
      <c r="CO24" s="23911"/>
      <c r="CP24" s="23911"/>
      <c r="CQ24" s="23911"/>
      <c r="CR24" s="23911"/>
      <c r="CS24" s="23911"/>
      <c r="CT24" s="23911"/>
      <c r="DB24" s="1667">
        <v>14</v>
      </c>
    </row>
    <row customHeight="1" ht="14.699999999999998">
      <c r="Q25" s="888"/>
      <c r="R25" s="888"/>
      <c r="S25" s="2761" t="str">
        <f>IF(org=0,"Не определено",org)</f>
        <v>КГУП "Примтеплоэнерго"</v>
      </c>
      <c r="T25" s="2761"/>
      <c r="U25" s="2761"/>
      <c r="V25" s="2761"/>
      <c r="W25" s="2761"/>
      <c r="X25" s="2761"/>
      <c r="Y25" s="2761"/>
      <c r="Z25" s="2761"/>
      <c r="AA25" s="2761"/>
      <c r="AB25" s="2761"/>
      <c r="AC25" s="2761"/>
      <c r="AD25" s="2761"/>
      <c r="AE25" s="2761"/>
      <c r="AF25" s="2761"/>
      <c r="AG25" s="2761"/>
      <c r="AH25" s="2761"/>
      <c r="AI25" s="1755"/>
      <c r="AJ25" s="7148"/>
      <c r="AK25" s="7148"/>
      <c r="AL25" s="7148"/>
      <c r="AM25" s="7148"/>
      <c r="AN25" s="7148"/>
      <c r="AO25" s="7148"/>
      <c r="AP25" s="7148"/>
      <c r="AQ25" s="7148"/>
      <c r="AR25" s="7148"/>
      <c r="AS25" s="7148"/>
      <c r="AT25" s="7148"/>
      <c r="AU25" s="7148"/>
      <c r="AV25" s="7148"/>
      <c r="AW25" s="7148"/>
      <c r="AX25" s="7148"/>
      <c r="AY25" s="7148"/>
      <c r="AZ25" s="7148"/>
      <c r="BA25" s="7148"/>
      <c r="BB25" s="7148"/>
      <c r="BC25" s="7148"/>
      <c r="BD25" s="7148"/>
      <c r="BE25" s="7148"/>
      <c r="BF25" s="7148"/>
      <c r="BG25" s="7148"/>
      <c r="BH25" s="7148"/>
      <c r="BI25" s="7148"/>
      <c r="BJ25" s="7148"/>
      <c r="BK25" s="7148"/>
      <c r="BL25" s="7148"/>
      <c r="BM25" s="7148"/>
      <c r="BN25" s="7148"/>
      <c r="BO25" s="7148"/>
      <c r="BP25" s="7148"/>
      <c r="BQ25" s="7148"/>
      <c r="BR25" s="7148"/>
      <c r="BS25" s="7148"/>
      <c r="BT25" s="7148"/>
      <c r="BU25" s="7148"/>
      <c r="BV25" s="7148"/>
      <c r="BW25" s="7148"/>
      <c r="BX25" s="7148"/>
      <c r="BY25" s="7148"/>
      <c r="BZ25" s="7148"/>
      <c r="CA25" s="7148"/>
      <c r="CB25" s="7148"/>
      <c r="CC25" s="7148"/>
      <c r="CD25" s="7148"/>
      <c r="CE25" s="7148"/>
      <c r="CF25" s="7148"/>
      <c r="CG25" s="7148"/>
      <c r="CH25" s="7148"/>
      <c r="CI25" s="7148"/>
      <c r="CJ25" s="7148"/>
      <c r="CK25" s="7148"/>
      <c r="CL25" s="7148"/>
      <c r="CM25" s="7148"/>
      <c r="CN25" s="23913"/>
      <c r="CO25" s="23913"/>
      <c r="CP25" s="23913"/>
      <c r="CQ25" s="23913"/>
      <c r="CR25" s="23913"/>
      <c r="CS25" s="23913"/>
      <c r="CT25" s="23913"/>
      <c r="DB25" s="1667">
        <v>14</v>
      </c>
    </row>
    <row customHeight="1" ht="0">
      <c r="Q26" s="888"/>
      <c r="R26" s="888"/>
      <c r="S26" s="1787"/>
      <c r="T26" s="875"/>
      <c r="U26" s="875"/>
      <c r="V26" s="834"/>
      <c r="W26" s="834"/>
      <c r="X26" s="834"/>
      <c r="Y26" s="834"/>
      <c r="Z26" s="834"/>
      <c r="AA26" s="834"/>
      <c r="AB26" s="834"/>
      <c r="AC26" s="834"/>
      <c r="AD26" s="834"/>
      <c r="AE26" s="834"/>
      <c r="AF26" s="834"/>
      <c r="AG26" s="834"/>
      <c r="AH26" s="834"/>
      <c r="AI26" s="834"/>
      <c r="AJ26" s="7149"/>
      <c r="AK26" s="7149"/>
      <c r="AL26" s="7149"/>
      <c r="AM26" s="7149"/>
      <c r="AN26" s="7149"/>
      <c r="AO26" s="7149"/>
      <c r="AP26" s="7149"/>
      <c r="AQ26" s="7149"/>
      <c r="AR26" s="7149"/>
      <c r="AS26" s="7149"/>
      <c r="AT26" s="7149"/>
      <c r="AU26" s="7149"/>
      <c r="AV26" s="7149"/>
      <c r="AW26" s="7149"/>
      <c r="AX26" s="7149"/>
      <c r="AY26" s="7149"/>
      <c r="AZ26" s="7149"/>
      <c r="BA26" s="7149"/>
      <c r="BB26" s="7149"/>
      <c r="BC26" s="7149"/>
      <c r="BD26" s="7149"/>
      <c r="BE26" s="7149"/>
      <c r="BF26" s="7149"/>
      <c r="BG26" s="7149"/>
      <c r="BH26" s="7149"/>
      <c r="BI26" s="7149"/>
      <c r="BJ26" s="7149"/>
      <c r="BK26" s="7149"/>
      <c r="BL26" s="7149"/>
      <c r="BM26" s="7149"/>
      <c r="BN26" s="7149"/>
      <c r="BO26" s="7149"/>
      <c r="BP26" s="7149"/>
      <c r="BQ26" s="7149"/>
      <c r="BR26" s="7149"/>
      <c r="BS26" s="7149"/>
      <c r="BT26" s="7149"/>
      <c r="BU26" s="7149"/>
      <c r="BV26" s="7149"/>
      <c r="BW26" s="7149"/>
      <c r="BX26" s="7149"/>
      <c r="BY26" s="7149"/>
      <c r="BZ26" s="7149"/>
      <c r="CA26" s="7149"/>
      <c r="CB26" s="7149"/>
      <c r="CC26" s="7149"/>
      <c r="CD26" s="7149"/>
      <c r="CE26" s="7149"/>
      <c r="CF26" s="7149"/>
      <c r="CG26" s="7149"/>
      <c r="CH26" s="7149"/>
      <c r="CI26" s="7149"/>
      <c r="CJ26" s="7149"/>
      <c r="CK26" s="7149"/>
      <c r="CL26" s="7149"/>
      <c r="CM26" s="7149"/>
      <c r="CN26" s="23915"/>
      <c r="CO26" s="23915"/>
      <c r="CP26" s="23915"/>
      <c r="CQ26" s="23915"/>
      <c r="CR26" s="23915"/>
      <c r="CS26" s="23915"/>
      <c r="CT26" s="23915"/>
      <c r="CU26" s="1021"/>
      <c r="DB26" s="1667">
        <v>0</v>
      </c>
    </row>
    <row s="47026" customFormat="1" customHeight="1" ht="25.5">
      <c r="A27" s="1880"/>
      <c r="B27" s="1880"/>
      <c r="C27" s="1880"/>
      <c r="D27" s="1880"/>
      <c r="E27" s="1880"/>
      <c r="F27" s="1880"/>
      <c r="G27" s="1880"/>
      <c r="H27" s="1880"/>
      <c r="I27" s="1880"/>
      <c r="J27" s="1880"/>
      <c r="K27" s="1880"/>
      <c r="L27" s="1881"/>
      <c r="M27" s="1880"/>
      <c r="N27" s="1880"/>
      <c r="O27" s="1880"/>
      <c r="S27" s="2762" t="s">
        <v>42</v>
      </c>
      <c r="T27" s="2762"/>
      <c r="U27" s="1884"/>
      <c r="V27" s="2763" t="str">
        <f>IF(TITLE_NAME_OR_PR_CHANGE="",IF(TITLE_NAME_OR_PR="","",TITLE_NAME_OR_PR),TITLE_NAME_OR_PR_CHANGE)</f>
        <v>Агентство по тарифам Приморского края</v>
      </c>
      <c r="W27" s="2763"/>
      <c r="X27" s="2763"/>
      <c r="Y27" s="2763"/>
      <c r="Z27" s="2763"/>
      <c r="AA27" s="2763"/>
      <c r="AB27" s="838"/>
      <c r="AC27" s="2763" t="str">
        <f>IF(TITLE_NAME_OR_PR_CHANGE="",IF(TITLE_NAME_OR_PR="","",TITLE_NAME_OR_PR),TITLE_NAME_OR_PR_CHANGE)</f>
        <v>Агентство по тарифам Приморского края</v>
      </c>
      <c r="AD27" s="2763"/>
      <c r="AE27" s="2763"/>
      <c r="AF27" s="2763"/>
      <c r="AG27" s="2763"/>
      <c r="AH27" s="2763"/>
      <c r="AI27" s="838"/>
      <c r="AJ27" s="7150" t="str">
        <f>IF(TITLE_NAME_OR_PR_CHANGE="",IF(TITLE_NAME_OR_PR="","",TITLE_NAME_OR_PR),TITLE_NAME_OR_PR_CHANGE)</f>
        <v>Агентство по тарифам Приморского края</v>
      </c>
      <c r="AK27" s="7150"/>
      <c r="AL27" s="7150"/>
      <c r="AM27" s="7150"/>
      <c r="AN27" s="7150"/>
      <c r="AO27" s="7150"/>
      <c r="AP27" s="6952"/>
      <c r="AQ27" s="7150" t="str">
        <f>IF(TITLE_NAME_OR_PR_CHANGE="",IF(TITLE_NAME_OR_PR="","",TITLE_NAME_OR_PR),TITLE_NAME_OR_PR_CHANGE)</f>
        <v>Агентство по тарифам Приморского края</v>
      </c>
      <c r="AR27" s="7150"/>
      <c r="AS27" s="7150"/>
      <c r="AT27" s="7150"/>
      <c r="AU27" s="7150"/>
      <c r="AV27" s="7150"/>
      <c r="AW27" s="6952"/>
      <c r="AX27" s="7150" t="str">
        <f>IF(TITLE_NAME_OR_PR_CHANGE="",IF(TITLE_NAME_OR_PR="","",TITLE_NAME_OR_PR),TITLE_NAME_OR_PR_CHANGE)</f>
        <v>Агентство по тарифам Приморского края</v>
      </c>
      <c r="AY27" s="7150"/>
      <c r="AZ27" s="7150"/>
      <c r="BA27" s="7150"/>
      <c r="BB27" s="7150"/>
      <c r="BC27" s="7150"/>
      <c r="BD27" s="6952"/>
      <c r="BE27" s="7150" t="str">
        <f>IF(TITLE_NAME_OR_PR_CHANGE="",IF(TITLE_NAME_OR_PR="","",TITLE_NAME_OR_PR),TITLE_NAME_OR_PR_CHANGE)</f>
        <v>Агентство по тарифам Приморского края</v>
      </c>
      <c r="BF27" s="7150"/>
      <c r="BG27" s="7150"/>
      <c r="BH27" s="7150"/>
      <c r="BI27" s="7150"/>
      <c r="BJ27" s="7150"/>
      <c r="BK27" s="6952"/>
      <c r="BL27" s="7150" t="str">
        <f>IF(TITLE_NAME_OR_PR_CHANGE="",IF(TITLE_NAME_OR_PR="","",TITLE_NAME_OR_PR),TITLE_NAME_OR_PR_CHANGE)</f>
        <v>Агентство по тарифам Приморского края</v>
      </c>
      <c r="BM27" s="7150"/>
      <c r="BN27" s="7150"/>
      <c r="BO27" s="7150"/>
      <c r="BP27" s="7150"/>
      <c r="BQ27" s="7150"/>
      <c r="BR27" s="6952"/>
      <c r="BS27" s="7150" t="str">
        <f>IF(TITLE_NAME_OR_PR_CHANGE="",IF(TITLE_NAME_OR_PR="","",TITLE_NAME_OR_PR),TITLE_NAME_OR_PR_CHANGE)</f>
        <v>Агентство по тарифам Приморского края</v>
      </c>
      <c r="BT27" s="7150"/>
      <c r="BU27" s="7150"/>
      <c r="BV27" s="7150"/>
      <c r="BW27" s="7150"/>
      <c r="BX27" s="7150"/>
      <c r="BY27" s="6952"/>
      <c r="BZ27" s="7150" t="str">
        <f>IF(TITLE_NAME_OR_PR_CHANGE="",IF(TITLE_NAME_OR_PR="","",TITLE_NAME_OR_PR),TITLE_NAME_OR_PR_CHANGE)</f>
        <v>Агентство по тарифам Приморского края</v>
      </c>
      <c r="CA27" s="7150"/>
      <c r="CB27" s="7150"/>
      <c r="CC27" s="7150"/>
      <c r="CD27" s="7150"/>
      <c r="CE27" s="7150"/>
      <c r="CF27" s="6952"/>
      <c r="CG27" s="7150" t="str">
        <f>IF(TITLE_NAME_OR_PR_CHANGE="",IF(TITLE_NAME_OR_PR="","",TITLE_NAME_OR_PR),TITLE_NAME_OR_PR_CHANGE)</f>
        <v>Агентство по тарифам Приморского края</v>
      </c>
      <c r="CH27" s="7150"/>
      <c r="CI27" s="7150"/>
      <c r="CJ27" s="7150"/>
      <c r="CK27" s="7150"/>
      <c r="CL27" s="7150"/>
      <c r="CM27" s="6952"/>
      <c r="CN27" s="23917" t="str">
        <f>IF(TITLE_NAME_OR_PR_CHANGE="",IF(TITLE_NAME_OR_PR="","",TITLE_NAME_OR_PR),TITLE_NAME_OR_PR_CHANGE)</f>
        <v>Агентство по тарифам Приморского края</v>
      </c>
      <c r="CO27" s="23917"/>
      <c r="CP27" s="23917"/>
      <c r="CQ27" s="23917"/>
      <c r="CR27" s="23917"/>
      <c r="CS27" s="23917"/>
      <c r="CT27" s="23674"/>
      <c r="CU27" s="838"/>
      <c r="CV27" s="792"/>
      <c r="CW27" s="880"/>
      <c r="CX27" s="880"/>
      <c r="CY27" s="880"/>
      <c r="CZ27" s="880"/>
      <c r="DA27" s="880"/>
      <c r="DB27" s="930">
        <v>0</v>
      </c>
    </row>
    <row s="47026" customFormat="1" customHeight="1" ht="18.75">
      <c r="A28" s="1880"/>
      <c r="B28" s="1880"/>
      <c r="C28" s="1880"/>
      <c r="D28" s="1880"/>
      <c r="E28" s="1880"/>
      <c r="F28" s="1880"/>
      <c r="G28" s="1880"/>
      <c r="H28" s="1880"/>
      <c r="I28" s="1880"/>
      <c r="J28" s="1880"/>
      <c r="K28" s="1880"/>
      <c r="L28" s="1881"/>
      <c r="M28" s="1880"/>
      <c r="N28" s="1880"/>
      <c r="O28" s="1880"/>
      <c r="S28" s="2762" t="s">
        <v>539</v>
      </c>
      <c r="T28" s="2762"/>
      <c r="U28" s="1884"/>
      <c r="V28" s="2776" t="str">
        <f>IF(TITLE_DATE_PR_CHANGE="",IF(TITLE_DATE_PR="","",TITLE_DATE_PR),TITLE_DATE_PR_CHANGE)</f>
        <v>45631.495844907404</v>
      </c>
      <c r="W28" s="2776"/>
      <c r="X28" s="2776"/>
      <c r="Y28" s="2776"/>
      <c r="Z28" s="2776"/>
      <c r="AA28" s="2776"/>
      <c r="AB28" s="838"/>
      <c r="AC28" s="2776" t="str">
        <f>IF(TITLE_DATE_PR_CHANGE="",IF(TITLE_DATE_PR="","",TITLE_DATE_PR),TITLE_DATE_PR_CHANGE)</f>
        <v>45631.495844907404</v>
      </c>
      <c r="AD28" s="2776"/>
      <c r="AE28" s="2776"/>
      <c r="AF28" s="2776"/>
      <c r="AG28" s="2776"/>
      <c r="AH28" s="2776"/>
      <c r="AI28" s="838"/>
      <c r="AJ28" s="7151" t="str">
        <f>IF(TITLE_DATE_PR_CHANGE="",IF(TITLE_DATE_PR="","",TITLE_DATE_PR),TITLE_DATE_PR_CHANGE)</f>
        <v>45631.495844907404</v>
      </c>
      <c r="AK28" s="7151"/>
      <c r="AL28" s="7151"/>
      <c r="AM28" s="7151"/>
      <c r="AN28" s="7151"/>
      <c r="AO28" s="7151"/>
      <c r="AP28" s="6952"/>
      <c r="AQ28" s="7151" t="str">
        <f>IF(TITLE_DATE_PR_CHANGE="",IF(TITLE_DATE_PR="","",TITLE_DATE_PR),TITLE_DATE_PR_CHANGE)</f>
        <v>45631.495844907404</v>
      </c>
      <c r="AR28" s="7151"/>
      <c r="AS28" s="7151"/>
      <c r="AT28" s="7151"/>
      <c r="AU28" s="7151"/>
      <c r="AV28" s="7151"/>
      <c r="AW28" s="6952"/>
      <c r="AX28" s="7151" t="str">
        <f>IF(TITLE_DATE_PR_CHANGE="",IF(TITLE_DATE_PR="","",TITLE_DATE_PR),TITLE_DATE_PR_CHANGE)</f>
        <v>45631.495844907404</v>
      </c>
      <c r="AY28" s="7151"/>
      <c r="AZ28" s="7151"/>
      <c r="BA28" s="7151"/>
      <c r="BB28" s="7151"/>
      <c r="BC28" s="7151"/>
      <c r="BD28" s="6952"/>
      <c r="BE28" s="7151" t="str">
        <f>IF(TITLE_DATE_PR_CHANGE="",IF(TITLE_DATE_PR="","",TITLE_DATE_PR),TITLE_DATE_PR_CHANGE)</f>
        <v>45631.495844907404</v>
      </c>
      <c r="BF28" s="7151"/>
      <c r="BG28" s="7151"/>
      <c r="BH28" s="7151"/>
      <c r="BI28" s="7151"/>
      <c r="BJ28" s="7151"/>
      <c r="BK28" s="6952"/>
      <c r="BL28" s="7151" t="str">
        <f>IF(TITLE_DATE_PR_CHANGE="",IF(TITLE_DATE_PR="","",TITLE_DATE_PR),TITLE_DATE_PR_CHANGE)</f>
        <v>45631.495844907404</v>
      </c>
      <c r="BM28" s="7151"/>
      <c r="BN28" s="7151"/>
      <c r="BO28" s="7151"/>
      <c r="BP28" s="7151"/>
      <c r="BQ28" s="7151"/>
      <c r="BR28" s="6952"/>
      <c r="BS28" s="7151" t="str">
        <f>IF(TITLE_DATE_PR_CHANGE="",IF(TITLE_DATE_PR="","",TITLE_DATE_PR),TITLE_DATE_PR_CHANGE)</f>
        <v>45631.495844907404</v>
      </c>
      <c r="BT28" s="7151"/>
      <c r="BU28" s="7151"/>
      <c r="BV28" s="7151"/>
      <c r="BW28" s="7151"/>
      <c r="BX28" s="7151"/>
      <c r="BY28" s="6952"/>
      <c r="BZ28" s="7151" t="str">
        <f>IF(TITLE_DATE_PR_CHANGE="",IF(TITLE_DATE_PR="","",TITLE_DATE_PR),TITLE_DATE_PR_CHANGE)</f>
        <v>45631.495844907404</v>
      </c>
      <c r="CA28" s="7151"/>
      <c r="CB28" s="7151"/>
      <c r="CC28" s="7151"/>
      <c r="CD28" s="7151"/>
      <c r="CE28" s="7151"/>
      <c r="CF28" s="6952"/>
      <c r="CG28" s="7151" t="str">
        <f>IF(TITLE_DATE_PR_CHANGE="",IF(TITLE_DATE_PR="","",TITLE_DATE_PR),TITLE_DATE_PR_CHANGE)</f>
        <v>45631.495844907404</v>
      </c>
      <c r="CH28" s="7151"/>
      <c r="CI28" s="7151"/>
      <c r="CJ28" s="7151"/>
      <c r="CK28" s="7151"/>
      <c r="CL28" s="7151"/>
      <c r="CM28" s="6952"/>
      <c r="CN28" s="23919" t="str">
        <f>IF(TITLE_DATE_PR_CHANGE="",IF(TITLE_DATE_PR="","",TITLE_DATE_PR),TITLE_DATE_PR_CHANGE)</f>
        <v>45631.495844907404</v>
      </c>
      <c r="CO28" s="23919"/>
      <c r="CP28" s="23919"/>
      <c r="CQ28" s="23919"/>
      <c r="CR28" s="23919"/>
      <c r="CS28" s="23919"/>
      <c r="CT28" s="23674"/>
      <c r="CU28" s="838"/>
      <c r="CV28" s="792"/>
      <c r="CW28" s="880"/>
      <c r="CX28" s="880"/>
      <c r="CY28" s="880"/>
      <c r="CZ28" s="880"/>
      <c r="DA28" s="880"/>
      <c r="DB28" s="930">
        <v>0</v>
      </c>
    </row>
    <row s="47026" customFormat="1" customHeight="1" ht="18.75">
      <c r="A29" s="1880"/>
      <c r="B29" s="1880"/>
      <c r="C29" s="1880"/>
      <c r="D29" s="1880"/>
      <c r="E29" s="1880"/>
      <c r="F29" s="1880"/>
      <c r="G29" s="1880"/>
      <c r="H29" s="1880"/>
      <c r="I29" s="1880"/>
      <c r="J29" s="1880"/>
      <c r="K29" s="1880"/>
      <c r="L29" s="1881"/>
      <c r="M29" s="1880"/>
      <c r="N29" s="1880"/>
      <c r="O29" s="1880"/>
      <c r="S29" s="2762" t="s">
        <v>540</v>
      </c>
      <c r="T29" s="2762"/>
      <c r="U29" s="1884"/>
      <c r="V29" s="2763" t="str">
        <f>IF(TITLE_NUMBER_PR_CHANGE="",IF(TITLE_NUMBER_PR="","",TITLE_NUMBER_PR),TITLE_NUMBER_PR_CHANGE)</f>
        <v>53/9</v>
      </c>
      <c r="W29" s="2763"/>
      <c r="X29" s="2763"/>
      <c r="Y29" s="2763"/>
      <c r="Z29" s="2763"/>
      <c r="AA29" s="2763"/>
      <c r="AB29" s="838"/>
      <c r="AC29" s="2763" t="str">
        <f>IF(TITLE_NUMBER_PR_CHANGE="",IF(TITLE_NUMBER_PR="","",TITLE_NUMBER_PR),TITLE_NUMBER_PR_CHANGE)</f>
        <v>53/9</v>
      </c>
      <c r="AD29" s="2763"/>
      <c r="AE29" s="2763"/>
      <c r="AF29" s="2763"/>
      <c r="AG29" s="2763"/>
      <c r="AH29" s="2763"/>
      <c r="AI29" s="838"/>
      <c r="AJ29" s="7150" t="str">
        <f>IF(TITLE_NUMBER_PR_CHANGE="",IF(TITLE_NUMBER_PR="","",TITLE_NUMBER_PR),TITLE_NUMBER_PR_CHANGE)</f>
        <v>53/9</v>
      </c>
      <c r="AK29" s="7150"/>
      <c r="AL29" s="7150"/>
      <c r="AM29" s="7150"/>
      <c r="AN29" s="7150"/>
      <c r="AO29" s="7150"/>
      <c r="AP29" s="6952"/>
      <c r="AQ29" s="7150" t="str">
        <f>IF(TITLE_NUMBER_PR_CHANGE="",IF(TITLE_NUMBER_PR="","",TITLE_NUMBER_PR),TITLE_NUMBER_PR_CHANGE)</f>
        <v>53/9</v>
      </c>
      <c r="AR29" s="7150"/>
      <c r="AS29" s="7150"/>
      <c r="AT29" s="7150"/>
      <c r="AU29" s="7150"/>
      <c r="AV29" s="7150"/>
      <c r="AW29" s="6952"/>
      <c r="AX29" s="7150" t="str">
        <f>IF(TITLE_NUMBER_PR_CHANGE="",IF(TITLE_NUMBER_PR="","",TITLE_NUMBER_PR),TITLE_NUMBER_PR_CHANGE)</f>
        <v>53/9</v>
      </c>
      <c r="AY29" s="7150"/>
      <c r="AZ29" s="7150"/>
      <c r="BA29" s="7150"/>
      <c r="BB29" s="7150"/>
      <c r="BC29" s="7150"/>
      <c r="BD29" s="6952"/>
      <c r="BE29" s="7150" t="str">
        <f>IF(TITLE_NUMBER_PR_CHANGE="",IF(TITLE_NUMBER_PR="","",TITLE_NUMBER_PR),TITLE_NUMBER_PR_CHANGE)</f>
        <v>53/9</v>
      </c>
      <c r="BF29" s="7150"/>
      <c r="BG29" s="7150"/>
      <c r="BH29" s="7150"/>
      <c r="BI29" s="7150"/>
      <c r="BJ29" s="7150"/>
      <c r="BK29" s="6952"/>
      <c r="BL29" s="7150" t="str">
        <f>IF(TITLE_NUMBER_PR_CHANGE="",IF(TITLE_NUMBER_PR="","",TITLE_NUMBER_PR),TITLE_NUMBER_PR_CHANGE)</f>
        <v>53/9</v>
      </c>
      <c r="BM29" s="7150"/>
      <c r="BN29" s="7150"/>
      <c r="BO29" s="7150"/>
      <c r="BP29" s="7150"/>
      <c r="BQ29" s="7150"/>
      <c r="BR29" s="6952"/>
      <c r="BS29" s="7150" t="str">
        <f>IF(TITLE_NUMBER_PR_CHANGE="",IF(TITLE_NUMBER_PR="","",TITLE_NUMBER_PR),TITLE_NUMBER_PR_CHANGE)</f>
        <v>53/9</v>
      </c>
      <c r="BT29" s="7150"/>
      <c r="BU29" s="7150"/>
      <c r="BV29" s="7150"/>
      <c r="BW29" s="7150"/>
      <c r="BX29" s="7150"/>
      <c r="BY29" s="6952"/>
      <c r="BZ29" s="7150" t="str">
        <f>IF(TITLE_NUMBER_PR_CHANGE="",IF(TITLE_NUMBER_PR="","",TITLE_NUMBER_PR),TITLE_NUMBER_PR_CHANGE)</f>
        <v>53/9</v>
      </c>
      <c r="CA29" s="7150"/>
      <c r="CB29" s="7150"/>
      <c r="CC29" s="7150"/>
      <c r="CD29" s="7150"/>
      <c r="CE29" s="7150"/>
      <c r="CF29" s="6952"/>
      <c r="CG29" s="7150" t="str">
        <f>IF(TITLE_NUMBER_PR_CHANGE="",IF(TITLE_NUMBER_PR="","",TITLE_NUMBER_PR),TITLE_NUMBER_PR_CHANGE)</f>
        <v>53/9</v>
      </c>
      <c r="CH29" s="7150"/>
      <c r="CI29" s="7150"/>
      <c r="CJ29" s="7150"/>
      <c r="CK29" s="7150"/>
      <c r="CL29" s="7150"/>
      <c r="CM29" s="6952"/>
      <c r="CN29" s="23917" t="str">
        <f>IF(TITLE_NUMBER_PR_CHANGE="",IF(TITLE_NUMBER_PR="","",TITLE_NUMBER_PR),TITLE_NUMBER_PR_CHANGE)</f>
        <v>53/9</v>
      </c>
      <c r="CO29" s="23917"/>
      <c r="CP29" s="23917"/>
      <c r="CQ29" s="23917"/>
      <c r="CR29" s="23917"/>
      <c r="CS29" s="23917"/>
      <c r="CT29" s="23674"/>
      <c r="CU29" s="838"/>
      <c r="CV29" s="792"/>
      <c r="CW29" s="880"/>
      <c r="CX29" s="880"/>
      <c r="CY29" s="880"/>
      <c r="CZ29" s="880"/>
      <c r="DA29" s="880"/>
      <c r="DB29" s="930">
        <v>0</v>
      </c>
    </row>
    <row s="47026" customFormat="1" customHeight="1" ht="18.75">
      <c r="A30" s="1880"/>
      <c r="B30" s="1880"/>
      <c r="C30" s="1880"/>
      <c r="D30" s="1880"/>
      <c r="E30" s="1880"/>
      <c r="F30" s="1880"/>
      <c r="G30" s="1880"/>
      <c r="H30" s="1880"/>
      <c r="I30" s="1880"/>
      <c r="J30" s="1880"/>
      <c r="K30" s="1880"/>
      <c r="L30" s="1881"/>
      <c r="M30" s="1880"/>
      <c r="N30" s="1880"/>
      <c r="O30" s="1880"/>
      <c r="S30" s="2762" t="s">
        <v>44</v>
      </c>
      <c r="T30" s="2762"/>
      <c r="U30" s="1884"/>
      <c r="V30" s="2763" t="str">
        <f>IF(TITLE_IST_PUB_CHANGE="",IF(TITLE_IST_PUB="","",TITLE_IST_PUB),TITLE_IST_PUB_CHANGE)</f>
        <v>http://pravo.gov.ru</v>
      </c>
      <c r="W30" s="2763"/>
      <c r="X30" s="2763"/>
      <c r="Y30" s="2763"/>
      <c r="Z30" s="2763"/>
      <c r="AA30" s="2763"/>
      <c r="AB30" s="838"/>
      <c r="AC30" s="2763" t="str">
        <f>IF(TITLE_IST_PUB_CHANGE="",IF(TITLE_IST_PUB="","",TITLE_IST_PUB),TITLE_IST_PUB_CHANGE)</f>
        <v>http://pravo.gov.ru</v>
      </c>
      <c r="AD30" s="2763"/>
      <c r="AE30" s="2763"/>
      <c r="AF30" s="2763"/>
      <c r="AG30" s="2763"/>
      <c r="AH30" s="2763"/>
      <c r="AI30" s="838"/>
      <c r="AJ30" s="7150" t="str">
        <f>IF(TITLE_IST_PUB_CHANGE="",IF(TITLE_IST_PUB="","",TITLE_IST_PUB),TITLE_IST_PUB_CHANGE)</f>
        <v>http://pravo.gov.ru</v>
      </c>
      <c r="AK30" s="7150"/>
      <c r="AL30" s="7150"/>
      <c r="AM30" s="7150"/>
      <c r="AN30" s="7150"/>
      <c r="AO30" s="7150"/>
      <c r="AP30" s="6952"/>
      <c r="AQ30" s="7150" t="str">
        <f>IF(TITLE_IST_PUB_CHANGE="",IF(TITLE_IST_PUB="","",TITLE_IST_PUB),TITLE_IST_PUB_CHANGE)</f>
        <v>http://pravo.gov.ru</v>
      </c>
      <c r="AR30" s="7150"/>
      <c r="AS30" s="7150"/>
      <c r="AT30" s="7150"/>
      <c r="AU30" s="7150"/>
      <c r="AV30" s="7150"/>
      <c r="AW30" s="6952"/>
      <c r="AX30" s="7150" t="str">
        <f>IF(TITLE_IST_PUB_CHANGE="",IF(TITLE_IST_PUB="","",TITLE_IST_PUB),TITLE_IST_PUB_CHANGE)</f>
        <v>http://pravo.gov.ru</v>
      </c>
      <c r="AY30" s="7150"/>
      <c r="AZ30" s="7150"/>
      <c r="BA30" s="7150"/>
      <c r="BB30" s="7150"/>
      <c r="BC30" s="7150"/>
      <c r="BD30" s="6952"/>
      <c r="BE30" s="7150" t="str">
        <f>IF(TITLE_IST_PUB_CHANGE="",IF(TITLE_IST_PUB="","",TITLE_IST_PUB),TITLE_IST_PUB_CHANGE)</f>
        <v>http://pravo.gov.ru</v>
      </c>
      <c r="BF30" s="7150"/>
      <c r="BG30" s="7150"/>
      <c r="BH30" s="7150"/>
      <c r="BI30" s="7150"/>
      <c r="BJ30" s="7150"/>
      <c r="BK30" s="6952"/>
      <c r="BL30" s="7150" t="str">
        <f>IF(TITLE_IST_PUB_CHANGE="",IF(TITLE_IST_PUB="","",TITLE_IST_PUB),TITLE_IST_PUB_CHANGE)</f>
        <v>http://pravo.gov.ru</v>
      </c>
      <c r="BM30" s="7150"/>
      <c r="BN30" s="7150"/>
      <c r="BO30" s="7150"/>
      <c r="BP30" s="7150"/>
      <c r="BQ30" s="7150"/>
      <c r="BR30" s="6952"/>
      <c r="BS30" s="7150" t="str">
        <f>IF(TITLE_IST_PUB_CHANGE="",IF(TITLE_IST_PUB="","",TITLE_IST_PUB),TITLE_IST_PUB_CHANGE)</f>
        <v>http://pravo.gov.ru</v>
      </c>
      <c r="BT30" s="7150"/>
      <c r="BU30" s="7150"/>
      <c r="BV30" s="7150"/>
      <c r="BW30" s="7150"/>
      <c r="BX30" s="7150"/>
      <c r="BY30" s="6952"/>
      <c r="BZ30" s="7150" t="str">
        <f>IF(TITLE_IST_PUB_CHANGE="",IF(TITLE_IST_PUB="","",TITLE_IST_PUB),TITLE_IST_PUB_CHANGE)</f>
        <v>http://pravo.gov.ru</v>
      </c>
      <c r="CA30" s="7150"/>
      <c r="CB30" s="7150"/>
      <c r="CC30" s="7150"/>
      <c r="CD30" s="7150"/>
      <c r="CE30" s="7150"/>
      <c r="CF30" s="6952"/>
      <c r="CG30" s="7150" t="str">
        <f>IF(TITLE_IST_PUB_CHANGE="",IF(TITLE_IST_PUB="","",TITLE_IST_PUB),TITLE_IST_PUB_CHANGE)</f>
        <v>http://pravo.gov.ru</v>
      </c>
      <c r="CH30" s="7150"/>
      <c r="CI30" s="7150"/>
      <c r="CJ30" s="7150"/>
      <c r="CK30" s="7150"/>
      <c r="CL30" s="7150"/>
      <c r="CM30" s="6952"/>
      <c r="CN30" s="23917" t="str">
        <f>IF(TITLE_IST_PUB_CHANGE="",IF(TITLE_IST_PUB="","",TITLE_IST_PUB),TITLE_IST_PUB_CHANGE)</f>
        <v>http://pravo.gov.ru</v>
      </c>
      <c r="CO30" s="23917"/>
      <c r="CP30" s="23917"/>
      <c r="CQ30" s="23917"/>
      <c r="CR30" s="23917"/>
      <c r="CS30" s="23917"/>
      <c r="CT30" s="23674"/>
      <c r="CU30" s="838"/>
      <c r="CV30" s="792"/>
      <c r="CW30" s="880"/>
      <c r="CX30" s="880"/>
      <c r="CY30" s="880"/>
      <c r="CZ30" s="880"/>
      <c r="DA30" s="880"/>
      <c r="DB30" s="930">
        <v>0</v>
      </c>
    </row>
    <row customHeight="1" ht="14.25" hidden="1">
      <c r="Q31" s="888"/>
      <c r="R31" s="888"/>
      <c r="S31" s="1787"/>
      <c r="T31" s="875"/>
      <c r="U31" s="875"/>
      <c r="V31" s="834"/>
      <c r="W31" s="834"/>
      <c r="X31" s="834"/>
      <c r="Y31" s="834"/>
      <c r="Z31" s="834"/>
      <c r="AA31" s="834"/>
      <c r="AB31" s="834"/>
      <c r="AC31" s="834"/>
      <c r="AD31" s="834"/>
      <c r="AE31" s="834"/>
      <c r="AF31" s="834"/>
      <c r="AG31" s="834"/>
      <c r="AH31" s="834"/>
      <c r="AI31" s="834"/>
      <c r="AJ31" s="7149"/>
      <c r="AK31" s="7149"/>
      <c r="AL31" s="7149"/>
      <c r="AM31" s="7149"/>
      <c r="AN31" s="7149"/>
      <c r="AO31" s="7149"/>
      <c r="AP31" s="7149"/>
      <c r="AQ31" s="7149"/>
      <c r="AR31" s="7149"/>
      <c r="AS31" s="7149"/>
      <c r="AT31" s="7149"/>
      <c r="AU31" s="7149"/>
      <c r="AV31" s="7149"/>
      <c r="AW31" s="7149"/>
      <c r="AX31" s="7149"/>
      <c r="AY31" s="7149"/>
      <c r="AZ31" s="7149"/>
      <c r="BA31" s="7149"/>
      <c r="BB31" s="7149"/>
      <c r="BC31" s="7149"/>
      <c r="BD31" s="7149"/>
      <c r="BE31" s="7149"/>
      <c r="BF31" s="7149"/>
      <c r="BG31" s="7149"/>
      <c r="BH31" s="7149"/>
      <c r="BI31" s="7149"/>
      <c r="BJ31" s="7149"/>
      <c r="BK31" s="7149"/>
      <c r="BL31" s="7149"/>
      <c r="BM31" s="7149"/>
      <c r="BN31" s="7149"/>
      <c r="BO31" s="7149"/>
      <c r="BP31" s="7149"/>
      <c r="BQ31" s="7149"/>
      <c r="BR31" s="7149"/>
      <c r="BS31" s="7149"/>
      <c r="BT31" s="7149"/>
      <c r="BU31" s="7149"/>
      <c r="BV31" s="7149"/>
      <c r="BW31" s="7149"/>
      <c r="BX31" s="7149"/>
      <c r="BY31" s="7149"/>
      <c r="BZ31" s="7149"/>
      <c r="CA31" s="7149"/>
      <c r="CB31" s="7149"/>
      <c r="CC31" s="7149"/>
      <c r="CD31" s="7149"/>
      <c r="CE31" s="7149"/>
      <c r="CF31" s="7149"/>
      <c r="CG31" s="7149"/>
      <c r="CH31" s="7149"/>
      <c r="CI31" s="7149"/>
      <c r="CJ31" s="7149"/>
      <c r="CK31" s="7149"/>
      <c r="CL31" s="7149"/>
      <c r="CM31" s="7149"/>
      <c r="CN31" s="23915"/>
      <c r="CO31" s="23915"/>
      <c r="CP31" s="23915"/>
      <c r="CQ31" s="23915"/>
      <c r="CR31" s="23915"/>
      <c r="CS31" s="23915"/>
      <c r="CT31" s="23915"/>
      <c r="CU31" s="1021"/>
      <c r="DB31" s="1667">
        <v>0</v>
      </c>
    </row>
    <row s="47026" customFormat="1" customHeight="1" ht="18.75" hidden="1">
      <c r="A32" s="1880"/>
      <c r="B32" s="1880"/>
      <c r="C32" s="1880"/>
      <c r="D32" s="1880"/>
      <c r="E32" s="1880"/>
      <c r="F32" s="1880"/>
      <c r="G32" s="1880"/>
      <c r="H32" s="1880"/>
      <c r="I32" s="1880"/>
      <c r="J32" s="1880"/>
      <c r="K32" s="1880"/>
      <c r="L32" s="1881"/>
      <c r="M32" s="1880"/>
      <c r="N32" s="1880"/>
      <c r="O32" s="1880"/>
      <c r="S32" s="2762" t="s">
        <v>541</v>
      </c>
      <c r="T32" s="2762"/>
      <c r="U32" s="1884"/>
      <c r="V32" s="2776" t="str">
        <f>IF(TITLE_DATE_PR_CHANGE="",IF(TITLE_DATE_PR="","",TITLE_DATE_PR),TITLE_DATE_PR_CHANGE)</f>
        <v>45631.495844907404</v>
      </c>
      <c r="W32" s="2776"/>
      <c r="X32" s="2776"/>
      <c r="Y32" s="2776"/>
      <c r="Z32" s="2776"/>
      <c r="AA32" s="2776"/>
      <c r="AB32" s="838"/>
      <c r="AC32" s="2776" t="str">
        <f>IF(TITLE_DATE_PR_CHANGE="",IF(TITLE_DATE_PR="","",TITLE_DATE_PR),TITLE_DATE_PR_CHANGE)</f>
        <v>45631.495844907404</v>
      </c>
      <c r="AD32" s="2776"/>
      <c r="AE32" s="2776"/>
      <c r="AF32" s="2776"/>
      <c r="AG32" s="2776"/>
      <c r="AH32" s="2776"/>
      <c r="AI32" s="838"/>
      <c r="AJ32" s="7151" t="str">
        <f>IF(TITLE_DATE_PR_CHANGE="",IF(TITLE_DATE_PR="","",TITLE_DATE_PR),TITLE_DATE_PR_CHANGE)</f>
        <v>45631.495844907404</v>
      </c>
      <c r="AK32" s="7151"/>
      <c r="AL32" s="7151"/>
      <c r="AM32" s="7151"/>
      <c r="AN32" s="7151"/>
      <c r="AO32" s="7151"/>
      <c r="AP32" s="6952"/>
      <c r="AQ32" s="7151" t="str">
        <f>IF(TITLE_DATE_PR_CHANGE="",IF(TITLE_DATE_PR="","",TITLE_DATE_PR),TITLE_DATE_PR_CHANGE)</f>
        <v>45631.495844907404</v>
      </c>
      <c r="AR32" s="7151"/>
      <c r="AS32" s="7151"/>
      <c r="AT32" s="7151"/>
      <c r="AU32" s="7151"/>
      <c r="AV32" s="7151"/>
      <c r="AW32" s="6952"/>
      <c r="AX32" s="7151" t="str">
        <f>IF(TITLE_DATE_PR_CHANGE="",IF(TITLE_DATE_PR="","",TITLE_DATE_PR),TITLE_DATE_PR_CHANGE)</f>
        <v>45631.495844907404</v>
      </c>
      <c r="AY32" s="7151"/>
      <c r="AZ32" s="7151"/>
      <c r="BA32" s="7151"/>
      <c r="BB32" s="7151"/>
      <c r="BC32" s="7151"/>
      <c r="BD32" s="6952"/>
      <c r="BE32" s="7151" t="str">
        <f>IF(TITLE_DATE_PR_CHANGE="",IF(TITLE_DATE_PR="","",TITLE_DATE_PR),TITLE_DATE_PR_CHANGE)</f>
        <v>45631.495844907404</v>
      </c>
      <c r="BF32" s="7151"/>
      <c r="BG32" s="7151"/>
      <c r="BH32" s="7151"/>
      <c r="BI32" s="7151"/>
      <c r="BJ32" s="7151"/>
      <c r="BK32" s="6952"/>
      <c r="BL32" s="7151" t="str">
        <f>IF(TITLE_DATE_PR_CHANGE="",IF(TITLE_DATE_PR="","",TITLE_DATE_PR),TITLE_DATE_PR_CHANGE)</f>
        <v>45631.495844907404</v>
      </c>
      <c r="BM32" s="7151"/>
      <c r="BN32" s="7151"/>
      <c r="BO32" s="7151"/>
      <c r="BP32" s="7151"/>
      <c r="BQ32" s="7151"/>
      <c r="BR32" s="6952"/>
      <c r="BS32" s="7151" t="str">
        <f>IF(TITLE_DATE_PR_CHANGE="",IF(TITLE_DATE_PR="","",TITLE_DATE_PR),TITLE_DATE_PR_CHANGE)</f>
        <v>45631.495844907404</v>
      </c>
      <c r="BT32" s="7151"/>
      <c r="BU32" s="7151"/>
      <c r="BV32" s="7151"/>
      <c r="BW32" s="7151"/>
      <c r="BX32" s="7151"/>
      <c r="BY32" s="6952"/>
      <c r="BZ32" s="7151" t="str">
        <f>IF(TITLE_DATE_PR_CHANGE="",IF(TITLE_DATE_PR="","",TITLE_DATE_PR),TITLE_DATE_PR_CHANGE)</f>
        <v>45631.495844907404</v>
      </c>
      <c r="CA32" s="7151"/>
      <c r="CB32" s="7151"/>
      <c r="CC32" s="7151"/>
      <c r="CD32" s="7151"/>
      <c r="CE32" s="7151"/>
      <c r="CF32" s="6952"/>
      <c r="CG32" s="7151" t="str">
        <f>IF(TITLE_DATE_PR_CHANGE="",IF(TITLE_DATE_PR="","",TITLE_DATE_PR),TITLE_DATE_PR_CHANGE)</f>
        <v>45631.495844907404</v>
      </c>
      <c r="CH32" s="7151"/>
      <c r="CI32" s="7151"/>
      <c r="CJ32" s="7151"/>
      <c r="CK32" s="7151"/>
      <c r="CL32" s="7151"/>
      <c r="CM32" s="6952"/>
      <c r="CN32" s="23919" t="str">
        <f>IF(TITLE_DATE_PR_CHANGE="",IF(TITLE_DATE_PR="","",TITLE_DATE_PR),TITLE_DATE_PR_CHANGE)</f>
        <v>45631.495844907404</v>
      </c>
      <c r="CO32" s="23919"/>
      <c r="CP32" s="23919"/>
      <c r="CQ32" s="23919"/>
      <c r="CR32" s="23919"/>
      <c r="CS32" s="23919"/>
      <c r="CT32" s="23674"/>
      <c r="CU32" s="838"/>
      <c r="CV32" s="792"/>
      <c r="CW32" s="880"/>
      <c r="CX32" s="880"/>
      <c r="CY32" s="880"/>
      <c r="CZ32" s="880"/>
      <c r="DA32" s="880"/>
      <c r="DB32" s="930">
        <v>0</v>
      </c>
    </row>
    <row s="47026" customFormat="1" customHeight="1" ht="18.75" hidden="1">
      <c r="A33" s="1880"/>
      <c r="B33" s="1880"/>
      <c r="C33" s="1880"/>
      <c r="D33" s="1880"/>
      <c r="E33" s="1880"/>
      <c r="F33" s="1880"/>
      <c r="G33" s="1880"/>
      <c r="H33" s="1880"/>
      <c r="I33" s="1880"/>
      <c r="J33" s="1880"/>
      <c r="K33" s="1880"/>
      <c r="L33" s="1881"/>
      <c r="M33" s="1880"/>
      <c r="N33" s="1880"/>
      <c r="O33" s="1880"/>
      <c r="S33" s="2762" t="s">
        <v>542</v>
      </c>
      <c r="T33" s="2762"/>
      <c r="U33" s="1884"/>
      <c r="V33" s="2763" t="str">
        <f>IF(TITLE_NUMBER_PR_CHANGE="",IF(TITLE_NUMBER_PR="","",TITLE_NUMBER_PR),TITLE_NUMBER_PR_CHANGE)</f>
        <v>53/9</v>
      </c>
      <c r="W33" s="2763"/>
      <c r="X33" s="2763"/>
      <c r="Y33" s="2763"/>
      <c r="Z33" s="2763"/>
      <c r="AA33" s="2763"/>
      <c r="AB33" s="838"/>
      <c r="AC33" s="2763" t="str">
        <f>IF(TITLE_NUMBER_PR_CHANGE="",IF(TITLE_NUMBER_PR="","",TITLE_NUMBER_PR),TITLE_NUMBER_PR_CHANGE)</f>
        <v>53/9</v>
      </c>
      <c r="AD33" s="2763"/>
      <c r="AE33" s="2763"/>
      <c r="AF33" s="2763"/>
      <c r="AG33" s="2763"/>
      <c r="AH33" s="2763"/>
      <c r="AI33" s="838"/>
      <c r="AJ33" s="7150" t="str">
        <f>IF(TITLE_NUMBER_PR_CHANGE="",IF(TITLE_NUMBER_PR="","",TITLE_NUMBER_PR),TITLE_NUMBER_PR_CHANGE)</f>
        <v>53/9</v>
      </c>
      <c r="AK33" s="7150"/>
      <c r="AL33" s="7150"/>
      <c r="AM33" s="7150"/>
      <c r="AN33" s="7150"/>
      <c r="AO33" s="7150"/>
      <c r="AP33" s="6952"/>
      <c r="AQ33" s="7150" t="str">
        <f>IF(TITLE_NUMBER_PR_CHANGE="",IF(TITLE_NUMBER_PR="","",TITLE_NUMBER_PR),TITLE_NUMBER_PR_CHANGE)</f>
        <v>53/9</v>
      </c>
      <c r="AR33" s="7150"/>
      <c r="AS33" s="7150"/>
      <c r="AT33" s="7150"/>
      <c r="AU33" s="7150"/>
      <c r="AV33" s="7150"/>
      <c r="AW33" s="6952"/>
      <c r="AX33" s="7150" t="str">
        <f>IF(TITLE_NUMBER_PR_CHANGE="",IF(TITLE_NUMBER_PR="","",TITLE_NUMBER_PR),TITLE_NUMBER_PR_CHANGE)</f>
        <v>53/9</v>
      </c>
      <c r="AY33" s="7150"/>
      <c r="AZ33" s="7150"/>
      <c r="BA33" s="7150"/>
      <c r="BB33" s="7150"/>
      <c r="BC33" s="7150"/>
      <c r="BD33" s="6952"/>
      <c r="BE33" s="7150" t="str">
        <f>IF(TITLE_NUMBER_PR_CHANGE="",IF(TITLE_NUMBER_PR="","",TITLE_NUMBER_PR),TITLE_NUMBER_PR_CHANGE)</f>
        <v>53/9</v>
      </c>
      <c r="BF33" s="7150"/>
      <c r="BG33" s="7150"/>
      <c r="BH33" s="7150"/>
      <c r="BI33" s="7150"/>
      <c r="BJ33" s="7150"/>
      <c r="BK33" s="6952"/>
      <c r="BL33" s="7150" t="str">
        <f>IF(TITLE_NUMBER_PR_CHANGE="",IF(TITLE_NUMBER_PR="","",TITLE_NUMBER_PR),TITLE_NUMBER_PR_CHANGE)</f>
        <v>53/9</v>
      </c>
      <c r="BM33" s="7150"/>
      <c r="BN33" s="7150"/>
      <c r="BO33" s="7150"/>
      <c r="BP33" s="7150"/>
      <c r="BQ33" s="7150"/>
      <c r="BR33" s="6952"/>
      <c r="BS33" s="7150" t="str">
        <f>IF(TITLE_NUMBER_PR_CHANGE="",IF(TITLE_NUMBER_PR="","",TITLE_NUMBER_PR),TITLE_NUMBER_PR_CHANGE)</f>
        <v>53/9</v>
      </c>
      <c r="BT33" s="7150"/>
      <c r="BU33" s="7150"/>
      <c r="BV33" s="7150"/>
      <c r="BW33" s="7150"/>
      <c r="BX33" s="7150"/>
      <c r="BY33" s="6952"/>
      <c r="BZ33" s="7150" t="str">
        <f>IF(TITLE_NUMBER_PR_CHANGE="",IF(TITLE_NUMBER_PR="","",TITLE_NUMBER_PR),TITLE_NUMBER_PR_CHANGE)</f>
        <v>53/9</v>
      </c>
      <c r="CA33" s="7150"/>
      <c r="CB33" s="7150"/>
      <c r="CC33" s="7150"/>
      <c r="CD33" s="7150"/>
      <c r="CE33" s="7150"/>
      <c r="CF33" s="6952"/>
      <c r="CG33" s="7150" t="str">
        <f>IF(TITLE_NUMBER_PR_CHANGE="",IF(TITLE_NUMBER_PR="","",TITLE_NUMBER_PR),TITLE_NUMBER_PR_CHANGE)</f>
        <v>53/9</v>
      </c>
      <c r="CH33" s="7150"/>
      <c r="CI33" s="7150"/>
      <c r="CJ33" s="7150"/>
      <c r="CK33" s="7150"/>
      <c r="CL33" s="7150"/>
      <c r="CM33" s="6952"/>
      <c r="CN33" s="23917" t="str">
        <f>IF(TITLE_NUMBER_PR_CHANGE="",IF(TITLE_NUMBER_PR="","",TITLE_NUMBER_PR),TITLE_NUMBER_PR_CHANGE)</f>
        <v>53/9</v>
      </c>
      <c r="CO33" s="23917"/>
      <c r="CP33" s="23917"/>
      <c r="CQ33" s="23917"/>
      <c r="CR33" s="23917"/>
      <c r="CS33" s="23917"/>
      <c r="CT33" s="23674"/>
      <c r="CU33" s="838"/>
      <c r="CV33" s="792"/>
      <c r="CW33" s="880"/>
      <c r="CX33" s="880"/>
      <c r="CY33" s="880"/>
      <c r="CZ33" s="880"/>
      <c r="DA33" s="880"/>
      <c r="DB33" s="930">
        <v>0</v>
      </c>
    </row>
    <row s="47026" customFormat="1" customHeight="1" ht="1.05">
      <c r="A34" s="1880"/>
      <c r="B34" s="1880"/>
      <c r="C34" s="1880"/>
      <c r="D34" s="1880"/>
      <c r="E34" s="1880"/>
      <c r="F34" s="1880"/>
      <c r="G34" s="1880"/>
      <c r="H34" s="1880"/>
      <c r="I34" s="1880"/>
      <c r="J34" s="1880"/>
      <c r="K34" s="1880"/>
      <c r="L34" s="1881"/>
      <c r="M34" s="1880"/>
      <c r="N34" s="1880"/>
      <c r="O34" s="1880"/>
      <c r="S34" s="835"/>
      <c r="T34" s="835"/>
      <c r="U34" s="2000"/>
      <c r="V34" s="838"/>
      <c r="W34" s="838"/>
      <c r="X34" s="838"/>
      <c r="Y34" s="838"/>
      <c r="Z34" s="838"/>
      <c r="AA34" s="838"/>
      <c r="AB34" s="790" t="s">
        <v>543</v>
      </c>
      <c r="AC34" s="838"/>
      <c r="AD34" s="838"/>
      <c r="AE34" s="838"/>
      <c r="AF34" s="838"/>
      <c r="AG34" s="838"/>
      <c r="AH34" s="838"/>
      <c r="AI34" s="790" t="s">
        <v>543</v>
      </c>
      <c r="AJ34" s="6952"/>
      <c r="AK34" s="6952"/>
      <c r="AL34" s="6952"/>
      <c r="AM34" s="6952"/>
      <c r="AN34" s="6952"/>
      <c r="AO34" s="6952"/>
      <c r="AP34" s="7153" t="s">
        <v>543</v>
      </c>
      <c r="AQ34" s="6952"/>
      <c r="AR34" s="6952"/>
      <c r="AS34" s="6952"/>
      <c r="AT34" s="6952"/>
      <c r="AU34" s="6952"/>
      <c r="AV34" s="6952"/>
      <c r="AW34" s="7153" t="s">
        <v>543</v>
      </c>
      <c r="AX34" s="6952"/>
      <c r="AY34" s="6952"/>
      <c r="AZ34" s="6952"/>
      <c r="BA34" s="6952"/>
      <c r="BB34" s="6952"/>
      <c r="BC34" s="6952"/>
      <c r="BD34" s="7153" t="s">
        <v>543</v>
      </c>
      <c r="BE34" s="6952"/>
      <c r="BF34" s="6952"/>
      <c r="BG34" s="6952"/>
      <c r="BH34" s="6952"/>
      <c r="BI34" s="6952"/>
      <c r="BJ34" s="6952"/>
      <c r="BK34" s="7153" t="s">
        <v>543</v>
      </c>
      <c r="BL34" s="6952"/>
      <c r="BM34" s="6952"/>
      <c r="BN34" s="6952"/>
      <c r="BO34" s="6952"/>
      <c r="BP34" s="6952"/>
      <c r="BQ34" s="6952"/>
      <c r="BR34" s="7153" t="s">
        <v>543</v>
      </c>
      <c r="BS34" s="6952"/>
      <c r="BT34" s="6952"/>
      <c r="BU34" s="6952"/>
      <c r="BV34" s="6952"/>
      <c r="BW34" s="6952"/>
      <c r="BX34" s="6952"/>
      <c r="BY34" s="7153" t="s">
        <v>543</v>
      </c>
      <c r="BZ34" s="6952"/>
      <c r="CA34" s="6952"/>
      <c r="CB34" s="6952"/>
      <c r="CC34" s="6952"/>
      <c r="CD34" s="6952"/>
      <c r="CE34" s="6952"/>
      <c r="CF34" s="7153" t="s">
        <v>543</v>
      </c>
      <c r="CG34" s="6952"/>
      <c r="CH34" s="6952"/>
      <c r="CI34" s="6952"/>
      <c r="CJ34" s="6952"/>
      <c r="CK34" s="6952"/>
      <c r="CL34" s="6952"/>
      <c r="CM34" s="7153" t="s">
        <v>543</v>
      </c>
      <c r="CN34" s="23674"/>
      <c r="CO34" s="23674"/>
      <c r="CP34" s="23674"/>
      <c r="CQ34" s="23674"/>
      <c r="CR34" s="23674"/>
      <c r="CS34" s="23674"/>
      <c r="CT34" s="23922" t="s">
        <v>543</v>
      </c>
      <c r="CW34" s="880"/>
      <c r="CX34" s="880"/>
      <c r="CY34" s="880"/>
      <c r="CZ34" s="880"/>
      <c r="DA34" s="880"/>
      <c r="DB34" s="930">
        <v>1</v>
      </c>
    </row>
    <row customHeight="1" ht="2.6666641235351562">
      <c r="Q35" s="888"/>
      <c r="R35" s="888"/>
      <c r="S35" s="1787"/>
      <c r="T35" s="875"/>
      <c r="U35" s="1756"/>
      <c r="V35" s="2764"/>
      <c r="W35" s="2764"/>
      <c r="X35" s="2764"/>
      <c r="Y35" s="2764"/>
      <c r="Z35" s="2764"/>
      <c r="AA35" s="2764"/>
      <c r="AB35" s="2764"/>
      <c r="AC35" s="2764"/>
      <c r="AD35" s="2764"/>
      <c r="AE35" s="2764"/>
      <c r="AF35" s="2764"/>
      <c r="AG35" s="2764"/>
      <c r="AH35" s="2764"/>
      <c r="AI35" s="2764"/>
      <c r="AJ35" s="7154" t="s">
        <v>106</v>
      </c>
      <c r="AK35" s="7154"/>
      <c r="AL35" s="7154"/>
      <c r="AM35" s="7154"/>
      <c r="AN35" s="7154"/>
      <c r="AO35" s="7154"/>
      <c r="AP35" s="7154"/>
      <c r="AQ35" s="7154" t="s">
        <v>106</v>
      </c>
      <c r="AR35" s="7154"/>
      <c r="AS35" s="7154"/>
      <c r="AT35" s="7154"/>
      <c r="AU35" s="7154"/>
      <c r="AV35" s="7154"/>
      <c r="AW35" s="7154"/>
      <c r="AX35" s="7154" t="s">
        <v>106</v>
      </c>
      <c r="AY35" s="7154"/>
      <c r="AZ35" s="7154"/>
      <c r="BA35" s="7154"/>
      <c r="BB35" s="7154"/>
      <c r="BC35" s="7154"/>
      <c r="BD35" s="7154"/>
      <c r="BE35" s="7154" t="s">
        <v>106</v>
      </c>
      <c r="BF35" s="7154"/>
      <c r="BG35" s="7154"/>
      <c r="BH35" s="7154"/>
      <c r="BI35" s="7154"/>
      <c r="BJ35" s="7154"/>
      <c r="BK35" s="7154"/>
      <c r="BL35" s="7154" t="s">
        <v>106</v>
      </c>
      <c r="BM35" s="7154"/>
      <c r="BN35" s="7154"/>
      <c r="BO35" s="7154"/>
      <c r="BP35" s="7154"/>
      <c r="BQ35" s="7154"/>
      <c r="BR35" s="7154"/>
      <c r="BS35" s="7154" t="s">
        <v>106</v>
      </c>
      <c r="BT35" s="7154"/>
      <c r="BU35" s="7154"/>
      <c r="BV35" s="7154"/>
      <c r="BW35" s="7154"/>
      <c r="BX35" s="7154"/>
      <c r="BY35" s="7154"/>
      <c r="BZ35" s="7154" t="s">
        <v>106</v>
      </c>
      <c r="CA35" s="7154"/>
      <c r="CB35" s="7154"/>
      <c r="CC35" s="7154"/>
      <c r="CD35" s="7154"/>
      <c r="CE35" s="7154"/>
      <c r="CF35" s="7154"/>
      <c r="CG35" s="7154" t="s">
        <v>106</v>
      </c>
      <c r="CH35" s="7154"/>
      <c r="CI35" s="7154"/>
      <c r="CJ35" s="7154"/>
      <c r="CK35" s="7154"/>
      <c r="CL35" s="7154"/>
      <c r="CM35" s="7154"/>
      <c r="CN35" s="23924" t="s">
        <v>106</v>
      </c>
      <c r="CO35" s="23924"/>
      <c r="CP35" s="23924"/>
      <c r="CQ35" s="23924"/>
      <c r="CR35" s="23924"/>
      <c r="CS35" s="23924"/>
      <c r="CT35" s="23924"/>
      <c r="DB35" s="1667">
        <v>14</v>
      </c>
    </row>
    <row customHeight="1" ht="0">
      <c r="Q36" s="888"/>
      <c r="R36" s="888"/>
      <c r="S36" s="2639" t="s">
        <v>418</v>
      </c>
      <c r="T36" s="2639"/>
      <c r="U36" s="2639"/>
      <c r="V36" s="2639"/>
      <c r="W36" s="2639"/>
      <c r="X36" s="2639"/>
      <c r="Y36" s="2639"/>
      <c r="Z36" s="2639"/>
      <c r="AA36" s="2639"/>
      <c r="AB36" s="2639"/>
      <c r="AC36" s="2639"/>
      <c r="AD36" s="2639"/>
      <c r="AE36" s="2639"/>
      <c r="AF36" s="2639"/>
      <c r="AG36" s="2639"/>
      <c r="AH36" s="2639"/>
      <c r="AI36" s="2639"/>
      <c r="AJ36" s="7155" t="s">
        <v>418</v>
      </c>
      <c r="AK36" s="7155"/>
      <c r="AL36" s="7155"/>
      <c r="AM36" s="7155"/>
      <c r="AN36" s="7155"/>
      <c r="AO36" s="7155"/>
      <c r="AP36" s="7155"/>
      <c r="AQ36" s="7155" t="s">
        <v>418</v>
      </c>
      <c r="AR36" s="7155"/>
      <c r="AS36" s="7155"/>
      <c r="AT36" s="7155"/>
      <c r="AU36" s="7155"/>
      <c r="AV36" s="7155"/>
      <c r="AW36" s="7155"/>
      <c r="AX36" s="7155" t="s">
        <v>418</v>
      </c>
      <c r="AY36" s="7155"/>
      <c r="AZ36" s="7155"/>
      <c r="BA36" s="7155"/>
      <c r="BB36" s="7155"/>
      <c r="BC36" s="7155"/>
      <c r="BD36" s="7155"/>
      <c r="BE36" s="7155" t="s">
        <v>418</v>
      </c>
      <c r="BF36" s="7155"/>
      <c r="BG36" s="7155"/>
      <c r="BH36" s="7155"/>
      <c r="BI36" s="7155"/>
      <c r="BJ36" s="7155"/>
      <c r="BK36" s="7155"/>
      <c r="BL36" s="7155" t="s">
        <v>418</v>
      </c>
      <c r="BM36" s="7155"/>
      <c r="BN36" s="7155"/>
      <c r="BO36" s="7155"/>
      <c r="BP36" s="7155"/>
      <c r="BQ36" s="7155"/>
      <c r="BR36" s="7155"/>
      <c r="BS36" s="7155" t="s">
        <v>418</v>
      </c>
      <c r="BT36" s="7155"/>
      <c r="BU36" s="7155"/>
      <c r="BV36" s="7155"/>
      <c r="BW36" s="7155"/>
      <c r="BX36" s="7155"/>
      <c r="BY36" s="7155"/>
      <c r="BZ36" s="7155" t="s">
        <v>418</v>
      </c>
      <c r="CA36" s="7155"/>
      <c r="CB36" s="7155"/>
      <c r="CC36" s="7155"/>
      <c r="CD36" s="7155"/>
      <c r="CE36" s="7155"/>
      <c r="CF36" s="7155"/>
      <c r="CG36" s="7155" t="s">
        <v>418</v>
      </c>
      <c r="CH36" s="7155"/>
      <c r="CI36" s="7155"/>
      <c r="CJ36" s="7155"/>
      <c r="CK36" s="7155"/>
      <c r="CL36" s="7155"/>
      <c r="CM36" s="7155"/>
      <c r="CN36" s="23926" t="s">
        <v>418</v>
      </c>
      <c r="CO36" s="23926"/>
      <c r="CP36" s="23926"/>
      <c r="CQ36" s="23926"/>
      <c r="CR36" s="23926"/>
      <c r="CS36" s="23926"/>
      <c r="CT36" s="23926"/>
      <c r="CU36" s="2639"/>
      <c r="CV36" s="2639"/>
      <c r="DB36" s="1667"/>
    </row>
    <row customHeight="1" ht="14.699999999999998">
      <c r="Q37" s="888"/>
      <c r="R37" s="888"/>
      <c r="S37" s="2785" t="s">
        <v>90</v>
      </c>
      <c r="T37" s="2721" t="s">
        <v>544</v>
      </c>
      <c r="U37" s="813"/>
      <c r="V37" s="2786" t="s">
        <v>545</v>
      </c>
      <c r="W37" s="2787"/>
      <c r="X37" s="2787"/>
      <c r="Y37" s="2787"/>
      <c r="Z37" s="2787"/>
      <c r="AA37" s="2788"/>
      <c r="AB37" s="2789" t="s">
        <v>546</v>
      </c>
      <c r="AC37" s="2786" t="s">
        <v>545</v>
      </c>
      <c r="AD37" s="2787"/>
      <c r="AE37" s="2787"/>
      <c r="AF37" s="2787"/>
      <c r="AG37" s="2787"/>
      <c r="AH37" s="2788"/>
      <c r="AI37" s="2789" t="s">
        <v>547</v>
      </c>
      <c r="AJ37" s="7156" t="s">
        <v>545</v>
      </c>
      <c r="AK37" s="7157"/>
      <c r="AL37" s="7157"/>
      <c r="AM37" s="7157"/>
      <c r="AN37" s="7157"/>
      <c r="AO37" s="7158"/>
      <c r="AP37" s="7159" t="s">
        <v>546</v>
      </c>
      <c r="AQ37" s="7156" t="s">
        <v>545</v>
      </c>
      <c r="AR37" s="7157"/>
      <c r="AS37" s="7157"/>
      <c r="AT37" s="7157"/>
      <c r="AU37" s="7157"/>
      <c r="AV37" s="7158"/>
      <c r="AW37" s="7159" t="s">
        <v>546</v>
      </c>
      <c r="AX37" s="7156" t="s">
        <v>545</v>
      </c>
      <c r="AY37" s="7157"/>
      <c r="AZ37" s="7157"/>
      <c r="BA37" s="7157"/>
      <c r="BB37" s="7157"/>
      <c r="BC37" s="7158"/>
      <c r="BD37" s="7159" t="s">
        <v>546</v>
      </c>
      <c r="BE37" s="7156" t="s">
        <v>545</v>
      </c>
      <c r="BF37" s="7157"/>
      <c r="BG37" s="7157"/>
      <c r="BH37" s="7157"/>
      <c r="BI37" s="7157"/>
      <c r="BJ37" s="7158"/>
      <c r="BK37" s="7159" t="s">
        <v>546</v>
      </c>
      <c r="BL37" s="7156" t="s">
        <v>545</v>
      </c>
      <c r="BM37" s="7157"/>
      <c r="BN37" s="7157"/>
      <c r="BO37" s="7157"/>
      <c r="BP37" s="7157"/>
      <c r="BQ37" s="7158"/>
      <c r="BR37" s="7159" t="s">
        <v>546</v>
      </c>
      <c r="BS37" s="7156" t="s">
        <v>545</v>
      </c>
      <c r="BT37" s="7157"/>
      <c r="BU37" s="7157"/>
      <c r="BV37" s="7157"/>
      <c r="BW37" s="7157"/>
      <c r="BX37" s="7158"/>
      <c r="BY37" s="7159" t="s">
        <v>546</v>
      </c>
      <c r="BZ37" s="7156" t="s">
        <v>545</v>
      </c>
      <c r="CA37" s="7157"/>
      <c r="CB37" s="7157"/>
      <c r="CC37" s="7157"/>
      <c r="CD37" s="7157"/>
      <c r="CE37" s="7158"/>
      <c r="CF37" s="7159" t="s">
        <v>546</v>
      </c>
      <c r="CG37" s="7156" t="s">
        <v>545</v>
      </c>
      <c r="CH37" s="7157"/>
      <c r="CI37" s="7157"/>
      <c r="CJ37" s="7157"/>
      <c r="CK37" s="7157"/>
      <c r="CL37" s="7158"/>
      <c r="CM37" s="7159" t="s">
        <v>546</v>
      </c>
      <c r="CN37" s="23931" t="s">
        <v>545</v>
      </c>
      <c r="CO37" s="23932"/>
      <c r="CP37" s="23932"/>
      <c r="CQ37" s="23932"/>
      <c r="CR37" s="23932"/>
      <c r="CS37" s="23933"/>
      <c r="CT37" s="23934" t="s">
        <v>546</v>
      </c>
      <c r="CU37" s="2792" t="s">
        <v>548</v>
      </c>
      <c r="CV37" s="2639"/>
      <c r="DB37" s="1667">
        <v>14</v>
      </c>
    </row>
    <row customHeight="1" ht="15.99999745686849">
      <c r="Q38" s="888"/>
      <c r="R38" s="888"/>
      <c r="S38" s="2785"/>
      <c r="T38" s="2721"/>
      <c r="U38" s="1543"/>
      <c r="V38" s="1995" t="s">
        <v>604</v>
      </c>
      <c r="W38" s="2774" t="s">
        <v>551</v>
      </c>
      <c r="X38" s="2775"/>
      <c r="Y38" s="2774" t="s">
        <v>552</v>
      </c>
      <c r="Z38" s="2781"/>
      <c r="AA38" s="2775"/>
      <c r="AB38" s="2790"/>
      <c r="AC38" s="1995" t="s">
        <v>604</v>
      </c>
      <c r="AD38" s="2774" t="s">
        <v>551</v>
      </c>
      <c r="AE38" s="2775"/>
      <c r="AF38" s="2774" t="s">
        <v>552</v>
      </c>
      <c r="AG38" s="2781"/>
      <c r="AH38" s="2775"/>
      <c r="AI38" s="2790"/>
      <c r="AJ38" s="7161" t="s">
        <v>604</v>
      </c>
      <c r="AK38" s="7162" t="s">
        <v>551</v>
      </c>
      <c r="AL38" s="7163"/>
      <c r="AM38" s="7162" t="s">
        <v>552</v>
      </c>
      <c r="AN38" s="7164"/>
      <c r="AO38" s="7163"/>
      <c r="AP38" s="7165"/>
      <c r="AQ38" s="7161" t="s">
        <v>604</v>
      </c>
      <c r="AR38" s="7162" t="s">
        <v>551</v>
      </c>
      <c r="AS38" s="7163"/>
      <c r="AT38" s="7162" t="s">
        <v>552</v>
      </c>
      <c r="AU38" s="7164"/>
      <c r="AV38" s="7163"/>
      <c r="AW38" s="7165"/>
      <c r="AX38" s="7161" t="s">
        <v>604</v>
      </c>
      <c r="AY38" s="7162" t="s">
        <v>551</v>
      </c>
      <c r="AZ38" s="7163"/>
      <c r="BA38" s="7162" t="s">
        <v>552</v>
      </c>
      <c r="BB38" s="7164"/>
      <c r="BC38" s="7163"/>
      <c r="BD38" s="7165"/>
      <c r="BE38" s="7161" t="s">
        <v>604</v>
      </c>
      <c r="BF38" s="7162" t="s">
        <v>551</v>
      </c>
      <c r="BG38" s="7163"/>
      <c r="BH38" s="7162" t="s">
        <v>552</v>
      </c>
      <c r="BI38" s="7164"/>
      <c r="BJ38" s="7163"/>
      <c r="BK38" s="7165"/>
      <c r="BL38" s="7161" t="s">
        <v>604</v>
      </c>
      <c r="BM38" s="7162" t="s">
        <v>551</v>
      </c>
      <c r="BN38" s="7163"/>
      <c r="BO38" s="7162" t="s">
        <v>552</v>
      </c>
      <c r="BP38" s="7164"/>
      <c r="BQ38" s="7163"/>
      <c r="BR38" s="7165"/>
      <c r="BS38" s="7161" t="s">
        <v>604</v>
      </c>
      <c r="BT38" s="7162" t="s">
        <v>551</v>
      </c>
      <c r="BU38" s="7163"/>
      <c r="BV38" s="7162" t="s">
        <v>552</v>
      </c>
      <c r="BW38" s="7164"/>
      <c r="BX38" s="7163"/>
      <c r="BY38" s="7165"/>
      <c r="BZ38" s="7161" t="s">
        <v>604</v>
      </c>
      <c r="CA38" s="7162" t="s">
        <v>551</v>
      </c>
      <c r="CB38" s="7163"/>
      <c r="CC38" s="7162" t="s">
        <v>552</v>
      </c>
      <c r="CD38" s="7164"/>
      <c r="CE38" s="7163"/>
      <c r="CF38" s="7165"/>
      <c r="CG38" s="7161" t="s">
        <v>604</v>
      </c>
      <c r="CH38" s="7162" t="s">
        <v>551</v>
      </c>
      <c r="CI38" s="7163"/>
      <c r="CJ38" s="7162" t="s">
        <v>552</v>
      </c>
      <c r="CK38" s="7164"/>
      <c r="CL38" s="7163"/>
      <c r="CM38" s="7165"/>
      <c r="CN38" s="23941" t="s">
        <v>604</v>
      </c>
      <c r="CO38" s="23942" t="s">
        <v>551</v>
      </c>
      <c r="CP38" s="23943"/>
      <c r="CQ38" s="23942" t="s">
        <v>552</v>
      </c>
      <c r="CR38" s="23944"/>
      <c r="CS38" s="23943"/>
      <c r="CT38" s="23945"/>
      <c r="CU38" s="2793"/>
      <c r="CV38" s="2639"/>
      <c r="DB38" s="1667">
        <v>34</v>
      </c>
    </row>
    <row customHeight="1" ht="55.166664123535156">
      <c r="A39" s="1882"/>
      <c r="B39" s="1882" t="s">
        <v>191</v>
      </c>
      <c r="C39" s="1882" t="s">
        <v>192</v>
      </c>
      <c r="D39" s="1882" t="s">
        <v>193</v>
      </c>
      <c r="E39" s="1876" t="s">
        <v>553</v>
      </c>
      <c r="F39" s="1876" t="s">
        <v>554</v>
      </c>
      <c r="G39" s="1876" t="s">
        <v>555</v>
      </c>
      <c r="H39" s="1876"/>
      <c r="I39" s="1876" t="s">
        <v>605</v>
      </c>
      <c r="J39" s="1876" t="s">
        <v>558</v>
      </c>
      <c r="K39" s="1876" t="s">
        <v>606</v>
      </c>
      <c r="L39" s="1876" t="s">
        <v>534</v>
      </c>
      <c r="Q39" s="888"/>
      <c r="R39" s="888"/>
      <c r="S39" s="2785"/>
      <c r="T39" s="2721"/>
      <c r="U39" s="814"/>
      <c r="V39" s="1995" t="s">
        <v>633</v>
      </c>
      <c r="W39" s="1734" t="s">
        <v>634</v>
      </c>
      <c r="X39" s="1734" t="s">
        <v>609</v>
      </c>
      <c r="Y39" s="2001" t="s">
        <v>562</v>
      </c>
      <c r="Z39" s="2782" t="s">
        <v>563</v>
      </c>
      <c r="AA39" s="2783"/>
      <c r="AB39" s="2791"/>
      <c r="AC39" s="1995" t="s">
        <v>633</v>
      </c>
      <c r="AD39" s="1734" t="s">
        <v>634</v>
      </c>
      <c r="AE39" s="1734" t="s">
        <v>609</v>
      </c>
      <c r="AF39" s="2001" t="s">
        <v>562</v>
      </c>
      <c r="AG39" s="2782" t="s">
        <v>563</v>
      </c>
      <c r="AH39" s="2783"/>
      <c r="AI39" s="2791"/>
      <c r="AJ39" s="7161" t="s">
        <v>633</v>
      </c>
      <c r="AK39" s="7167" t="s">
        <v>634</v>
      </c>
      <c r="AL39" s="7167" t="s">
        <v>609</v>
      </c>
      <c r="AM39" s="7167" t="s">
        <v>562</v>
      </c>
      <c r="AN39" s="7168" t="s">
        <v>563</v>
      </c>
      <c r="AO39" s="7169"/>
      <c r="AP39" s="7170"/>
      <c r="AQ39" s="7161" t="s">
        <v>633</v>
      </c>
      <c r="AR39" s="7167" t="s">
        <v>634</v>
      </c>
      <c r="AS39" s="7167" t="s">
        <v>609</v>
      </c>
      <c r="AT39" s="7167" t="s">
        <v>562</v>
      </c>
      <c r="AU39" s="7168" t="s">
        <v>563</v>
      </c>
      <c r="AV39" s="7169"/>
      <c r="AW39" s="7170"/>
      <c r="AX39" s="7161" t="s">
        <v>633</v>
      </c>
      <c r="AY39" s="7167" t="s">
        <v>634</v>
      </c>
      <c r="AZ39" s="7167" t="s">
        <v>609</v>
      </c>
      <c r="BA39" s="7167" t="s">
        <v>562</v>
      </c>
      <c r="BB39" s="7168" t="s">
        <v>563</v>
      </c>
      <c r="BC39" s="7169"/>
      <c r="BD39" s="7170"/>
      <c r="BE39" s="7161" t="s">
        <v>633</v>
      </c>
      <c r="BF39" s="7167" t="s">
        <v>634</v>
      </c>
      <c r="BG39" s="7167" t="s">
        <v>609</v>
      </c>
      <c r="BH39" s="7167" t="s">
        <v>562</v>
      </c>
      <c r="BI39" s="7168" t="s">
        <v>563</v>
      </c>
      <c r="BJ39" s="7169"/>
      <c r="BK39" s="7170"/>
      <c r="BL39" s="7161" t="s">
        <v>633</v>
      </c>
      <c r="BM39" s="7167" t="s">
        <v>634</v>
      </c>
      <c r="BN39" s="7167" t="s">
        <v>609</v>
      </c>
      <c r="BO39" s="7167" t="s">
        <v>562</v>
      </c>
      <c r="BP39" s="7168" t="s">
        <v>563</v>
      </c>
      <c r="BQ39" s="7169"/>
      <c r="BR39" s="7170"/>
      <c r="BS39" s="7161" t="s">
        <v>633</v>
      </c>
      <c r="BT39" s="7167" t="s">
        <v>634</v>
      </c>
      <c r="BU39" s="7167" t="s">
        <v>609</v>
      </c>
      <c r="BV39" s="7167" t="s">
        <v>562</v>
      </c>
      <c r="BW39" s="7168" t="s">
        <v>563</v>
      </c>
      <c r="BX39" s="7169"/>
      <c r="BY39" s="7170"/>
      <c r="BZ39" s="7161" t="s">
        <v>633</v>
      </c>
      <c r="CA39" s="7167" t="s">
        <v>634</v>
      </c>
      <c r="CB39" s="7167" t="s">
        <v>609</v>
      </c>
      <c r="CC39" s="7167" t="s">
        <v>562</v>
      </c>
      <c r="CD39" s="7168" t="s">
        <v>563</v>
      </c>
      <c r="CE39" s="7169"/>
      <c r="CF39" s="7170"/>
      <c r="CG39" s="7161" t="s">
        <v>633</v>
      </c>
      <c r="CH39" s="7167" t="s">
        <v>634</v>
      </c>
      <c r="CI39" s="7167" t="s">
        <v>609</v>
      </c>
      <c r="CJ39" s="7167" t="s">
        <v>562</v>
      </c>
      <c r="CK39" s="7168" t="s">
        <v>563</v>
      </c>
      <c r="CL39" s="7169"/>
      <c r="CM39" s="7170"/>
      <c r="CN39" s="23941" t="s">
        <v>633</v>
      </c>
      <c r="CO39" s="23951" t="s">
        <v>634</v>
      </c>
      <c r="CP39" s="23951" t="s">
        <v>609</v>
      </c>
      <c r="CQ39" s="23951" t="s">
        <v>562</v>
      </c>
      <c r="CR39" s="23952" t="s">
        <v>563</v>
      </c>
      <c r="CS39" s="23953"/>
      <c r="CT39" s="23954"/>
      <c r="CU39" s="2794"/>
      <c r="CV39" s="2639"/>
      <c r="DB39" s="1667">
        <v>86</v>
      </c>
    </row>
    <row s="47496" customFormat="1" customHeight="1" ht="11.25" hidden="1">
      <c r="A40" s="1882"/>
      <c r="B40" s="1882"/>
      <c r="C40" s="1882"/>
      <c r="D40" s="1882"/>
      <c r="E40" s="1882"/>
      <c r="F40" s="1882"/>
      <c r="G40" s="1882"/>
      <c r="H40" s="1882"/>
      <c r="I40" s="1882"/>
      <c r="J40" s="1882"/>
      <c r="K40" s="1882"/>
      <c r="L40" s="1876"/>
      <c r="M40" s="1874"/>
      <c r="N40" s="1874"/>
      <c r="O40" s="1874"/>
      <c r="P40" s="1758"/>
      <c r="Q40" s="1759"/>
      <c r="R40" s="1766">
        <v>1</v>
      </c>
      <c r="S40" s="1789" t="s">
        <v>101</v>
      </c>
      <c r="T40" s="1767" t="s">
        <v>105</v>
      </c>
      <c r="U40" s="1757" t="str">
        <f>OFFSET(U40,0,-1)</f>
        <v>2</v>
      </c>
      <c r="V40" s="1994">
        <f>OFFSET(V40,0,-1)+1</f>
        <v>3</v>
      </c>
      <c r="W40" s="1994">
        <f>OFFSET(W40,0,-1)+1</f>
        <v>4</v>
      </c>
      <c r="X40" s="1994">
        <f>OFFSET(X40,0,-1)+1</f>
        <v>5</v>
      </c>
      <c r="Y40" s="1994">
        <f>OFFSET(Y40,0,-1)+1</f>
        <v>6</v>
      </c>
      <c r="Z40" s="2784">
        <f>OFFSET(Z40,0,-1)+1</f>
        <v>7</v>
      </c>
      <c r="AA40" s="2784"/>
      <c r="AB40" s="1994">
        <f>OFFSET(AB40,0,-2)+1</f>
        <v>8</v>
      </c>
      <c r="AC40" s="1994">
        <f>OFFSET(AC40,0,-1)+1</f>
        <v>9</v>
      </c>
      <c r="AD40" s="1994">
        <f>OFFSET(AD40,0,-1)+1</f>
        <v>10</v>
      </c>
      <c r="AE40" s="1994">
        <f>OFFSET(AE40,0,-1)+1</f>
        <v>11</v>
      </c>
      <c r="AF40" s="1994">
        <f>OFFSET(AF40,0,-1)+1</f>
        <v>12</v>
      </c>
      <c r="AG40" s="2784">
        <f>OFFSET(AG40,0,-1)+1</f>
        <v>13</v>
      </c>
      <c r="AH40" s="2784"/>
      <c r="AI40" s="1994">
        <f>OFFSET(AI40,0,-2)+1</f>
        <v>14</v>
      </c>
      <c r="AJ40" s="7172">
        <f>OFFSET(AJ40,0,-1)+1</f>
        <v>15</v>
      </c>
      <c r="AK40" s="7172">
        <f>OFFSET(AK40,0,-1)+1</f>
        <v>16</v>
      </c>
      <c r="AL40" s="7172">
        <f>OFFSET(AL40,0,-1)+1</f>
        <v>17</v>
      </c>
      <c r="AM40" s="7172">
        <f>OFFSET(AM40,0,-1)+1</f>
        <v>18</v>
      </c>
      <c r="AN40" s="7172">
        <f>OFFSET(AN40,0,-1)+1</f>
        <v>19</v>
      </c>
      <c r="AO40" s="7172"/>
      <c r="AP40" s="7172">
        <f>OFFSET(AP40,0,-2)+1</f>
        <v>20</v>
      </c>
      <c r="AQ40" s="7172">
        <f>OFFSET(AQ40,0,-1)+1</f>
        <v>21</v>
      </c>
      <c r="AR40" s="7172">
        <f>OFFSET(AR40,0,-1)+1</f>
        <v>22</v>
      </c>
      <c r="AS40" s="7172">
        <f>OFFSET(AS40,0,-1)+1</f>
        <v>23</v>
      </c>
      <c r="AT40" s="7172">
        <f>OFFSET(AT40,0,-1)+1</f>
        <v>24</v>
      </c>
      <c r="AU40" s="7172">
        <f>OFFSET(AU40,0,-1)+1</f>
        <v>25</v>
      </c>
      <c r="AV40" s="7172"/>
      <c r="AW40" s="7172">
        <f>OFFSET(AW40,0,-2)+1</f>
        <v>26</v>
      </c>
      <c r="AX40" s="7172">
        <f>OFFSET(AX40,0,-1)+1</f>
        <v>27</v>
      </c>
      <c r="AY40" s="7172">
        <f>OFFSET(AY40,0,-1)+1</f>
        <v>28</v>
      </c>
      <c r="AZ40" s="7172">
        <f>OFFSET(AZ40,0,-1)+1</f>
        <v>29</v>
      </c>
      <c r="BA40" s="7172">
        <f>OFFSET(BA40,0,-1)+1</f>
        <v>30</v>
      </c>
      <c r="BB40" s="7172">
        <f>OFFSET(BB40,0,-1)+1</f>
        <v>31</v>
      </c>
      <c r="BC40" s="7172"/>
      <c r="BD40" s="7172">
        <f>OFFSET(BD40,0,-2)+1</f>
        <v>32</v>
      </c>
      <c r="BE40" s="7172">
        <f>OFFSET(BE40,0,-1)+1</f>
        <v>33</v>
      </c>
      <c r="BF40" s="7172">
        <f>OFFSET(BF40,0,-1)+1</f>
        <v>34</v>
      </c>
      <c r="BG40" s="7172">
        <f>OFFSET(BG40,0,-1)+1</f>
        <v>35</v>
      </c>
      <c r="BH40" s="7172">
        <f>OFFSET(BH40,0,-1)+1</f>
        <v>36</v>
      </c>
      <c r="BI40" s="7172">
        <f>OFFSET(BI40,0,-1)+1</f>
        <v>37</v>
      </c>
      <c r="BJ40" s="7172"/>
      <c r="BK40" s="7172">
        <f>OFFSET(BK40,0,-2)+1</f>
        <v>38</v>
      </c>
      <c r="BL40" s="7172">
        <f>OFFSET(BL40,0,-1)+1</f>
        <v>39</v>
      </c>
      <c r="BM40" s="7172">
        <f>OFFSET(BM40,0,-1)+1</f>
        <v>40</v>
      </c>
      <c r="BN40" s="7172">
        <f>OFFSET(BN40,0,-1)+1</f>
        <v>41</v>
      </c>
      <c r="BO40" s="7172">
        <f>OFFSET(BO40,0,-1)+1</f>
        <v>42</v>
      </c>
      <c r="BP40" s="7172">
        <f>OFFSET(BP40,0,-1)+1</f>
        <v>43</v>
      </c>
      <c r="BQ40" s="7172"/>
      <c r="BR40" s="7172">
        <f>OFFSET(BR40,0,-2)+1</f>
        <v>44</v>
      </c>
      <c r="BS40" s="7172">
        <f>OFFSET(BS40,0,-1)+1</f>
        <v>45</v>
      </c>
      <c r="BT40" s="7172">
        <f>OFFSET(BT40,0,-1)+1</f>
        <v>46</v>
      </c>
      <c r="BU40" s="7172">
        <f>OFFSET(BU40,0,-1)+1</f>
        <v>47</v>
      </c>
      <c r="BV40" s="7172">
        <f>OFFSET(BV40,0,-1)+1</f>
        <v>48</v>
      </c>
      <c r="BW40" s="7172">
        <f>OFFSET(BW40,0,-1)+1</f>
        <v>49</v>
      </c>
      <c r="BX40" s="7172"/>
      <c r="BY40" s="7172">
        <f>OFFSET(BY40,0,-2)+1</f>
        <v>50</v>
      </c>
      <c r="BZ40" s="7172">
        <f>OFFSET(BZ40,0,-1)+1</f>
        <v>51</v>
      </c>
      <c r="CA40" s="7172">
        <f>OFFSET(CA40,0,-1)+1</f>
        <v>52</v>
      </c>
      <c r="CB40" s="7172">
        <f>OFFSET(CB40,0,-1)+1</f>
        <v>53</v>
      </c>
      <c r="CC40" s="7172">
        <f>OFFSET(CC40,0,-1)+1</f>
        <v>54</v>
      </c>
      <c r="CD40" s="7172">
        <f>OFFSET(CD40,0,-1)+1</f>
        <v>55</v>
      </c>
      <c r="CE40" s="7172"/>
      <c r="CF40" s="7172">
        <f>OFFSET(CF40,0,-2)+1</f>
        <v>56</v>
      </c>
      <c r="CG40" s="7172">
        <f>OFFSET(CG40,0,-1)+1</f>
        <v>57</v>
      </c>
      <c r="CH40" s="7172">
        <f>OFFSET(CH40,0,-1)+1</f>
        <v>58</v>
      </c>
      <c r="CI40" s="7172">
        <f>OFFSET(CI40,0,-1)+1</f>
        <v>59</v>
      </c>
      <c r="CJ40" s="7172">
        <f>OFFSET(CJ40,0,-1)+1</f>
        <v>60</v>
      </c>
      <c r="CK40" s="7172">
        <f>OFFSET(CK40,0,-1)+1</f>
        <v>61</v>
      </c>
      <c r="CL40" s="7172"/>
      <c r="CM40" s="7172">
        <f>OFFSET(CM40,0,-2)+1</f>
        <v>62</v>
      </c>
      <c r="CN40" s="23957">
        <f>OFFSET(CN40,0,-1)+1</f>
        <v>63</v>
      </c>
      <c r="CO40" s="23957">
        <f>OFFSET(CO40,0,-1)+1</f>
        <v>64</v>
      </c>
      <c r="CP40" s="23957">
        <f>OFFSET(CP40,0,-1)+1</f>
        <v>65</v>
      </c>
      <c r="CQ40" s="23957">
        <f>OFFSET(CQ40,0,-1)+1</f>
        <v>66</v>
      </c>
      <c r="CR40" s="23957">
        <f>OFFSET(CR40,0,-1)+1</f>
        <v>67</v>
      </c>
      <c r="CS40" s="23957"/>
      <c r="CT40" s="23957">
        <f>OFFSET(CT40,0,-2)+1</f>
        <v>68</v>
      </c>
      <c r="CU40" s="1757">
        <f>OFFSET(CU40,0,-1)</f>
        <v>68</v>
      </c>
      <c r="CV40" s="1994">
        <f>OFFSET(CV40,0,-1)+1</f>
        <v>69</v>
      </c>
      <c r="CW40" s="1023"/>
      <c r="CX40" s="1023"/>
      <c r="CY40" s="1023"/>
      <c r="CZ40" s="1023"/>
      <c r="DA40" s="1023"/>
      <c r="DB40" s="1008">
        <v>0</v>
      </c>
    </row>
    <row customHeight="1" ht="24">
      <c r="A41" s="1875" t="s">
        <v>318</v>
      </c>
      <c r="B41" s="1875"/>
      <c r="C41" s="1875"/>
      <c r="D41" s="1875"/>
      <c r="E41" s="2770">
        <v>1</v>
      </c>
      <c r="F41" s="1875"/>
      <c r="G41" s="1875"/>
      <c r="H41" s="1875"/>
      <c r="I41" s="1875"/>
      <c r="J41" s="1875"/>
      <c r="K41" s="1875"/>
      <c r="L41" s="1876"/>
      <c r="M41" s="1877"/>
      <c r="N41" s="1877"/>
      <c r="O41" s="1877"/>
      <c r="P41" s="873"/>
      <c r="Q41" s="872"/>
      <c r="R41" s="867"/>
      <c r="S41" s="2005">
        <f>INDEX(PT_DIFFERENTIATION_NUM_NTAR,MATCH(A41,PT_DIFFERENTIATION_NTAR_ID,0))</f>
        <v>1</v>
      </c>
      <c r="T41" s="810" t="s">
        <v>179</v>
      </c>
      <c r="U41" s="812"/>
      <c r="V41" s="2754"/>
      <c r="W41" s="2755"/>
      <c r="X41" s="2755"/>
      <c r="Y41" s="2755"/>
      <c r="Z41" s="2755"/>
      <c r="AA41" s="2755"/>
      <c r="AB41" s="2756"/>
      <c r="AC41" s="2754" t="str">
        <f>INDEX(PT_DIFFERENTIATION_NTAR,MATCH(A41,PT_DIFFERENTIATION_NTAR_ID,0))</f>
        <v>Тариф на водоотведение для потребителей КГУП "Примтеплоэнерго"</v>
      </c>
      <c r="AD41" s="2755"/>
      <c r="AE41" s="2755"/>
      <c r="AF41" s="2755"/>
      <c r="AG41" s="2755"/>
      <c r="AH41" s="2755"/>
      <c r="AI41" s="2755"/>
      <c r="AJ41" s="6954"/>
      <c r="AK41" s="6955"/>
      <c r="AL41" s="6955"/>
      <c r="AM41" s="6955"/>
      <c r="AN41" s="6955"/>
      <c r="AO41" s="6955"/>
      <c r="AP41" s="6956"/>
      <c r="AQ41" s="6954"/>
      <c r="AR41" s="6955"/>
      <c r="AS41" s="6955"/>
      <c r="AT41" s="6955"/>
      <c r="AU41" s="6955"/>
      <c r="AV41" s="6955"/>
      <c r="AW41" s="6956"/>
      <c r="AX41" s="6954"/>
      <c r="AY41" s="6955"/>
      <c r="AZ41" s="6955"/>
      <c r="BA41" s="6955"/>
      <c r="BB41" s="6955"/>
      <c r="BC41" s="6955"/>
      <c r="BD41" s="6956"/>
      <c r="BE41" s="6954"/>
      <c r="BF41" s="6955"/>
      <c r="BG41" s="6955"/>
      <c r="BH41" s="6955"/>
      <c r="BI41" s="6955"/>
      <c r="BJ41" s="6955"/>
      <c r="BK41" s="6956"/>
      <c r="BL41" s="6954"/>
      <c r="BM41" s="6955"/>
      <c r="BN41" s="6955"/>
      <c r="BO41" s="6955"/>
      <c r="BP41" s="6955"/>
      <c r="BQ41" s="6955"/>
      <c r="BR41" s="6956"/>
      <c r="BS41" s="6954"/>
      <c r="BT41" s="6955"/>
      <c r="BU41" s="6955"/>
      <c r="BV41" s="6955"/>
      <c r="BW41" s="6955"/>
      <c r="BX41" s="6955"/>
      <c r="BY41" s="6956"/>
      <c r="BZ41" s="6954"/>
      <c r="CA41" s="6955"/>
      <c r="CB41" s="6955"/>
      <c r="CC41" s="6955"/>
      <c r="CD41" s="6955"/>
      <c r="CE41" s="6955"/>
      <c r="CF41" s="6956"/>
      <c r="CG41" s="6954"/>
      <c r="CH41" s="6955"/>
      <c r="CI41" s="6955"/>
      <c r="CJ41" s="6955"/>
      <c r="CK41" s="6955"/>
      <c r="CL41" s="6955"/>
      <c r="CM41" s="6956"/>
      <c r="CN41" s="23679"/>
      <c r="CO41" s="23680"/>
      <c r="CP41" s="23680"/>
      <c r="CQ41" s="23680"/>
      <c r="CR41" s="23680"/>
      <c r="CS41" s="23680"/>
      <c r="CT41" s="23681"/>
      <c r="CU41" s="2756"/>
      <c r="CV41"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CX41" s="1012"/>
      <c r="CY41" s="1012" t="str">
        <f>IF(T41="","",T41)</f>
        <v>Наименование тарифа</v>
      </c>
      <c r="CZ41" s="1012"/>
      <c r="DA41" s="1012"/>
      <c r="DB41" s="1667">
        <v>23</v>
      </c>
    </row>
    <row customHeight="1" ht="24">
      <c r="A42" s="1875" t="s">
        <v>318</v>
      </c>
      <c r="B42" s="1875" t="s">
        <v>319</v>
      </c>
      <c r="C42" s="1875"/>
      <c r="D42" s="1875"/>
      <c r="E42" s="2771"/>
      <c r="F42" s="2770">
        <v>1</v>
      </c>
      <c r="G42" s="1875"/>
      <c r="H42" s="1875"/>
      <c r="I42" s="1875"/>
      <c r="J42" s="1875"/>
      <c r="K42" s="1875"/>
      <c r="L42" s="1876"/>
      <c r="M42" s="1877"/>
      <c r="N42" s="1877"/>
      <c r="O42" s="1877"/>
      <c r="P42" s="1999"/>
      <c r="Q42" s="864"/>
      <c r="R42" s="865"/>
      <c r="S42" s="2005" t="str">
        <f>INDEX(PT_DIFFERENTIATION_NUM_TER,MATCH(B42,PT_DIFFERENTIATION_TER_ID,0))</f>
        <v>1.1</v>
      </c>
      <c r="T42" s="820" t="s">
        <v>515</v>
      </c>
      <c r="U42" s="812"/>
      <c r="V42" s="2754"/>
      <c r="W42" s="2755"/>
      <c r="X42" s="2755"/>
      <c r="Y42" s="2755"/>
      <c r="Z42" s="2755"/>
      <c r="AA42" s="2755"/>
      <c r="AB42" s="2756"/>
      <c r="AC42" s="2754" t="str">
        <f>INDEX(PT_DIFFERENTIATION_TER,MATCH(B42,PT_DIFFERENTIATION_TER_ID,0))</f>
        <v>Территория 1</v>
      </c>
      <c r="AD42" s="2755"/>
      <c r="AE42" s="2755"/>
      <c r="AF42" s="2755"/>
      <c r="AG42" s="2755"/>
      <c r="AH42" s="2755"/>
      <c r="AI42" s="2755"/>
      <c r="AJ42" s="6954"/>
      <c r="AK42" s="6955"/>
      <c r="AL42" s="6955"/>
      <c r="AM42" s="6955"/>
      <c r="AN42" s="6955"/>
      <c r="AO42" s="6955"/>
      <c r="AP42" s="6956"/>
      <c r="AQ42" s="6954"/>
      <c r="AR42" s="6955"/>
      <c r="AS42" s="6955"/>
      <c r="AT42" s="6955"/>
      <c r="AU42" s="6955"/>
      <c r="AV42" s="6955"/>
      <c r="AW42" s="6956"/>
      <c r="AX42" s="6954"/>
      <c r="AY42" s="6955"/>
      <c r="AZ42" s="6955"/>
      <c r="BA42" s="6955"/>
      <c r="BB42" s="6955"/>
      <c r="BC42" s="6955"/>
      <c r="BD42" s="6956"/>
      <c r="BE42" s="6954"/>
      <c r="BF42" s="6955"/>
      <c r="BG42" s="6955"/>
      <c r="BH42" s="6955"/>
      <c r="BI42" s="6955"/>
      <c r="BJ42" s="6955"/>
      <c r="BK42" s="6956"/>
      <c r="BL42" s="6954"/>
      <c r="BM42" s="6955"/>
      <c r="BN42" s="6955"/>
      <c r="BO42" s="6955"/>
      <c r="BP42" s="6955"/>
      <c r="BQ42" s="6955"/>
      <c r="BR42" s="6956"/>
      <c r="BS42" s="6954"/>
      <c r="BT42" s="6955"/>
      <c r="BU42" s="6955"/>
      <c r="BV42" s="6955"/>
      <c r="BW42" s="6955"/>
      <c r="BX42" s="6955"/>
      <c r="BY42" s="6956"/>
      <c r="BZ42" s="6954"/>
      <c r="CA42" s="6955"/>
      <c r="CB42" s="6955"/>
      <c r="CC42" s="6955"/>
      <c r="CD42" s="6955"/>
      <c r="CE42" s="6955"/>
      <c r="CF42" s="6956"/>
      <c r="CG42" s="6954"/>
      <c r="CH42" s="6955"/>
      <c r="CI42" s="6955"/>
      <c r="CJ42" s="6955"/>
      <c r="CK42" s="6955"/>
      <c r="CL42" s="6955"/>
      <c r="CM42" s="6956"/>
      <c r="CN42" s="23679"/>
      <c r="CO42" s="23680"/>
      <c r="CP42" s="23680"/>
      <c r="CQ42" s="23680"/>
      <c r="CR42" s="23680"/>
      <c r="CS42" s="23680"/>
      <c r="CT42" s="23681"/>
      <c r="CU42" s="2756"/>
      <c r="CV42" s="1770" t="s">
        <v>516</v>
      </c>
      <c r="CX42" s="1012"/>
      <c r="CY42" s="1012" t="str">
        <f>IF(T42="","",T42)</f>
        <v>Территория действия тарифа</v>
      </c>
      <c r="CZ42" s="1012"/>
      <c r="DA42" s="1012"/>
      <c r="DB42" s="1667">
        <v>23</v>
      </c>
    </row>
    <row customHeight="1" ht="24">
      <c r="A43" s="1875" t="s">
        <v>318</v>
      </c>
      <c r="B43" s="1875" t="s">
        <v>319</v>
      </c>
      <c r="C43" s="1875" t="s">
        <v>320</v>
      </c>
      <c r="D43" s="1875"/>
      <c r="E43" s="2771"/>
      <c r="F43" s="2771"/>
      <c r="G43" s="2770">
        <v>1</v>
      </c>
      <c r="H43" s="1875"/>
      <c r="I43" s="1875"/>
      <c r="J43" s="1875"/>
      <c r="K43" s="1875"/>
      <c r="L43" s="1876"/>
      <c r="M43" s="1877"/>
      <c r="N43" s="1877"/>
      <c r="O43" s="1877"/>
      <c r="P43" s="866"/>
      <c r="Q43" s="864"/>
      <c r="R43" s="865"/>
      <c r="S43" s="2005" t="str">
        <f>INDEX(PT_DIFFERENTIATION_NUM_CS,MATCH(C43,PT_DIFFERENTIATION_CS_ID,0))</f>
        <v>1.1.1</v>
      </c>
      <c r="T43" s="821" t="s">
        <v>631</v>
      </c>
      <c r="U43" s="812"/>
      <c r="V43" s="2754"/>
      <c r="W43" s="2755"/>
      <c r="X43" s="2755"/>
      <c r="Y43" s="2755"/>
      <c r="Z43" s="2755"/>
      <c r="AA43" s="2755"/>
      <c r="AB43" s="2756"/>
      <c r="AC43" s="2754" t="str">
        <f>INDEX(PT_DIFFERENTIATION_CS,MATCH(C43,PT_DIFFERENTIATION_CS_ID,0))</f>
        <v>с. Анучино</v>
      </c>
      <c r="AD43" s="2755"/>
      <c r="AE43" s="2755"/>
      <c r="AF43" s="2755"/>
      <c r="AG43" s="2755"/>
      <c r="AH43" s="2755"/>
      <c r="AI43" s="2755"/>
      <c r="AJ43" s="6954"/>
      <c r="AK43" s="6955"/>
      <c r="AL43" s="6955"/>
      <c r="AM43" s="6955"/>
      <c r="AN43" s="6955"/>
      <c r="AO43" s="6955"/>
      <c r="AP43" s="6956"/>
      <c r="AQ43" s="6954"/>
      <c r="AR43" s="6955"/>
      <c r="AS43" s="6955"/>
      <c r="AT43" s="6955"/>
      <c r="AU43" s="6955"/>
      <c r="AV43" s="6955"/>
      <c r="AW43" s="6956"/>
      <c r="AX43" s="6954"/>
      <c r="AY43" s="6955"/>
      <c r="AZ43" s="6955"/>
      <c r="BA43" s="6955"/>
      <c r="BB43" s="6955"/>
      <c r="BC43" s="6955"/>
      <c r="BD43" s="6956"/>
      <c r="BE43" s="6954"/>
      <c r="BF43" s="6955"/>
      <c r="BG43" s="6955"/>
      <c r="BH43" s="6955"/>
      <c r="BI43" s="6955"/>
      <c r="BJ43" s="6955"/>
      <c r="BK43" s="6956"/>
      <c r="BL43" s="6954"/>
      <c r="BM43" s="6955"/>
      <c r="BN43" s="6955"/>
      <c r="BO43" s="6955"/>
      <c r="BP43" s="6955"/>
      <c r="BQ43" s="6955"/>
      <c r="BR43" s="6956"/>
      <c r="BS43" s="6954"/>
      <c r="BT43" s="6955"/>
      <c r="BU43" s="6955"/>
      <c r="BV43" s="6955"/>
      <c r="BW43" s="6955"/>
      <c r="BX43" s="6955"/>
      <c r="BY43" s="6956"/>
      <c r="BZ43" s="6954"/>
      <c r="CA43" s="6955"/>
      <c r="CB43" s="6955"/>
      <c r="CC43" s="6955"/>
      <c r="CD43" s="6955"/>
      <c r="CE43" s="6955"/>
      <c r="CF43" s="6956"/>
      <c r="CG43" s="6954"/>
      <c r="CH43" s="6955"/>
      <c r="CI43" s="6955"/>
      <c r="CJ43" s="6955"/>
      <c r="CK43" s="6955"/>
      <c r="CL43" s="6955"/>
      <c r="CM43" s="6956"/>
      <c r="CN43" s="23679"/>
      <c r="CO43" s="23680"/>
      <c r="CP43" s="23680"/>
      <c r="CQ43" s="23680"/>
      <c r="CR43" s="23680"/>
      <c r="CS43" s="23680"/>
      <c r="CT43" s="23681"/>
      <c r="CU43" s="2756"/>
      <c r="CV43" s="1770" t="s">
        <v>632</v>
      </c>
      <c r="CX43" s="1012"/>
      <c r="CY43" s="1012" t="str">
        <f>IF(T43="","",T43)</f>
        <v>Наименование централизованной системы водоотведения</v>
      </c>
      <c r="CZ43" s="1012"/>
      <c r="DA43" s="1012"/>
      <c r="DB43" s="1667">
        <v>23</v>
      </c>
    </row>
    <row customHeight="1" ht="24">
      <c r="A44" s="1875" t="s">
        <v>318</v>
      </c>
      <c r="B44" s="1875" t="s">
        <v>319</v>
      </c>
      <c r="C44" s="1875" t="s">
        <v>320</v>
      </c>
      <c r="D44" s="1875" t="s">
        <v>635</v>
      </c>
      <c r="E44" s="2771"/>
      <c r="F44" s="2771"/>
      <c r="G44" s="2771"/>
      <c r="H44" s="2771"/>
      <c r="I44" s="2768" t="str">
        <f>S43&amp;".1"</f>
        <v>1.1.1.1</v>
      </c>
      <c r="J44" s="1875"/>
      <c r="K44" s="1875"/>
      <c r="L44" s="1876"/>
      <c r="P44" s="2769">
        <v>1</v>
      </c>
      <c r="Q44" s="1993"/>
      <c r="R44" s="868"/>
      <c r="S44" s="2005" t="str">
        <f>$I44</f>
        <v>1.1.1.1</v>
      </c>
      <c r="T44" s="797" t="s">
        <v>598</v>
      </c>
      <c r="U44" s="812"/>
      <c r="V44" s="2862"/>
      <c r="W44" s="2863"/>
      <c r="X44" s="2863"/>
      <c r="Y44" s="2863"/>
      <c r="Z44" s="2863"/>
      <c r="AA44" s="2863"/>
      <c r="AB44" s="2864"/>
      <c r="AC44" s="2865"/>
      <c r="AD44" s="2866"/>
      <c r="AE44" s="2866"/>
      <c r="AF44" s="2866"/>
      <c r="AG44" s="2866"/>
      <c r="AH44" s="2866"/>
      <c r="AI44" s="2866"/>
      <c r="AJ44" s="6959"/>
      <c r="AK44" s="6960"/>
      <c r="AL44" s="6960"/>
      <c r="AM44" s="6960"/>
      <c r="AN44" s="6960"/>
      <c r="AO44" s="6960"/>
      <c r="AP44" s="6961"/>
      <c r="AQ44" s="6959"/>
      <c r="AR44" s="6960"/>
      <c r="AS44" s="6960"/>
      <c r="AT44" s="6960"/>
      <c r="AU44" s="6960"/>
      <c r="AV44" s="6960"/>
      <c r="AW44" s="6961"/>
      <c r="AX44" s="6959"/>
      <c r="AY44" s="6960"/>
      <c r="AZ44" s="6960"/>
      <c r="BA44" s="6960"/>
      <c r="BB44" s="6960"/>
      <c r="BC44" s="6960"/>
      <c r="BD44" s="6961"/>
      <c r="BE44" s="6959"/>
      <c r="BF44" s="6960"/>
      <c r="BG44" s="6960"/>
      <c r="BH44" s="6960"/>
      <c r="BI44" s="6960"/>
      <c r="BJ44" s="6960"/>
      <c r="BK44" s="6961"/>
      <c r="BL44" s="6959"/>
      <c r="BM44" s="6960"/>
      <c r="BN44" s="6960"/>
      <c r="BO44" s="6960"/>
      <c r="BP44" s="6960"/>
      <c r="BQ44" s="6960"/>
      <c r="BR44" s="6961"/>
      <c r="BS44" s="6959"/>
      <c r="BT44" s="6960"/>
      <c r="BU44" s="6960"/>
      <c r="BV44" s="6960"/>
      <c r="BW44" s="6960"/>
      <c r="BX44" s="6960"/>
      <c r="BY44" s="6961"/>
      <c r="BZ44" s="6959"/>
      <c r="CA44" s="6960"/>
      <c r="CB44" s="6960"/>
      <c r="CC44" s="6960"/>
      <c r="CD44" s="6960"/>
      <c r="CE44" s="6960"/>
      <c r="CF44" s="6961"/>
      <c r="CG44" s="6959"/>
      <c r="CH44" s="6960"/>
      <c r="CI44" s="6960"/>
      <c r="CJ44" s="6960"/>
      <c r="CK44" s="6960"/>
      <c r="CL44" s="6960"/>
      <c r="CM44" s="6961"/>
      <c r="CN44" s="23687"/>
      <c r="CO44" s="23688"/>
      <c r="CP44" s="23688"/>
      <c r="CQ44" s="23688"/>
      <c r="CR44" s="23688"/>
      <c r="CS44" s="23688"/>
      <c r="CT44" s="23689"/>
      <c r="CU44" s="2867"/>
      <c r="CV44" s="1770" t="s">
        <v>599</v>
      </c>
      <c r="CX44" s="1012"/>
      <c r="CY44" s="1012" t="str">
        <f>IF(T44="","",T44)</f>
        <v>Наименование признака дифференциации</v>
      </c>
      <c r="CZ44" s="1012"/>
      <c r="DA44" s="1012"/>
      <c r="DB44" s="1667">
        <v>23</v>
      </c>
    </row>
    <row customHeight="1" ht="24">
      <c r="A45" s="1875" t="s">
        <v>318</v>
      </c>
      <c r="B45" s="1875" t="s">
        <v>319</v>
      </c>
      <c r="C45" s="1875" t="s">
        <v>320</v>
      </c>
      <c r="D45" s="1875" t="s">
        <v>635</v>
      </c>
      <c r="E45" s="2771"/>
      <c r="F45" s="2771"/>
      <c r="G45" s="2771"/>
      <c r="H45" s="2771"/>
      <c r="I45" s="2798"/>
      <c r="J45" s="2768" t="str">
        <f>I44&amp;".1"</f>
        <v>1.1.1.1.1</v>
      </c>
      <c r="K45" s="1875"/>
      <c r="L45" s="1876" t="s">
        <v>524</v>
      </c>
      <c r="P45" s="2769"/>
      <c r="Q45" s="2769">
        <v>1</v>
      </c>
      <c r="R45" s="869"/>
      <c r="S45" s="2005" t="str">
        <f>$J45</f>
        <v>1.1.1.1.1</v>
      </c>
      <c r="T45" s="798" t="s">
        <v>525</v>
      </c>
      <c r="U45" s="812"/>
      <c r="V45" s="2757"/>
      <c r="W45" s="2758"/>
      <c r="X45" s="2758"/>
      <c r="Y45" s="2758"/>
      <c r="Z45" s="2758"/>
      <c r="AA45" s="2758"/>
      <c r="AB45" s="2759"/>
      <c r="AC45" s="2757" t="s">
        <v>636</v>
      </c>
      <c r="AD45" s="2758"/>
      <c r="AE45" s="2758"/>
      <c r="AF45" s="2758"/>
      <c r="AG45" s="2758"/>
      <c r="AH45" s="2758"/>
      <c r="AI45" s="2758"/>
      <c r="AJ45" s="6962"/>
      <c r="AK45" s="6963"/>
      <c r="AL45" s="6963"/>
      <c r="AM45" s="6963"/>
      <c r="AN45" s="6963"/>
      <c r="AO45" s="6963"/>
      <c r="AP45" s="6964"/>
      <c r="AQ45" s="6962"/>
      <c r="AR45" s="6963"/>
      <c r="AS45" s="6963"/>
      <c r="AT45" s="6963"/>
      <c r="AU45" s="6963"/>
      <c r="AV45" s="6963"/>
      <c r="AW45" s="6964"/>
      <c r="AX45" s="6962"/>
      <c r="AY45" s="6963"/>
      <c r="AZ45" s="6963"/>
      <c r="BA45" s="6963"/>
      <c r="BB45" s="6963"/>
      <c r="BC45" s="6963"/>
      <c r="BD45" s="6964"/>
      <c r="BE45" s="6962"/>
      <c r="BF45" s="6963"/>
      <c r="BG45" s="6963"/>
      <c r="BH45" s="6963"/>
      <c r="BI45" s="6963"/>
      <c r="BJ45" s="6963"/>
      <c r="BK45" s="6964"/>
      <c r="BL45" s="6962"/>
      <c r="BM45" s="6963"/>
      <c r="BN45" s="6963"/>
      <c r="BO45" s="6963"/>
      <c r="BP45" s="6963"/>
      <c r="BQ45" s="6963"/>
      <c r="BR45" s="6964"/>
      <c r="BS45" s="6962"/>
      <c r="BT45" s="6963"/>
      <c r="BU45" s="6963"/>
      <c r="BV45" s="6963"/>
      <c r="BW45" s="6963"/>
      <c r="BX45" s="6963"/>
      <c r="BY45" s="6964"/>
      <c r="BZ45" s="6962"/>
      <c r="CA45" s="6963"/>
      <c r="CB45" s="6963"/>
      <c r="CC45" s="6963"/>
      <c r="CD45" s="6963"/>
      <c r="CE45" s="6963"/>
      <c r="CF45" s="6964"/>
      <c r="CG45" s="6962"/>
      <c r="CH45" s="6963"/>
      <c r="CI45" s="6963"/>
      <c r="CJ45" s="6963"/>
      <c r="CK45" s="6963"/>
      <c r="CL45" s="6963"/>
      <c r="CM45" s="6964"/>
      <c r="CN45" s="23693"/>
      <c r="CO45" s="23694"/>
      <c r="CP45" s="23694"/>
      <c r="CQ45" s="23694"/>
      <c r="CR45" s="23694"/>
      <c r="CS45" s="23694"/>
      <c r="CT45" s="23695"/>
      <c r="CU45" s="2759"/>
      <c r="CV45" s="1819" t="s">
        <v>600</v>
      </c>
      <c r="CX45" s="1012"/>
      <c r="CY45" s="1012" t="str">
        <f>IF(T45="","",T45)</f>
        <v>Группа потребителей</v>
      </c>
      <c r="CZ45" s="1012"/>
      <c r="DA45" s="1012"/>
      <c r="DB45" s="1667">
        <v>23</v>
      </c>
    </row>
    <row customHeight="1" ht="24">
      <c r="A46" s="1875" t="s">
        <v>318</v>
      </c>
      <c r="B46" s="1875" t="s">
        <v>319</v>
      </c>
      <c r="C46" s="1875" t="s">
        <v>320</v>
      </c>
      <c r="D46" s="1875" t="s">
        <v>635</v>
      </c>
      <c r="E46" s="2771"/>
      <c r="F46" s="2771"/>
      <c r="G46" s="2771"/>
      <c r="H46" s="2771"/>
      <c r="I46" s="2798"/>
      <c r="J46" s="2798"/>
      <c r="K46" s="2768" t="str">
        <f>J45&amp;".1"</f>
        <v>1.1.1.1.1.1</v>
      </c>
      <c r="L46" s="1876"/>
      <c r="P46" s="2769"/>
      <c r="Q46" s="2769"/>
      <c r="R46" s="869">
        <v>1</v>
      </c>
      <c r="S46" s="2005" t="str">
        <f>$K46</f>
        <v>1.1.1.1.1.1</v>
      </c>
      <c r="T46" s="1949" t="s">
        <v>593</v>
      </c>
      <c r="U46" s="812"/>
      <c r="V46" s="6965"/>
      <c r="W46" s="6965"/>
      <c r="X46" s="6966"/>
      <c r="Y46" s="6967"/>
      <c r="Z46" s="6968" t="s">
        <v>63</v>
      </c>
      <c r="AA46" s="7173"/>
      <c r="AB46" s="6968" t="s">
        <v>63</v>
      </c>
      <c r="AC46" s="1263">
        <v>70.14</v>
      </c>
      <c r="AD46" s="1263"/>
      <c r="AE46" s="1769"/>
      <c r="AF46" s="16696">
        <v>45292.518171296295</v>
      </c>
      <c r="AG46" s="2619" t="s">
        <v>63</v>
      </c>
      <c r="AH46" s="16697">
        <v>45473.518425925926</v>
      </c>
      <c r="AI46" s="2619" t="s">
        <v>63</v>
      </c>
      <c r="AJ46" s="6965">
        <v>75.76</v>
      </c>
      <c r="AK46" s="6965"/>
      <c r="AL46" s="6966"/>
      <c r="AM46" s="16696">
        <v>45474.51949074074</v>
      </c>
      <c r="AN46" s="6968" t="s">
        <v>63</v>
      </c>
      <c r="AO46" s="16697">
        <v>45657.519733796296</v>
      </c>
      <c r="AP46" s="6968" t="s">
        <v>63</v>
      </c>
      <c r="AQ46" s="6965">
        <v>75.76</v>
      </c>
      <c r="AR46" s="6965"/>
      <c r="AS46" s="6966"/>
      <c r="AT46" s="16696">
        <v>45658.52023148148</v>
      </c>
      <c r="AU46" s="6968" t="s">
        <v>63</v>
      </c>
      <c r="AV46" s="16697">
        <v>45838.52033564815</v>
      </c>
      <c r="AW46" s="6968" t="s">
        <v>63</v>
      </c>
      <c r="AX46" s="6965">
        <v>79.69</v>
      </c>
      <c r="AY46" s="6965"/>
      <c r="AZ46" s="6966"/>
      <c r="BA46" s="16696">
        <v>45839.52082175926</v>
      </c>
      <c r="BB46" s="6968" t="s">
        <v>63</v>
      </c>
      <c r="BC46" s="16697">
        <v>46022.52103009259</v>
      </c>
      <c r="BD46" s="6968" t="s">
        <v>63</v>
      </c>
      <c r="BE46" s="6965">
        <v>79.69</v>
      </c>
      <c r="BF46" s="6965"/>
      <c r="BG46" s="6966"/>
      <c r="BH46" s="16696">
        <v>46023.52208333334</v>
      </c>
      <c r="BI46" s="6968" t="s">
        <v>63</v>
      </c>
      <c r="BJ46" s="16697">
        <v>46203.52287037037</v>
      </c>
      <c r="BK46" s="6968" t="s">
        <v>63</v>
      </c>
      <c r="BL46" s="6965">
        <v>85.52</v>
      </c>
      <c r="BM46" s="6965"/>
      <c r="BN46" s="6966"/>
      <c r="BO46" s="16696">
        <v>46204.52328703704</v>
      </c>
      <c r="BP46" s="6968" t="s">
        <v>63</v>
      </c>
      <c r="BQ46" s="16697">
        <v>46387.523564814815</v>
      </c>
      <c r="BR46" s="6968" t="s">
        <v>63</v>
      </c>
      <c r="BS46" s="6965">
        <v>83.59</v>
      </c>
      <c r="BT46" s="6965"/>
      <c r="BU46" s="6966"/>
      <c r="BV46" s="23702">
        <v>46388.524097222224</v>
      </c>
      <c r="BW46" s="6968" t="s">
        <v>63</v>
      </c>
      <c r="BX46" s="23961">
        <v>46568.52447916667</v>
      </c>
      <c r="BY46" s="6968" t="s">
        <v>63</v>
      </c>
      <c r="BZ46" s="6965">
        <v>83.59</v>
      </c>
      <c r="CA46" s="6965"/>
      <c r="CB46" s="6966"/>
      <c r="CC46" s="23702">
        <v>46569.52505787037</v>
      </c>
      <c r="CD46" s="6968" t="s">
        <v>63</v>
      </c>
      <c r="CE46" s="23961">
        <v>46752.52539351852</v>
      </c>
      <c r="CF46" s="6968" t="s">
        <v>63</v>
      </c>
      <c r="CG46" s="6965">
        <v>83.59</v>
      </c>
      <c r="CH46" s="6965"/>
      <c r="CI46" s="6966"/>
      <c r="CJ46" s="23702">
        <v>46753.52601851852</v>
      </c>
      <c r="CK46" s="6968" t="s">
        <v>63</v>
      </c>
      <c r="CL46" s="23961">
        <v>46934.52637731482</v>
      </c>
      <c r="CM46" s="6968" t="s">
        <v>63</v>
      </c>
      <c r="CN46" s="23700">
        <v>88.67</v>
      </c>
      <c r="CO46" s="23700"/>
      <c r="CP46" s="23701"/>
      <c r="CQ46" s="23702">
        <v>46935.47856481482</v>
      </c>
      <c r="CR46" s="23703" t="s">
        <v>63</v>
      </c>
      <c r="CS46" s="23961">
        <v>47118.47835648148</v>
      </c>
      <c r="CT46" s="23703" t="s">
        <v>63</v>
      </c>
      <c r="CU46" s="1950"/>
      <c r="CV46" s="28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46" s="1023">
        <f>STRCHECKDATE(V47:CU47)</f>
      </c>
      <c r="CX46" s="1012"/>
      <c r="CY46" s="1012" t="str">
        <f>IF(T46="","",T46)</f>
        <v>с НДС</v>
      </c>
      <c r="CZ46" s="1012"/>
      <c r="DA46" s="1012"/>
      <c r="DB46" s="1667">
        <v>23</v>
      </c>
    </row>
    <row customHeight="1" ht="20.25">
      <c r="A47" s="1875" t="s">
        <v>318</v>
      </c>
      <c r="B47" s="1875" t="s">
        <v>319</v>
      </c>
      <c r="C47" s="1875" t="s">
        <v>320</v>
      </c>
      <c r="D47" s="1875" t="s">
        <v>635</v>
      </c>
      <c r="E47" s="2771"/>
      <c r="F47" s="2771"/>
      <c r="G47" s="2771"/>
      <c r="H47" s="2771"/>
      <c r="I47" s="2798"/>
      <c r="J47" s="2798"/>
      <c r="K47" s="2768"/>
      <c r="L47" s="1876"/>
      <c r="P47" s="2769"/>
      <c r="Q47" s="2769"/>
      <c r="R47" s="869"/>
      <c r="S47" s="2002"/>
      <c r="T47" s="812"/>
      <c r="U47" s="812"/>
      <c r="V47" s="6970"/>
      <c r="W47" s="6970"/>
      <c r="X47" s="6971" t="str">
        <f>Y46&amp;"-"&amp;AA46</f>
        <v>-</v>
      </c>
      <c r="Y47" s="6972"/>
      <c r="Z47" s="6968"/>
      <c r="AA47" s="7174"/>
      <c r="AB47" s="6968"/>
      <c r="AC47" s="837"/>
      <c r="AD47" s="837"/>
      <c r="AE47" s="840" t="str">
        <f>AF46&amp;"-"&amp;AH46</f>
        <v>45292.518171296295-45473.518425925926</v>
      </c>
      <c r="AF47" s="2778"/>
      <c r="AG47" s="2619"/>
      <c r="AH47" s="2800"/>
      <c r="AI47" s="2619"/>
      <c r="AJ47" s="6970"/>
      <c r="AK47" s="6970"/>
      <c r="AL47" s="6971" t="str">
        <f>AM46&amp;"-"&amp;AO46</f>
        <v>45474.51949074074-45657.519733796296</v>
      </c>
      <c r="AM47" s="6972"/>
      <c r="AN47" s="6968"/>
      <c r="AO47" s="7174"/>
      <c r="AP47" s="6968"/>
      <c r="AQ47" s="6970"/>
      <c r="AR47" s="6970"/>
      <c r="AS47" s="6971" t="str">
        <f>AT46&amp;"-"&amp;AV46</f>
        <v>45658.52023148148-45838.52033564815</v>
      </c>
      <c r="AT47" s="6972"/>
      <c r="AU47" s="6968"/>
      <c r="AV47" s="7174"/>
      <c r="AW47" s="6968"/>
      <c r="AX47" s="6970"/>
      <c r="AY47" s="6970"/>
      <c r="AZ47" s="6971" t="str">
        <f>BA46&amp;"-"&amp;BC46</f>
        <v>45839.52082175926-46022.52103009259</v>
      </c>
      <c r="BA47" s="6972"/>
      <c r="BB47" s="6968"/>
      <c r="BC47" s="7174"/>
      <c r="BD47" s="6968"/>
      <c r="BE47" s="6970"/>
      <c r="BF47" s="6970"/>
      <c r="BG47" s="6971" t="str">
        <f>BH46&amp;"-"&amp;BJ46</f>
        <v>46023.52208333334-46203.52287037037</v>
      </c>
      <c r="BH47" s="6972"/>
      <c r="BI47" s="6968"/>
      <c r="BJ47" s="7174"/>
      <c r="BK47" s="6968"/>
      <c r="BL47" s="6970"/>
      <c r="BM47" s="6970"/>
      <c r="BN47" s="6971" t="str">
        <f>BO46&amp;"-"&amp;BQ46</f>
        <v>46204.52328703704-46387.523564814815</v>
      </c>
      <c r="BO47" s="6972"/>
      <c r="BP47" s="6968"/>
      <c r="BQ47" s="7174"/>
      <c r="BR47" s="6968"/>
      <c r="BS47" s="6970"/>
      <c r="BT47" s="6970"/>
      <c r="BU47" s="6971" t="str">
        <f>BV46&amp;"-"&amp;BX46</f>
        <v>46388.524097222224-46568.52447916667</v>
      </c>
      <c r="BV47" s="6972"/>
      <c r="BW47" s="6968"/>
      <c r="BX47" s="7174"/>
      <c r="BY47" s="6968"/>
      <c r="BZ47" s="6970"/>
      <c r="CA47" s="6970"/>
      <c r="CB47" s="6971" t="str">
        <f>CC46&amp;"-"&amp;CE46</f>
        <v>46569.52505787037-46752.52539351852</v>
      </c>
      <c r="CC47" s="6972"/>
      <c r="CD47" s="6968"/>
      <c r="CE47" s="7174"/>
      <c r="CF47" s="6968"/>
      <c r="CG47" s="6970"/>
      <c r="CH47" s="6970"/>
      <c r="CI47" s="6971" t="str">
        <f>CJ46&amp;"-"&amp;CL46</f>
        <v>46753.52601851852-46934.52637731482</v>
      </c>
      <c r="CJ47" s="6972"/>
      <c r="CK47" s="6968"/>
      <c r="CL47" s="7174"/>
      <c r="CM47" s="6968"/>
      <c r="CN47" s="23708"/>
      <c r="CO47" s="23708"/>
      <c r="CP47" s="23709" t="str">
        <f>CQ46&amp;"-"&amp;CS46</f>
        <v>46935.47856481482-47118.47835648148</v>
      </c>
      <c r="CQ47" s="23710"/>
      <c r="CR47" s="23703"/>
      <c r="CS47" s="23963"/>
      <c r="CT47" s="23703"/>
      <c r="CU47" s="1951"/>
      <c r="CV47" s="2861"/>
      <c r="CX47" s="1012"/>
      <c r="CY47" s="1012" t="str">
        <f>IF(T47="","",T47)</f>
        <v/>
      </c>
      <c r="CZ47" s="1012"/>
      <c r="DA47" s="1012"/>
      <c r="DB47" s="1667">
        <v>0</v>
      </c>
    </row>
    <row customHeight="1" ht="21">
      <c r="A48" s="1875" t="s">
        <v>318</v>
      </c>
      <c r="B48" s="1875" t="s">
        <v>319</v>
      </c>
      <c r="C48" s="1875" t="s">
        <v>320</v>
      </c>
      <c r="D48" s="1875" t="s">
        <v>635</v>
      </c>
      <c r="E48" s="2771"/>
      <c r="F48" s="2771"/>
      <c r="G48" s="2771"/>
      <c r="H48" s="2771"/>
      <c r="I48" s="2798"/>
      <c r="J48" s="2768"/>
      <c r="K48" s="1875"/>
      <c r="L48" s="1876"/>
      <c r="P48" s="2769"/>
      <c r="Q48" s="2769"/>
      <c r="R48" s="868"/>
      <c r="S48" s="1790"/>
      <c r="T48" s="799" t="s">
        <v>601</v>
      </c>
      <c r="U48" s="879"/>
      <c r="V48" s="879"/>
      <c r="W48" s="879"/>
      <c r="X48" s="879"/>
      <c r="Y48" s="879"/>
      <c r="Z48" s="879"/>
      <c r="AA48" s="879"/>
      <c r="AB48" s="879"/>
      <c r="AC48" s="879"/>
      <c r="AD48" s="879"/>
      <c r="AE48" s="879"/>
      <c r="AF48" s="879"/>
      <c r="AG48" s="879"/>
      <c r="AH48" s="879"/>
      <c r="AI48" s="879"/>
      <c r="AJ48" s="7175"/>
      <c r="AK48" s="7176"/>
      <c r="AL48" s="7177"/>
      <c r="AM48" s="7178"/>
      <c r="AN48" s="7179"/>
      <c r="AO48" s="7180"/>
      <c r="AP48" s="7181"/>
      <c r="AQ48" s="7182"/>
      <c r="AR48" s="7183"/>
      <c r="AS48" s="7184"/>
      <c r="AT48" s="7185"/>
      <c r="AU48" s="7186"/>
      <c r="AV48" s="7187"/>
      <c r="AW48" s="7188"/>
      <c r="AX48" s="7189"/>
      <c r="AY48" s="7190"/>
      <c r="AZ48" s="7191"/>
      <c r="BA48" s="7192"/>
      <c r="BB48" s="7193"/>
      <c r="BC48" s="7194"/>
      <c r="BD48" s="7195"/>
      <c r="BE48" s="7196"/>
      <c r="BF48" s="7197"/>
      <c r="BG48" s="7198"/>
      <c r="BH48" s="7199"/>
      <c r="BI48" s="7200"/>
      <c r="BJ48" s="7201"/>
      <c r="BK48" s="7202"/>
      <c r="BL48" s="7203"/>
      <c r="BM48" s="7204"/>
      <c r="BN48" s="7205"/>
      <c r="BO48" s="7206"/>
      <c r="BP48" s="7207"/>
      <c r="BQ48" s="7208"/>
      <c r="BR48" s="7209"/>
      <c r="BS48" s="7210"/>
      <c r="BT48" s="7211"/>
      <c r="BU48" s="7212"/>
      <c r="BV48" s="7213"/>
      <c r="BW48" s="7214"/>
      <c r="BX48" s="7215"/>
      <c r="BY48" s="7216"/>
      <c r="BZ48" s="7217"/>
      <c r="CA48" s="7218"/>
      <c r="CB48" s="7219"/>
      <c r="CC48" s="7220"/>
      <c r="CD48" s="7221"/>
      <c r="CE48" s="7222"/>
      <c r="CF48" s="7223"/>
      <c r="CG48" s="7224"/>
      <c r="CH48" s="7225"/>
      <c r="CI48" s="7226"/>
      <c r="CJ48" s="7227"/>
      <c r="CK48" s="7228"/>
      <c r="CL48" s="7229"/>
      <c r="CM48" s="7230"/>
      <c r="CN48" s="24020"/>
      <c r="CO48" s="24021"/>
      <c r="CP48" s="24022"/>
      <c r="CQ48" s="24023"/>
      <c r="CR48" s="24024"/>
      <c r="CS48" s="24025"/>
      <c r="CT48" s="24026"/>
      <c r="CU48" s="879"/>
      <c r="CV48" s="1770" t="s">
        <v>602</v>
      </c>
      <c r="CX48" s="1012"/>
      <c r="CY48" s="1012" t="str">
        <f>IF(T48="","",T48)</f>
        <v>Добавить значение признака дифференциации</v>
      </c>
      <c r="CZ48" s="1012"/>
      <c r="DA48" s="1012"/>
      <c r="DB48" s="1667">
        <v>20</v>
      </c>
    </row>
    <row s="48367" customFormat="1" customHeight="1" ht="23.25">
      <c r="A49" s="7232"/>
      <c r="B49" s="7232"/>
      <c r="C49" s="7232"/>
      <c r="D49" s="7232"/>
      <c r="E49" s="7233"/>
      <c r="F49" s="7233"/>
      <c r="G49" s="7233"/>
      <c r="H49" s="7233"/>
      <c r="I49" s="7234"/>
      <c r="J49" s="7235" t="str">
        <f>I44&amp;".2"</f>
        <v>1.1.1.1.2</v>
      </c>
      <c r="K49" s="7232"/>
      <c r="L49" s="7236" t="s">
        <v>524</v>
      </c>
      <c r="M49" s="7237"/>
      <c r="N49" s="7237"/>
      <c r="O49" s="7237"/>
      <c r="P49" s="7238"/>
      <c r="Q49" s="7239" t="s">
        <v>106</v>
      </c>
      <c r="R49" s="7240"/>
      <c r="S49" s="7241" t="str">
        <f>$J49</f>
        <v>1.1.1.1.2</v>
      </c>
      <c r="T49" s="7242" t="s">
        <v>525</v>
      </c>
      <c r="U49" s="7243"/>
      <c r="V49" s="6962"/>
      <c r="W49" s="6963"/>
      <c r="X49" s="6963"/>
      <c r="Y49" s="6963"/>
      <c r="Z49" s="6963"/>
      <c r="AA49" s="6963"/>
      <c r="AB49" s="6964"/>
      <c r="AC49" s="6962" t="s">
        <v>637</v>
      </c>
      <c r="AD49" s="6963"/>
      <c r="AE49" s="6963"/>
      <c r="AF49" s="6963"/>
      <c r="AG49" s="6963"/>
      <c r="AH49" s="6963"/>
      <c r="AI49" s="6963"/>
      <c r="AJ49" s="6962"/>
      <c r="AK49" s="6963"/>
      <c r="AL49" s="6963"/>
      <c r="AM49" s="6963"/>
      <c r="AN49" s="6963"/>
      <c r="AO49" s="6963"/>
      <c r="AP49" s="6964"/>
      <c r="AQ49" s="6962"/>
      <c r="AR49" s="6963"/>
      <c r="AS49" s="6963"/>
      <c r="AT49" s="6963"/>
      <c r="AU49" s="6963"/>
      <c r="AV49" s="6963"/>
      <c r="AW49" s="6964"/>
      <c r="AX49" s="6962"/>
      <c r="AY49" s="6963"/>
      <c r="AZ49" s="6963"/>
      <c r="BA49" s="6963"/>
      <c r="BB49" s="6963"/>
      <c r="BC49" s="6963"/>
      <c r="BD49" s="6964"/>
      <c r="BE49" s="6962"/>
      <c r="BF49" s="6963"/>
      <c r="BG49" s="6963"/>
      <c r="BH49" s="6963"/>
      <c r="BI49" s="6963"/>
      <c r="BJ49" s="6963"/>
      <c r="BK49" s="6964"/>
      <c r="BL49" s="6962"/>
      <c r="BM49" s="6963"/>
      <c r="BN49" s="6963"/>
      <c r="BO49" s="6963"/>
      <c r="BP49" s="6963"/>
      <c r="BQ49" s="6963"/>
      <c r="BR49" s="6964"/>
      <c r="BS49" s="6962"/>
      <c r="BT49" s="6963"/>
      <c r="BU49" s="6963"/>
      <c r="BV49" s="6963"/>
      <c r="BW49" s="6963"/>
      <c r="BX49" s="6963"/>
      <c r="BY49" s="6964"/>
      <c r="BZ49" s="6962"/>
      <c r="CA49" s="6963"/>
      <c r="CB49" s="6963"/>
      <c r="CC49" s="6963"/>
      <c r="CD49" s="6963"/>
      <c r="CE49" s="6963"/>
      <c r="CF49" s="6964"/>
      <c r="CG49" s="6962"/>
      <c r="CH49" s="6963"/>
      <c r="CI49" s="6963"/>
      <c r="CJ49" s="6963"/>
      <c r="CK49" s="6963"/>
      <c r="CL49" s="6963"/>
      <c r="CM49" s="6964"/>
      <c r="CN49" s="23693"/>
      <c r="CO49" s="23694"/>
      <c r="CP49" s="23694"/>
      <c r="CQ49" s="23694"/>
      <c r="CR49" s="23694"/>
      <c r="CS49" s="23694"/>
      <c r="CT49" s="23695"/>
      <c r="CU49" s="6964"/>
      <c r="CV49" s="7244" t="s">
        <v>600</v>
      </c>
      <c r="CW49" s="7153"/>
      <c r="CX49" s="7245"/>
      <c r="CY49" s="7245" t="str">
        <f>IF(T49="","",T49)</f>
        <v>Группа потребителей</v>
      </c>
      <c r="CZ49" s="7245"/>
      <c r="DA49" s="7245"/>
      <c r="DB49" s="6952">
        <v>0</v>
      </c>
    </row>
    <row s="48382" customFormat="1" customHeight="1" ht="23.25">
      <c r="A50" s="7232"/>
      <c r="B50" s="7232"/>
      <c r="C50" s="7232"/>
      <c r="D50" s="7232"/>
      <c r="E50" s="7233"/>
      <c r="F50" s="7233"/>
      <c r="G50" s="7233"/>
      <c r="H50" s="7233"/>
      <c r="I50" s="7234"/>
      <c r="J50" s="7234" t="str">
        <f>I44&amp;".1"</f>
        <v>1.1.1.1.1</v>
      </c>
      <c r="K50" s="7235" t="str">
        <f>J49&amp;".1"</f>
        <v>1.1.1.1.2.1</v>
      </c>
      <c r="L50" s="7236"/>
      <c r="M50" s="7237"/>
      <c r="N50" s="7237"/>
      <c r="O50" s="7237"/>
      <c r="P50" s="7238"/>
      <c r="Q50" s="7238"/>
      <c r="R50" s="7240">
        <v>1</v>
      </c>
      <c r="S50" s="7241" t="str">
        <f>$K50</f>
        <v>1.1.1.1.2.1</v>
      </c>
      <c r="T50" s="7247" t="s">
        <v>594</v>
      </c>
      <c r="U50" s="7243"/>
      <c r="V50" s="6965"/>
      <c r="W50" s="6965"/>
      <c r="X50" s="6966"/>
      <c r="Y50" s="6967"/>
      <c r="Z50" s="6968" t="s">
        <v>63</v>
      </c>
      <c r="AA50" s="6967"/>
      <c r="AB50" s="6968" t="s">
        <v>63</v>
      </c>
      <c r="AC50" s="6965">
        <v>58.45</v>
      </c>
      <c r="AD50" s="6965"/>
      <c r="AE50" s="6966"/>
      <c r="AF50" s="16696">
        <v>45292.51829861111</v>
      </c>
      <c r="AG50" s="6968" t="s">
        <v>63</v>
      </c>
      <c r="AH50" s="16697">
        <v>45473.51855324074</v>
      </c>
      <c r="AI50" s="6968" t="s">
        <v>63</v>
      </c>
      <c r="AJ50" s="6965">
        <v>63.13</v>
      </c>
      <c r="AK50" s="6965"/>
      <c r="AL50" s="6966"/>
      <c r="AM50" s="16696">
        <v>45474.519641203704</v>
      </c>
      <c r="AN50" s="6968" t="s">
        <v>63</v>
      </c>
      <c r="AO50" s="16696">
        <v>45657.519837962966</v>
      </c>
      <c r="AP50" s="6968" t="s">
        <v>63</v>
      </c>
      <c r="AQ50" s="6965">
        <v>63.13</v>
      </c>
      <c r="AR50" s="6965"/>
      <c r="AS50" s="6966"/>
      <c r="AT50" s="16696">
        <v>45658.52040509259</v>
      </c>
      <c r="AU50" s="6968" t="s">
        <v>63</v>
      </c>
      <c r="AV50" s="16696">
        <v>45838.52049768518</v>
      </c>
      <c r="AW50" s="6968" t="s">
        <v>63</v>
      </c>
      <c r="AX50" s="6965">
        <v>66.41</v>
      </c>
      <c r="AY50" s="6965"/>
      <c r="AZ50" s="6966"/>
      <c r="BA50" s="16696">
        <v>45839.5209837963</v>
      </c>
      <c r="BB50" s="6968" t="s">
        <v>63</v>
      </c>
      <c r="BC50" s="16696">
        <v>46022.52112268518</v>
      </c>
      <c r="BD50" s="6968" t="s">
        <v>63</v>
      </c>
      <c r="BE50" s="6965">
        <v>66.41</v>
      </c>
      <c r="BF50" s="6965"/>
      <c r="BG50" s="6966"/>
      <c r="BH50" s="16696">
        <v>46023.522372685184</v>
      </c>
      <c r="BI50" s="6968" t="s">
        <v>63</v>
      </c>
      <c r="BJ50" s="16696">
        <v>46203.522986111115</v>
      </c>
      <c r="BK50" s="6968" t="s">
        <v>63</v>
      </c>
      <c r="BL50" s="6965">
        <v>71.27</v>
      </c>
      <c r="BM50" s="6965"/>
      <c r="BN50" s="6966"/>
      <c r="BO50" s="16696">
        <v>46203.5234375</v>
      </c>
      <c r="BP50" s="6968" t="s">
        <v>63</v>
      </c>
      <c r="BQ50" s="16696">
        <v>46387.52378472222</v>
      </c>
      <c r="BR50" s="6968" t="s">
        <v>63</v>
      </c>
      <c r="BS50" s="6965">
        <v>69.66</v>
      </c>
      <c r="BT50" s="6965"/>
      <c r="BU50" s="6966"/>
      <c r="BV50" s="23702">
        <v>46388.52421296296</v>
      </c>
      <c r="BW50" s="6968" t="s">
        <v>63</v>
      </c>
      <c r="BX50" s="23702">
        <v>46568.52460648148</v>
      </c>
      <c r="BY50" s="6968" t="s">
        <v>63</v>
      </c>
      <c r="BZ50" s="6965">
        <v>69.66</v>
      </c>
      <c r="CA50" s="6965"/>
      <c r="CB50" s="6966"/>
      <c r="CC50" s="23702">
        <v>46569.5252662037</v>
      </c>
      <c r="CD50" s="6968" t="s">
        <v>63</v>
      </c>
      <c r="CE50" s="23702">
        <v>46752.525659722225</v>
      </c>
      <c r="CF50" s="6968" t="s">
        <v>63</v>
      </c>
      <c r="CG50" s="6965">
        <v>69.66</v>
      </c>
      <c r="CH50" s="6965"/>
      <c r="CI50" s="6966"/>
      <c r="CJ50" s="23702">
        <v>46753.52616898148</v>
      </c>
      <c r="CK50" s="6968" t="s">
        <v>63</v>
      </c>
      <c r="CL50" s="23702">
        <v>46934.526284722226</v>
      </c>
      <c r="CM50" s="6968" t="s">
        <v>63</v>
      </c>
      <c r="CN50" s="23700">
        <v>73.89</v>
      </c>
      <c r="CO50" s="23700"/>
      <c r="CP50" s="23701"/>
      <c r="CQ50" s="23702">
        <v>46935.478680555556</v>
      </c>
      <c r="CR50" s="23703" t="s">
        <v>63</v>
      </c>
      <c r="CS50" s="23702">
        <v>47118.478483796294</v>
      </c>
      <c r="CT50" s="23703" t="s">
        <v>63</v>
      </c>
      <c r="CU50" s="7248"/>
      <c r="CV50" s="72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50" s="7153">
        <f>STRCHECKDATE(V51:CU51)</f>
      </c>
      <c r="CX50" s="7245"/>
      <c r="CY50" s="7245" t="str">
        <f>IF(T50="","",T50)</f>
        <v>без НДС</v>
      </c>
      <c r="CZ50" s="7245"/>
      <c r="DA50" s="7245"/>
      <c r="DB50" s="6952">
        <v>0</v>
      </c>
    </row>
    <row s="48386" customFormat="1" customHeight="1" ht="14.25">
      <c r="A51" s="7232"/>
      <c r="B51" s="7232"/>
      <c r="C51" s="7232"/>
      <c r="D51" s="7232"/>
      <c r="E51" s="7233"/>
      <c r="F51" s="7233"/>
      <c r="G51" s="7233"/>
      <c r="H51" s="7233"/>
      <c r="I51" s="7234"/>
      <c r="J51" s="7234" t="str">
        <f>I44&amp;".1"</f>
        <v>1.1.1.1.1</v>
      </c>
      <c r="K51" s="7235"/>
      <c r="L51" s="7236"/>
      <c r="M51" s="7237"/>
      <c r="N51" s="7237"/>
      <c r="O51" s="7237"/>
      <c r="P51" s="7238"/>
      <c r="Q51" s="7238"/>
      <c r="R51" s="7240"/>
      <c r="S51" s="7251"/>
      <c r="T51" s="7243"/>
      <c r="U51" s="7243"/>
      <c r="V51" s="6970"/>
      <c r="W51" s="6970"/>
      <c r="X51" s="6971" t="str">
        <f>Y50&amp;"-"&amp;AA50</f>
        <v>-</v>
      </c>
      <c r="Y51" s="6972"/>
      <c r="Z51" s="6968"/>
      <c r="AA51" s="6972"/>
      <c r="AB51" s="6968"/>
      <c r="AC51" s="6970"/>
      <c r="AD51" s="6970"/>
      <c r="AE51" s="6971" t="str">
        <f>AF50&amp;"-"&amp;AH50</f>
        <v>45292.51829861111-45473.51855324074</v>
      </c>
      <c r="AF51" s="6972"/>
      <c r="AG51" s="6968"/>
      <c r="AH51" s="7174"/>
      <c r="AI51" s="6968"/>
      <c r="AJ51" s="6970"/>
      <c r="AK51" s="6970"/>
      <c r="AL51" s="6971" t="str">
        <f>AM50&amp;"-"&amp;AO50</f>
        <v>45474.519641203704-45657.519837962966</v>
      </c>
      <c r="AM51" s="6972"/>
      <c r="AN51" s="6968"/>
      <c r="AO51" s="6972"/>
      <c r="AP51" s="6968"/>
      <c r="AQ51" s="6970"/>
      <c r="AR51" s="6970"/>
      <c r="AS51" s="6971" t="str">
        <f>AT50&amp;"-"&amp;AV50</f>
        <v>45658.52040509259-45838.52049768518</v>
      </c>
      <c r="AT51" s="6972"/>
      <c r="AU51" s="6968"/>
      <c r="AV51" s="6972"/>
      <c r="AW51" s="6968"/>
      <c r="AX51" s="6970"/>
      <c r="AY51" s="6970"/>
      <c r="AZ51" s="6971" t="str">
        <f>BA50&amp;"-"&amp;BC50</f>
        <v>45839.5209837963-46022.52112268518</v>
      </c>
      <c r="BA51" s="6972"/>
      <c r="BB51" s="6968"/>
      <c r="BC51" s="6972"/>
      <c r="BD51" s="6968"/>
      <c r="BE51" s="6970"/>
      <c r="BF51" s="6970"/>
      <c r="BG51" s="6971" t="str">
        <f>BH50&amp;"-"&amp;BJ50</f>
        <v>46023.522372685184-46203.522986111115</v>
      </c>
      <c r="BH51" s="6972"/>
      <c r="BI51" s="6968"/>
      <c r="BJ51" s="6972"/>
      <c r="BK51" s="6968"/>
      <c r="BL51" s="6970"/>
      <c r="BM51" s="6970"/>
      <c r="BN51" s="6971" t="str">
        <f>BO50&amp;"-"&amp;BQ50</f>
        <v>46203.5234375-46387.52378472222</v>
      </c>
      <c r="BO51" s="6972"/>
      <c r="BP51" s="6968"/>
      <c r="BQ51" s="6972"/>
      <c r="BR51" s="6968"/>
      <c r="BS51" s="6970"/>
      <c r="BT51" s="6970"/>
      <c r="BU51" s="6971" t="str">
        <f>BV50&amp;"-"&amp;BX50</f>
        <v>46388.52421296296-46568.52460648148</v>
      </c>
      <c r="BV51" s="6972"/>
      <c r="BW51" s="6968"/>
      <c r="BX51" s="6972"/>
      <c r="BY51" s="6968"/>
      <c r="BZ51" s="6970"/>
      <c r="CA51" s="6970"/>
      <c r="CB51" s="6971" t="str">
        <f>CC50&amp;"-"&amp;CE50</f>
        <v>46569.5252662037-46752.525659722225</v>
      </c>
      <c r="CC51" s="6972"/>
      <c r="CD51" s="6968"/>
      <c r="CE51" s="6972"/>
      <c r="CF51" s="6968"/>
      <c r="CG51" s="6970"/>
      <c r="CH51" s="6970"/>
      <c r="CI51" s="6971" t="str">
        <f>CJ50&amp;"-"&amp;CL50</f>
        <v>46753.52616898148-46934.526284722226</v>
      </c>
      <c r="CJ51" s="6972"/>
      <c r="CK51" s="6968"/>
      <c r="CL51" s="6972"/>
      <c r="CM51" s="6968"/>
      <c r="CN51" s="23708"/>
      <c r="CO51" s="23708"/>
      <c r="CP51" s="23709" t="str">
        <f>CQ50&amp;"-"&amp;CS50</f>
        <v>46935.478680555556-47118.478483796294</v>
      </c>
      <c r="CQ51" s="23710"/>
      <c r="CR51" s="23703"/>
      <c r="CS51" s="23710"/>
      <c r="CT51" s="23703"/>
      <c r="CU51" s="7252"/>
      <c r="CV51" s="7249"/>
      <c r="CW51" s="7153"/>
      <c r="CX51" s="7245"/>
      <c r="CY51" s="7245" t="str">
        <f>IF(T51="","",T51)</f>
        <v/>
      </c>
      <c r="CZ51" s="7245"/>
      <c r="DA51" s="7245"/>
      <c r="DB51" s="6952">
        <v>0</v>
      </c>
    </row>
    <row s="48389" customFormat="1" customHeight="1" ht="21">
      <c r="A52" s="7232"/>
      <c r="B52" s="7232"/>
      <c r="C52" s="7232"/>
      <c r="D52" s="7232"/>
      <c r="E52" s="7233"/>
      <c r="F52" s="7233"/>
      <c r="G52" s="7233"/>
      <c r="H52" s="7233"/>
      <c r="I52" s="7234"/>
      <c r="J52" s="7235" t="str">
        <f>I44&amp;".1"</f>
        <v>1.1.1.1.1</v>
      </c>
      <c r="K52" s="7232"/>
      <c r="L52" s="7236"/>
      <c r="M52" s="7237"/>
      <c r="N52" s="7237"/>
      <c r="O52" s="7237"/>
      <c r="P52" s="7238"/>
      <c r="Q52" s="7238"/>
      <c r="R52" s="7254"/>
      <c r="S52" s="7255"/>
      <c r="T52" s="7256" t="s">
        <v>601</v>
      </c>
      <c r="U52" s="7257"/>
      <c r="V52" s="7258"/>
      <c r="W52" s="7259"/>
      <c r="X52" s="7260"/>
      <c r="Y52" s="7261"/>
      <c r="Z52" s="7262"/>
      <c r="AA52" s="7263"/>
      <c r="AB52" s="7264"/>
      <c r="AC52" s="7265"/>
      <c r="AD52" s="7266"/>
      <c r="AE52" s="7267"/>
      <c r="AF52" s="7268"/>
      <c r="AG52" s="7269"/>
      <c r="AH52" s="7270"/>
      <c r="AI52" s="7271"/>
      <c r="AJ52" s="7272"/>
      <c r="AK52" s="7273"/>
      <c r="AL52" s="7274"/>
      <c r="AM52" s="7275"/>
      <c r="AN52" s="7276"/>
      <c r="AO52" s="7277"/>
      <c r="AP52" s="7278"/>
      <c r="AQ52" s="7279"/>
      <c r="AR52" s="7280"/>
      <c r="AS52" s="7281"/>
      <c r="AT52" s="7282"/>
      <c r="AU52" s="7283"/>
      <c r="AV52" s="7284"/>
      <c r="AW52" s="7285"/>
      <c r="AX52" s="7286"/>
      <c r="AY52" s="7287"/>
      <c r="AZ52" s="7288"/>
      <c r="BA52" s="7289"/>
      <c r="BB52" s="7290"/>
      <c r="BC52" s="7291"/>
      <c r="BD52" s="7292"/>
      <c r="BE52" s="7293"/>
      <c r="BF52" s="7294"/>
      <c r="BG52" s="7295"/>
      <c r="BH52" s="7296"/>
      <c r="BI52" s="7297"/>
      <c r="BJ52" s="7298"/>
      <c r="BK52" s="7299"/>
      <c r="BL52" s="7300"/>
      <c r="BM52" s="7301"/>
      <c r="BN52" s="7302"/>
      <c r="BO52" s="7303"/>
      <c r="BP52" s="7304"/>
      <c r="BQ52" s="7305"/>
      <c r="BR52" s="7306"/>
      <c r="BS52" s="7307"/>
      <c r="BT52" s="7308"/>
      <c r="BU52" s="7309"/>
      <c r="BV52" s="7310"/>
      <c r="BW52" s="7311"/>
      <c r="BX52" s="7312"/>
      <c r="BY52" s="7313"/>
      <c r="BZ52" s="7314"/>
      <c r="CA52" s="7315"/>
      <c r="CB52" s="7316"/>
      <c r="CC52" s="7317"/>
      <c r="CD52" s="7318"/>
      <c r="CE52" s="7319"/>
      <c r="CF52" s="7320"/>
      <c r="CG52" s="7321"/>
      <c r="CH52" s="7322"/>
      <c r="CI52" s="7323"/>
      <c r="CJ52" s="7324"/>
      <c r="CK52" s="7325"/>
      <c r="CL52" s="7326"/>
      <c r="CM52" s="7327"/>
      <c r="CN52" s="24124"/>
      <c r="CO52" s="24125"/>
      <c r="CP52" s="24126"/>
      <c r="CQ52" s="24127"/>
      <c r="CR52" s="24128"/>
      <c r="CS52" s="24129"/>
      <c r="CT52" s="24130"/>
      <c r="CU52" s="7328"/>
      <c r="CV52" s="7329" t="s">
        <v>602</v>
      </c>
      <c r="CW52" s="7153"/>
      <c r="CX52" s="7245"/>
      <c r="CY52" s="7245" t="str">
        <f>IF(T52="","",T52)</f>
        <v>Добавить значение признака дифференциации</v>
      </c>
      <c r="CZ52" s="7245"/>
      <c r="DA52" s="7245"/>
      <c r="DB52" s="6952">
        <v>0</v>
      </c>
    </row>
    <row customHeight="1" ht="22.049999999999997">
      <c r="A53" s="1875" t="s">
        <v>318</v>
      </c>
      <c r="B53" s="1875" t="s">
        <v>319</v>
      </c>
      <c r="C53" s="1875" t="s">
        <v>320</v>
      </c>
      <c r="D53" s="1875" t="s">
        <v>635</v>
      </c>
      <c r="E53" s="2771"/>
      <c r="F53" s="2771"/>
      <c r="G53" s="2771"/>
      <c r="H53" s="2771"/>
      <c r="I53" s="2768"/>
      <c r="J53" s="1875"/>
      <c r="K53" s="1875"/>
      <c r="L53" s="1876"/>
      <c r="P53" s="2769"/>
      <c r="Q53" s="1993"/>
      <c r="R53" s="868"/>
      <c r="S53" s="1790"/>
      <c r="T53" s="877" t="s">
        <v>530</v>
      </c>
      <c r="U53" s="879"/>
      <c r="V53" s="879"/>
      <c r="W53" s="879"/>
      <c r="X53" s="879"/>
      <c r="Y53" s="879"/>
      <c r="Z53" s="879"/>
      <c r="AA53" s="879"/>
      <c r="AB53" s="878"/>
      <c r="AC53" s="879"/>
      <c r="AD53" s="879"/>
      <c r="AE53" s="879"/>
      <c r="AF53" s="879"/>
      <c r="AG53" s="879"/>
      <c r="AH53" s="879"/>
      <c r="AI53" s="878"/>
      <c r="AJ53" s="7330"/>
      <c r="AK53" s="7331"/>
      <c r="AL53" s="7332"/>
      <c r="AM53" s="7333"/>
      <c r="AN53" s="7334"/>
      <c r="AO53" s="7335"/>
      <c r="AP53" s="7336"/>
      <c r="AQ53" s="7337"/>
      <c r="AR53" s="7338"/>
      <c r="AS53" s="7339"/>
      <c r="AT53" s="7340"/>
      <c r="AU53" s="7341"/>
      <c r="AV53" s="7342"/>
      <c r="AW53" s="7343"/>
      <c r="AX53" s="7344"/>
      <c r="AY53" s="7345"/>
      <c r="AZ53" s="7346"/>
      <c r="BA53" s="7347"/>
      <c r="BB53" s="7348"/>
      <c r="BC53" s="7349"/>
      <c r="BD53" s="7350"/>
      <c r="BE53" s="7351"/>
      <c r="BF53" s="7352"/>
      <c r="BG53" s="7353"/>
      <c r="BH53" s="7354"/>
      <c r="BI53" s="7355"/>
      <c r="BJ53" s="7356"/>
      <c r="BK53" s="7357"/>
      <c r="BL53" s="7358"/>
      <c r="BM53" s="7359"/>
      <c r="BN53" s="7360"/>
      <c r="BO53" s="7361"/>
      <c r="BP53" s="7362"/>
      <c r="BQ53" s="7363"/>
      <c r="BR53" s="7364"/>
      <c r="BS53" s="7365"/>
      <c r="BT53" s="7366"/>
      <c r="BU53" s="7367"/>
      <c r="BV53" s="7368"/>
      <c r="BW53" s="7369"/>
      <c r="BX53" s="7370"/>
      <c r="BY53" s="7371"/>
      <c r="BZ53" s="7372"/>
      <c r="CA53" s="7373"/>
      <c r="CB53" s="7374"/>
      <c r="CC53" s="7375"/>
      <c r="CD53" s="7376"/>
      <c r="CE53" s="7377"/>
      <c r="CF53" s="7378"/>
      <c r="CG53" s="7379"/>
      <c r="CH53" s="7380"/>
      <c r="CI53" s="7381"/>
      <c r="CJ53" s="7382"/>
      <c r="CK53" s="7383"/>
      <c r="CL53" s="7384"/>
      <c r="CM53" s="7385"/>
      <c r="CN53" s="24189"/>
      <c r="CO53" s="24190"/>
      <c r="CP53" s="24191"/>
      <c r="CQ53" s="24192"/>
      <c r="CR53" s="24193"/>
      <c r="CS53" s="24194"/>
      <c r="CT53" s="24195"/>
      <c r="CU53" s="879"/>
      <c r="CV53" s="1952"/>
      <c r="CX53" s="1012"/>
      <c r="CY53" s="1012" t="str">
        <f>IF(T53="","",T53)</f>
        <v>Добавить группу потребителей</v>
      </c>
      <c r="CZ53" s="1012"/>
      <c r="DA53" s="1012"/>
      <c r="DB53" s="1667">
        <v>21</v>
      </c>
    </row>
    <row customHeight="1" ht="22.049999999999997">
      <c r="A54" s="1875" t="s">
        <v>318</v>
      </c>
      <c r="B54" s="1875" t="s">
        <v>319</v>
      </c>
      <c r="C54" s="1875" t="s">
        <v>320</v>
      </c>
      <c r="D54" s="1875" t="s">
        <v>635</v>
      </c>
      <c r="E54" s="2771"/>
      <c r="F54" s="2771"/>
      <c r="G54" s="2771"/>
      <c r="H54" s="2770"/>
      <c r="I54" s="1875"/>
      <c r="J54" s="1875"/>
      <c r="K54" s="1875"/>
      <c r="L54" s="1876"/>
      <c r="M54" s="1877"/>
      <c r="N54" s="1877"/>
      <c r="O54" s="1049"/>
      <c r="P54" s="872"/>
      <c r="Q54" s="887"/>
      <c r="R54" s="867"/>
      <c r="S54" s="1790"/>
      <c r="T54" s="884" t="s">
        <v>603</v>
      </c>
      <c r="U54" s="879"/>
      <c r="V54" s="879"/>
      <c r="W54" s="879"/>
      <c r="X54" s="879"/>
      <c r="Y54" s="879"/>
      <c r="Z54" s="879"/>
      <c r="AA54" s="879"/>
      <c r="AB54" s="878"/>
      <c r="AC54" s="879"/>
      <c r="AD54" s="879"/>
      <c r="AE54" s="879"/>
      <c r="AF54" s="879"/>
      <c r="AG54" s="879"/>
      <c r="AH54" s="879"/>
      <c r="AI54" s="878"/>
      <c r="AJ54" s="7386"/>
      <c r="AK54" s="7387"/>
      <c r="AL54" s="7388"/>
      <c r="AM54" s="7389"/>
      <c r="AN54" s="7390"/>
      <c r="AO54" s="7391"/>
      <c r="AP54" s="7392"/>
      <c r="AQ54" s="7393"/>
      <c r="AR54" s="7394"/>
      <c r="AS54" s="7395"/>
      <c r="AT54" s="7396"/>
      <c r="AU54" s="7397"/>
      <c r="AV54" s="7398"/>
      <c r="AW54" s="7399"/>
      <c r="AX54" s="7400"/>
      <c r="AY54" s="7401"/>
      <c r="AZ54" s="7402"/>
      <c r="BA54" s="7403"/>
      <c r="BB54" s="7404"/>
      <c r="BC54" s="7405"/>
      <c r="BD54" s="7406"/>
      <c r="BE54" s="7407"/>
      <c r="BF54" s="7408"/>
      <c r="BG54" s="7409"/>
      <c r="BH54" s="7410"/>
      <c r="BI54" s="7411"/>
      <c r="BJ54" s="7412"/>
      <c r="BK54" s="7413"/>
      <c r="BL54" s="7414"/>
      <c r="BM54" s="7415"/>
      <c r="BN54" s="7416"/>
      <c r="BO54" s="7417"/>
      <c r="BP54" s="7418"/>
      <c r="BQ54" s="7419"/>
      <c r="BR54" s="7420"/>
      <c r="BS54" s="7421"/>
      <c r="BT54" s="7422"/>
      <c r="BU54" s="7423"/>
      <c r="BV54" s="7424"/>
      <c r="BW54" s="7425"/>
      <c r="BX54" s="7426"/>
      <c r="BY54" s="7427"/>
      <c r="BZ54" s="7428"/>
      <c r="CA54" s="7429"/>
      <c r="CB54" s="7430"/>
      <c r="CC54" s="7431"/>
      <c r="CD54" s="7432"/>
      <c r="CE54" s="7433"/>
      <c r="CF54" s="7434"/>
      <c r="CG54" s="7435"/>
      <c r="CH54" s="7436"/>
      <c r="CI54" s="7437"/>
      <c r="CJ54" s="7438"/>
      <c r="CK54" s="7439"/>
      <c r="CL54" s="7440"/>
      <c r="CM54" s="7441"/>
      <c r="CN54" s="24252"/>
      <c r="CO54" s="24253"/>
      <c r="CP54" s="24254"/>
      <c r="CQ54" s="24255"/>
      <c r="CR54" s="24256"/>
      <c r="CS54" s="24257"/>
      <c r="CT54" s="24258"/>
      <c r="CU54" s="879"/>
      <c r="CV54" s="815"/>
      <c r="CX54" s="1012"/>
      <c r="CY54" s="1012" t="str">
        <f>IF(T54="","",T54)</f>
        <v>Добавить наименование признака дифференциации</v>
      </c>
      <c r="CZ54" s="1012"/>
      <c r="DA54" s="1012"/>
      <c r="DB54" s="1667">
        <v>21</v>
      </c>
    </row>
    <row s="46890" customFormat="1" customHeight="1" ht="0">
      <c r="A55" s="1855" t="s">
        <v>318</v>
      </c>
      <c r="B55" s="1855" t="s">
        <v>319</v>
      </c>
      <c r="C55" s="1826"/>
      <c r="D55" s="1826"/>
      <c r="E55" s="2771"/>
      <c r="F55" s="2770"/>
      <c r="G55" s="1826"/>
      <c r="H55" s="1826"/>
      <c r="I55" s="1826"/>
      <c r="J55" s="1826"/>
      <c r="K55" s="1826"/>
      <c r="L55" s="2006"/>
      <c r="M55" s="1833"/>
      <c r="N55" s="1833"/>
      <c r="P55" s="1828"/>
      <c r="Q55" s="1829"/>
      <c r="R55" s="1828"/>
      <c r="S55" s="1834"/>
      <c r="T55" s="1837" t="s">
        <v>321</v>
      </c>
      <c r="U55" s="1836"/>
      <c r="V55" s="1836"/>
      <c r="W55" s="1836"/>
      <c r="X55" s="1836"/>
      <c r="Y55" s="1836"/>
      <c r="Z55" s="1836"/>
      <c r="AA55" s="1836"/>
      <c r="AB55" s="1836"/>
      <c r="AC55" s="1836"/>
      <c r="AD55" s="1836"/>
      <c r="AE55" s="1836"/>
      <c r="AF55" s="1836"/>
      <c r="AG55" s="1836"/>
      <c r="AH55" s="1836"/>
      <c r="AI55" s="1836"/>
      <c r="AJ55" s="7142"/>
      <c r="AK55" s="7142"/>
      <c r="AL55" s="7142"/>
      <c r="AM55" s="7142"/>
      <c r="AN55" s="7142"/>
      <c r="AO55" s="7142"/>
      <c r="AP55" s="7142"/>
      <c r="AQ55" s="7142"/>
      <c r="AR55" s="7142"/>
      <c r="AS55" s="7142"/>
      <c r="AT55" s="7142"/>
      <c r="AU55" s="7142"/>
      <c r="AV55" s="7142"/>
      <c r="AW55" s="7142"/>
      <c r="AX55" s="7142"/>
      <c r="AY55" s="7142"/>
      <c r="AZ55" s="7142"/>
      <c r="BA55" s="7142"/>
      <c r="BB55" s="7142"/>
      <c r="BC55" s="7142"/>
      <c r="BD55" s="7142"/>
      <c r="BE55" s="7142"/>
      <c r="BF55" s="7142"/>
      <c r="BG55" s="7142"/>
      <c r="BH55" s="7142"/>
      <c r="BI55" s="7142"/>
      <c r="BJ55" s="7142"/>
      <c r="BK55" s="7142"/>
      <c r="BL55" s="7142"/>
      <c r="BM55" s="7142"/>
      <c r="BN55" s="7142"/>
      <c r="BO55" s="7142"/>
      <c r="BP55" s="7142"/>
      <c r="BQ55" s="7142"/>
      <c r="BR55" s="7142"/>
      <c r="BS55" s="7142"/>
      <c r="BT55" s="7142"/>
      <c r="BU55" s="7142"/>
      <c r="BV55" s="7142"/>
      <c r="BW55" s="7142"/>
      <c r="BX55" s="7142"/>
      <c r="BY55" s="7142"/>
      <c r="BZ55" s="7142"/>
      <c r="CA55" s="7142"/>
      <c r="CB55" s="7142"/>
      <c r="CC55" s="7142"/>
      <c r="CD55" s="7142"/>
      <c r="CE55" s="7142"/>
      <c r="CF55" s="7142"/>
      <c r="CG55" s="7142"/>
      <c r="CH55" s="7142"/>
      <c r="CI55" s="7142"/>
      <c r="CJ55" s="7142"/>
      <c r="CK55" s="7142"/>
      <c r="CL55" s="7142"/>
      <c r="CM55" s="7142"/>
      <c r="CN55" s="23902"/>
      <c r="CO55" s="23902"/>
      <c r="CP55" s="23902"/>
      <c r="CQ55" s="23902"/>
      <c r="CR55" s="23902"/>
      <c r="CS55" s="23902"/>
      <c r="CT55" s="23902"/>
      <c r="CU55" s="1836"/>
      <c r="CV55" s="1836"/>
      <c r="CX55" s="1301"/>
      <c r="CY55" s="1301" t="str">
        <f>IF(T55="","",T55)</f>
        <v>Добавить централизованную систему для дифференциации</v>
      </c>
      <c r="CZ55" s="1301"/>
      <c r="DA55" s="1301"/>
      <c r="DB55" s="1030">
        <v>0</v>
      </c>
    </row>
    <row s="48599" customFormat="1" customHeight="1" ht="23.25">
      <c r="A56" s="16967"/>
      <c r="B56" s="16967" t="s">
        <v>323</v>
      </c>
      <c r="C56" s="16967"/>
      <c r="D56" s="16967"/>
      <c r="E56" s="16968"/>
      <c r="F56" s="16969" t="s">
        <v>105</v>
      </c>
      <c r="G56" s="16967"/>
      <c r="H56" s="16967"/>
      <c r="I56" s="16967"/>
      <c r="J56" s="16967"/>
      <c r="K56" s="16967"/>
      <c r="L56" s="16970"/>
      <c r="M56" s="16971"/>
      <c r="N56" s="16971"/>
      <c r="O56" s="16971"/>
      <c r="P56" s="16972"/>
      <c r="Q56" s="16973"/>
      <c r="R56" s="16974"/>
      <c r="S56" s="16975" t="str">
        <f>INDEX(PT_DIFFERENTIATION_NUM_TER,MATCH(B56,PT_DIFFERENTIATION_TER_ID,0))</f>
        <v>1.2</v>
      </c>
      <c r="T56" s="16976" t="s">
        <v>515</v>
      </c>
      <c r="U56" s="16977"/>
      <c r="V56" s="16978"/>
      <c r="W56" s="16979"/>
      <c r="X56" s="16979"/>
      <c r="Y56" s="16979"/>
      <c r="Z56" s="16979"/>
      <c r="AA56" s="16979"/>
      <c r="AB56" s="16980"/>
      <c r="AC56" s="16978" t="str">
        <f>INDEX(PT_DIFFERENTIATION_TER,MATCH(B56,PT_DIFFERENTIATION_TER_ID,0))</f>
        <v>Территория 2</v>
      </c>
      <c r="AD56" s="16979"/>
      <c r="AE56" s="16979"/>
      <c r="AF56" s="16979"/>
      <c r="AG56" s="16979"/>
      <c r="AH56" s="16979"/>
      <c r="AI56" s="16979"/>
      <c r="AJ56" s="16978"/>
      <c r="AK56" s="16979"/>
      <c r="AL56" s="16979"/>
      <c r="AM56" s="16979"/>
      <c r="AN56" s="16979"/>
      <c r="AO56" s="16979"/>
      <c r="AP56" s="16980"/>
      <c r="AQ56" s="16978"/>
      <c r="AR56" s="16979"/>
      <c r="AS56" s="16979"/>
      <c r="AT56" s="16979"/>
      <c r="AU56" s="16979"/>
      <c r="AV56" s="16979"/>
      <c r="AW56" s="16980"/>
      <c r="AX56" s="16978"/>
      <c r="AY56" s="16979"/>
      <c r="AZ56" s="16979"/>
      <c r="BA56" s="16979"/>
      <c r="BB56" s="16979"/>
      <c r="BC56" s="16979"/>
      <c r="BD56" s="16980"/>
      <c r="BE56" s="16978"/>
      <c r="BF56" s="16979"/>
      <c r="BG56" s="16979"/>
      <c r="BH56" s="16979"/>
      <c r="BI56" s="16979"/>
      <c r="BJ56" s="16979"/>
      <c r="BK56" s="16980"/>
      <c r="BL56" s="16978"/>
      <c r="BM56" s="16979"/>
      <c r="BN56" s="16979"/>
      <c r="BO56" s="16979"/>
      <c r="BP56" s="16979"/>
      <c r="BQ56" s="16979"/>
      <c r="BR56" s="16980"/>
      <c r="BS56" s="16978"/>
      <c r="BT56" s="16979"/>
      <c r="BU56" s="16979"/>
      <c r="BV56" s="16979"/>
      <c r="BW56" s="16979"/>
      <c r="BX56" s="16979"/>
      <c r="BY56" s="16980"/>
      <c r="BZ56" s="16978"/>
      <c r="CA56" s="16979"/>
      <c r="CB56" s="16979"/>
      <c r="CC56" s="16979"/>
      <c r="CD56" s="16979"/>
      <c r="CE56" s="16979"/>
      <c r="CF56" s="16980"/>
      <c r="CG56" s="16978"/>
      <c r="CH56" s="16979"/>
      <c r="CI56" s="16979"/>
      <c r="CJ56" s="16979"/>
      <c r="CK56" s="16979"/>
      <c r="CL56" s="16979"/>
      <c r="CM56" s="16980"/>
      <c r="CN56" s="23679"/>
      <c r="CO56" s="23680"/>
      <c r="CP56" s="23680"/>
      <c r="CQ56" s="23680"/>
      <c r="CR56" s="23680"/>
      <c r="CS56" s="23680"/>
      <c r="CT56" s="23681"/>
      <c r="CU56" s="16980"/>
      <c r="CV56" s="16981" t="s">
        <v>516</v>
      </c>
      <c r="CW56" s="16982"/>
      <c r="CX56" s="16983"/>
      <c r="CY56" s="16983" t="str">
        <f>IF(T56="","",T56)</f>
        <v>Территория действия тарифа</v>
      </c>
      <c r="CZ56" s="16983"/>
      <c r="DA56" s="16983"/>
      <c r="DB56" s="16984">
        <v>0</v>
      </c>
    </row>
    <row s="48618" customFormat="1" customHeight="1" ht="23.25">
      <c r="A57" s="16967"/>
      <c r="B57" s="16967"/>
      <c r="C57" s="16967" t="s">
        <v>324</v>
      </c>
      <c r="D57" s="16967"/>
      <c r="E57" s="16968"/>
      <c r="F57" s="16968">
        <v>1</v>
      </c>
      <c r="G57" s="16969">
        <v>1</v>
      </c>
      <c r="H57" s="16967"/>
      <c r="I57" s="16967"/>
      <c r="J57" s="16967"/>
      <c r="K57" s="16967"/>
      <c r="L57" s="16970"/>
      <c r="M57" s="16971"/>
      <c r="N57" s="16971"/>
      <c r="O57" s="16971"/>
      <c r="P57" s="16986"/>
      <c r="Q57" s="16973"/>
      <c r="R57" s="16974"/>
      <c r="S57" s="16975" t="str">
        <f>INDEX(PT_DIFFERENTIATION_NUM_CS,MATCH(C57,PT_DIFFERENTIATION_CS_ID,0))</f>
        <v>1.2.1</v>
      </c>
      <c r="T57" s="16987" t="s">
        <v>631</v>
      </c>
      <c r="U57" s="16977"/>
      <c r="V57" s="16978"/>
      <c r="W57" s="16979"/>
      <c r="X57" s="16979"/>
      <c r="Y57" s="16979"/>
      <c r="Z57" s="16979"/>
      <c r="AA57" s="16979"/>
      <c r="AB57" s="16980"/>
      <c r="AC57" s="16978" t="str">
        <f>INDEX(PT_DIFFERENTIATION_CS,MATCH(C57,PT_DIFFERENTIATION_CS_ID,0))</f>
        <v>пгт. Новошахтинский</v>
      </c>
      <c r="AD57" s="16979"/>
      <c r="AE57" s="16979"/>
      <c r="AF57" s="16979"/>
      <c r="AG57" s="16979"/>
      <c r="AH57" s="16979"/>
      <c r="AI57" s="16979"/>
      <c r="AJ57" s="16978"/>
      <c r="AK57" s="16979"/>
      <c r="AL57" s="16979"/>
      <c r="AM57" s="16979"/>
      <c r="AN57" s="16979"/>
      <c r="AO57" s="16979"/>
      <c r="AP57" s="16980"/>
      <c r="AQ57" s="16978"/>
      <c r="AR57" s="16979"/>
      <c r="AS57" s="16979"/>
      <c r="AT57" s="16979"/>
      <c r="AU57" s="16979"/>
      <c r="AV57" s="16979"/>
      <c r="AW57" s="16980"/>
      <c r="AX57" s="16978"/>
      <c r="AY57" s="16979"/>
      <c r="AZ57" s="16979"/>
      <c r="BA57" s="16979"/>
      <c r="BB57" s="16979"/>
      <c r="BC57" s="16979"/>
      <c r="BD57" s="16980"/>
      <c r="BE57" s="16978"/>
      <c r="BF57" s="16979"/>
      <c r="BG57" s="16979"/>
      <c r="BH57" s="16979"/>
      <c r="BI57" s="16979"/>
      <c r="BJ57" s="16979"/>
      <c r="BK57" s="16980"/>
      <c r="BL57" s="16978"/>
      <c r="BM57" s="16979"/>
      <c r="BN57" s="16979"/>
      <c r="BO57" s="16979"/>
      <c r="BP57" s="16979"/>
      <c r="BQ57" s="16979"/>
      <c r="BR57" s="16980"/>
      <c r="BS57" s="16978"/>
      <c r="BT57" s="16979"/>
      <c r="BU57" s="16979"/>
      <c r="BV57" s="16979"/>
      <c r="BW57" s="16979"/>
      <c r="BX57" s="16979"/>
      <c r="BY57" s="16980"/>
      <c r="BZ57" s="16978"/>
      <c r="CA57" s="16979"/>
      <c r="CB57" s="16979"/>
      <c r="CC57" s="16979"/>
      <c r="CD57" s="16979"/>
      <c r="CE57" s="16979"/>
      <c r="CF57" s="16980"/>
      <c r="CG57" s="16978"/>
      <c r="CH57" s="16979"/>
      <c r="CI57" s="16979"/>
      <c r="CJ57" s="16979"/>
      <c r="CK57" s="16979"/>
      <c r="CL57" s="16979"/>
      <c r="CM57" s="16980"/>
      <c r="CN57" s="23679"/>
      <c r="CO57" s="23680"/>
      <c r="CP57" s="23680"/>
      <c r="CQ57" s="23680"/>
      <c r="CR57" s="23680"/>
      <c r="CS57" s="23680"/>
      <c r="CT57" s="23681"/>
      <c r="CU57" s="16980"/>
      <c r="CV57" s="16981" t="s">
        <v>632</v>
      </c>
      <c r="CW57" s="16982"/>
      <c r="CX57" s="16983"/>
      <c r="CY57" s="16983" t="str">
        <f>IF(T57="","",T57)</f>
        <v>Наименование централизованной системы водоотведения</v>
      </c>
      <c r="CZ57" s="16983"/>
      <c r="DA57" s="16983"/>
      <c r="DB57" s="16984">
        <v>0</v>
      </c>
    </row>
    <row s="48621" customFormat="1" customHeight="1" ht="23.25">
      <c r="A58" s="16967"/>
      <c r="B58" s="16967"/>
      <c r="C58" s="16967"/>
      <c r="D58" s="16967"/>
      <c r="E58" s="16968"/>
      <c r="F58" s="16968">
        <v>1</v>
      </c>
      <c r="G58" s="16968"/>
      <c r="H58" s="16968"/>
      <c r="I58" s="16989" t="str">
        <f>S57&amp;".1"</f>
        <v>1.2.1.1</v>
      </c>
      <c r="J58" s="16967"/>
      <c r="K58" s="16967"/>
      <c r="L58" s="16970"/>
      <c r="M58" s="16990"/>
      <c r="N58" s="16990"/>
      <c r="O58" s="16990"/>
      <c r="P58" s="16991">
        <v>1</v>
      </c>
      <c r="Q58" s="16991"/>
      <c r="R58" s="16992"/>
      <c r="S58" s="16975" t="str">
        <f>$I58</f>
        <v>1.2.1.1</v>
      </c>
      <c r="T58" s="16993" t="s">
        <v>598</v>
      </c>
      <c r="U58" s="16977"/>
      <c r="V58" s="16994"/>
      <c r="W58" s="16995"/>
      <c r="X58" s="16995"/>
      <c r="Y58" s="16995"/>
      <c r="Z58" s="16995"/>
      <c r="AA58" s="16995"/>
      <c r="AB58" s="16996"/>
      <c r="AC58" s="16997"/>
      <c r="AD58" s="16998"/>
      <c r="AE58" s="16998"/>
      <c r="AF58" s="16998"/>
      <c r="AG58" s="16998"/>
      <c r="AH58" s="16998"/>
      <c r="AI58" s="16998"/>
      <c r="AJ58" s="16994"/>
      <c r="AK58" s="16995"/>
      <c r="AL58" s="16995"/>
      <c r="AM58" s="16995"/>
      <c r="AN58" s="16995"/>
      <c r="AO58" s="16995"/>
      <c r="AP58" s="16996"/>
      <c r="AQ58" s="16994"/>
      <c r="AR58" s="16995"/>
      <c r="AS58" s="16995"/>
      <c r="AT58" s="16995"/>
      <c r="AU58" s="16995"/>
      <c r="AV58" s="16995"/>
      <c r="AW58" s="16996"/>
      <c r="AX58" s="16994"/>
      <c r="AY58" s="16995"/>
      <c r="AZ58" s="16995"/>
      <c r="BA58" s="16995"/>
      <c r="BB58" s="16995"/>
      <c r="BC58" s="16995"/>
      <c r="BD58" s="16996"/>
      <c r="BE58" s="16994"/>
      <c r="BF58" s="16995"/>
      <c r="BG58" s="16995"/>
      <c r="BH58" s="16995"/>
      <c r="BI58" s="16995"/>
      <c r="BJ58" s="16995"/>
      <c r="BK58" s="16996"/>
      <c r="BL58" s="16994"/>
      <c r="BM58" s="16995"/>
      <c r="BN58" s="16995"/>
      <c r="BO58" s="16995"/>
      <c r="BP58" s="16995"/>
      <c r="BQ58" s="16995"/>
      <c r="BR58" s="16996"/>
      <c r="BS58" s="16994"/>
      <c r="BT58" s="16995"/>
      <c r="BU58" s="16995"/>
      <c r="BV58" s="16995"/>
      <c r="BW58" s="16995"/>
      <c r="BX58" s="16995"/>
      <c r="BY58" s="16996"/>
      <c r="BZ58" s="16994"/>
      <c r="CA58" s="16995"/>
      <c r="CB58" s="16995"/>
      <c r="CC58" s="16995"/>
      <c r="CD58" s="16995"/>
      <c r="CE58" s="16995"/>
      <c r="CF58" s="16996"/>
      <c r="CG58" s="16994"/>
      <c r="CH58" s="16995"/>
      <c r="CI58" s="16995"/>
      <c r="CJ58" s="16995"/>
      <c r="CK58" s="16995"/>
      <c r="CL58" s="16995"/>
      <c r="CM58" s="16996"/>
      <c r="CN58" s="23687"/>
      <c r="CO58" s="23688"/>
      <c r="CP58" s="23688"/>
      <c r="CQ58" s="23688"/>
      <c r="CR58" s="23688"/>
      <c r="CS58" s="23688"/>
      <c r="CT58" s="23689"/>
      <c r="CU58" s="16999"/>
      <c r="CV58" s="16981" t="s">
        <v>599</v>
      </c>
      <c r="CW58" s="16982"/>
      <c r="CX58" s="16983"/>
      <c r="CY58" s="16983" t="str">
        <f>IF(T58="","",T58)</f>
        <v>Наименование признака дифференциации</v>
      </c>
      <c r="CZ58" s="16983"/>
      <c r="DA58" s="16983"/>
      <c r="DB58" s="16984">
        <v>0</v>
      </c>
    </row>
    <row s="48633" customFormat="1" customHeight="1" ht="23.25">
      <c r="A59" s="16967"/>
      <c r="B59" s="16967"/>
      <c r="C59" s="16967"/>
      <c r="D59" s="16967"/>
      <c r="E59" s="16968"/>
      <c r="F59" s="16968">
        <v>1</v>
      </c>
      <c r="G59" s="16968"/>
      <c r="H59" s="16968"/>
      <c r="I59" s="17001"/>
      <c r="J59" s="16989" t="str">
        <f>I58&amp;".1"</f>
        <v>1.2.1.1.1</v>
      </c>
      <c r="K59" s="16967"/>
      <c r="L59" s="16970" t="s">
        <v>524</v>
      </c>
      <c r="M59" s="16990"/>
      <c r="N59" s="16990"/>
      <c r="O59" s="16990"/>
      <c r="P59" s="16991"/>
      <c r="Q59" s="16991">
        <v>1</v>
      </c>
      <c r="R59" s="17002"/>
      <c r="S59" s="16975" t="str">
        <f>$J59</f>
        <v>1.2.1.1.1</v>
      </c>
      <c r="T59" s="17003" t="s">
        <v>525</v>
      </c>
      <c r="U59" s="16977"/>
      <c r="V59" s="17004"/>
      <c r="W59" s="17005"/>
      <c r="X59" s="17005"/>
      <c r="Y59" s="17005"/>
      <c r="Z59" s="17005"/>
      <c r="AA59" s="17005"/>
      <c r="AB59" s="17006"/>
      <c r="AC59" s="17004" t="s">
        <v>636</v>
      </c>
      <c r="AD59" s="17005"/>
      <c r="AE59" s="17005"/>
      <c r="AF59" s="17005"/>
      <c r="AG59" s="17005"/>
      <c r="AH59" s="17005"/>
      <c r="AI59" s="17005"/>
      <c r="AJ59" s="17004"/>
      <c r="AK59" s="17005"/>
      <c r="AL59" s="17005"/>
      <c r="AM59" s="17005"/>
      <c r="AN59" s="17005"/>
      <c r="AO59" s="17005"/>
      <c r="AP59" s="17006"/>
      <c r="AQ59" s="17004"/>
      <c r="AR59" s="17005"/>
      <c r="AS59" s="17005"/>
      <c r="AT59" s="17005"/>
      <c r="AU59" s="17005"/>
      <c r="AV59" s="17005"/>
      <c r="AW59" s="17006"/>
      <c r="AX59" s="17004"/>
      <c r="AY59" s="17005"/>
      <c r="AZ59" s="17005"/>
      <c r="BA59" s="17005"/>
      <c r="BB59" s="17005"/>
      <c r="BC59" s="17005"/>
      <c r="BD59" s="17006"/>
      <c r="BE59" s="17004"/>
      <c r="BF59" s="17005"/>
      <c r="BG59" s="17005"/>
      <c r="BH59" s="17005"/>
      <c r="BI59" s="17005"/>
      <c r="BJ59" s="17005"/>
      <c r="BK59" s="17006"/>
      <c r="BL59" s="17004"/>
      <c r="BM59" s="17005"/>
      <c r="BN59" s="17005"/>
      <c r="BO59" s="17005"/>
      <c r="BP59" s="17005"/>
      <c r="BQ59" s="17005"/>
      <c r="BR59" s="17006"/>
      <c r="BS59" s="17004"/>
      <c r="BT59" s="17005"/>
      <c r="BU59" s="17005"/>
      <c r="BV59" s="17005"/>
      <c r="BW59" s="17005"/>
      <c r="BX59" s="17005"/>
      <c r="BY59" s="17006"/>
      <c r="BZ59" s="17004"/>
      <c r="CA59" s="17005"/>
      <c r="CB59" s="17005"/>
      <c r="CC59" s="17005"/>
      <c r="CD59" s="17005"/>
      <c r="CE59" s="17005"/>
      <c r="CF59" s="17006"/>
      <c r="CG59" s="17004"/>
      <c r="CH59" s="17005"/>
      <c r="CI59" s="17005"/>
      <c r="CJ59" s="17005"/>
      <c r="CK59" s="17005"/>
      <c r="CL59" s="17005"/>
      <c r="CM59" s="17006"/>
      <c r="CN59" s="23693"/>
      <c r="CO59" s="23694"/>
      <c r="CP59" s="23694"/>
      <c r="CQ59" s="23694"/>
      <c r="CR59" s="23694"/>
      <c r="CS59" s="23694"/>
      <c r="CT59" s="23695"/>
      <c r="CU59" s="17006"/>
      <c r="CV59" s="17007" t="s">
        <v>600</v>
      </c>
      <c r="CW59" s="16982"/>
      <c r="CX59" s="16983"/>
      <c r="CY59" s="16983" t="str">
        <f>IF(T59="","",T59)</f>
        <v>Группа потребителей</v>
      </c>
      <c r="CZ59" s="16983"/>
      <c r="DA59" s="16983"/>
      <c r="DB59" s="16984">
        <v>0</v>
      </c>
    </row>
    <row s="48641" customFormat="1" customHeight="1" ht="23.25">
      <c r="A60" s="16967"/>
      <c r="B60" s="16967"/>
      <c r="C60" s="16967"/>
      <c r="D60" s="16967"/>
      <c r="E60" s="16968"/>
      <c r="F60" s="16968">
        <v>1</v>
      </c>
      <c r="G60" s="16968"/>
      <c r="H60" s="16968"/>
      <c r="I60" s="17001"/>
      <c r="J60" s="17001"/>
      <c r="K60" s="16989" t="str">
        <f>J59&amp;".1"</f>
        <v>1.2.1.1.1.1</v>
      </c>
      <c r="L60" s="16970"/>
      <c r="M60" s="16990"/>
      <c r="N60" s="16990"/>
      <c r="O60" s="16990"/>
      <c r="P60" s="16991"/>
      <c r="Q60" s="16991"/>
      <c r="R60" s="17002">
        <v>1</v>
      </c>
      <c r="S60" s="16975" t="str">
        <f>$K60</f>
        <v>1.2.1.1.1.1</v>
      </c>
      <c r="T60" s="17009"/>
      <c r="U60" s="16977"/>
      <c r="V60" s="17010"/>
      <c r="W60" s="17010"/>
      <c r="X60" s="17011"/>
      <c r="Y60" s="16696"/>
      <c r="Z60" s="17012" t="s">
        <v>63</v>
      </c>
      <c r="AA60" s="16696"/>
      <c r="AB60" s="17012" t="s">
        <v>63</v>
      </c>
      <c r="AC60" s="17010">
        <v>27.14</v>
      </c>
      <c r="AD60" s="17010"/>
      <c r="AE60" s="17011"/>
      <c r="AF60" s="31957">
        <v>45292.50638888889</v>
      </c>
      <c r="AG60" s="17012" t="s">
        <v>63</v>
      </c>
      <c r="AH60" s="31958">
        <v>45473.50739583333</v>
      </c>
      <c r="AI60" s="17012" t="s">
        <v>63</v>
      </c>
      <c r="AJ60" s="17010">
        <v>35.29</v>
      </c>
      <c r="AK60" s="17010"/>
      <c r="AL60" s="17011"/>
      <c r="AM60" s="31957">
        <v>45474.507569444446</v>
      </c>
      <c r="AN60" s="17012" t="s">
        <v>63</v>
      </c>
      <c r="AO60" s="31957">
        <v>45657.507731481484</v>
      </c>
      <c r="AP60" s="17012" t="s">
        <v>63</v>
      </c>
      <c r="AQ60" s="17010">
        <v>35.29</v>
      </c>
      <c r="AR60" s="17010"/>
      <c r="AS60" s="17011"/>
      <c r="AT60" s="31957">
        <v>45658.50792824074</v>
      </c>
      <c r="AU60" s="17012" t="s">
        <v>63</v>
      </c>
      <c r="AV60" s="31957">
        <v>45838.508125</v>
      </c>
      <c r="AW60" s="17012" t="s">
        <v>63</v>
      </c>
      <c r="AX60" s="17010">
        <v>41.29</v>
      </c>
      <c r="AY60" s="17010"/>
      <c r="AZ60" s="17011"/>
      <c r="BA60" s="31957">
        <v>45839.50858796296</v>
      </c>
      <c r="BB60" s="17012" t="s">
        <v>63</v>
      </c>
      <c r="BC60" s="31957">
        <v>46022.50879629629</v>
      </c>
      <c r="BD60" s="17012" t="s">
        <v>63</v>
      </c>
      <c r="BE60" s="17010">
        <v>41.29</v>
      </c>
      <c r="BF60" s="17010"/>
      <c r="BG60" s="17011"/>
      <c r="BH60" s="31957">
        <v>46023.509039351855</v>
      </c>
      <c r="BI60" s="17012" t="s">
        <v>63</v>
      </c>
      <c r="BJ60" s="31957">
        <v>46203.50944444445</v>
      </c>
      <c r="BK60" s="17012" t="s">
        <v>63</v>
      </c>
      <c r="BL60" s="17010">
        <v>43.36</v>
      </c>
      <c r="BM60" s="17010"/>
      <c r="BN60" s="17011"/>
      <c r="BO60" s="31957">
        <v>46204.509722222225</v>
      </c>
      <c r="BP60" s="17012" t="s">
        <v>63</v>
      </c>
      <c r="BQ60" s="31957">
        <v>46387.509930555556</v>
      </c>
      <c r="BR60" s="17012" t="s">
        <v>63</v>
      </c>
      <c r="BS60" s="17010">
        <v>43.36</v>
      </c>
      <c r="BT60" s="17010"/>
      <c r="BU60" s="17011"/>
      <c r="BV60" s="31957">
        <v>46388.51017361111</v>
      </c>
      <c r="BW60" s="17012" t="s">
        <v>63</v>
      </c>
      <c r="BX60" s="31957">
        <v>46568.510416666664</v>
      </c>
      <c r="BY60" s="17012" t="s">
        <v>63</v>
      </c>
      <c r="BZ60" s="17010">
        <v>45.09</v>
      </c>
      <c r="CA60" s="17010"/>
      <c r="CB60" s="17011"/>
      <c r="CC60" s="31957">
        <v>46569.51094907407</v>
      </c>
      <c r="CD60" s="17012" t="s">
        <v>63</v>
      </c>
      <c r="CE60" s="31957">
        <v>46752.51119212963</v>
      </c>
      <c r="CF60" s="17012" t="s">
        <v>63</v>
      </c>
      <c r="CG60" s="17010">
        <v>45.09</v>
      </c>
      <c r="CH60" s="17010"/>
      <c r="CI60" s="17011"/>
      <c r="CJ60" s="31957">
        <v>46753.511342592596</v>
      </c>
      <c r="CK60" s="17012" t="s">
        <v>63</v>
      </c>
      <c r="CL60" s="31957">
        <v>46934.51157407407</v>
      </c>
      <c r="CM60" s="17012" t="s">
        <v>63</v>
      </c>
      <c r="CN60" s="23700">
        <v>45.83</v>
      </c>
      <c r="CO60" s="23700"/>
      <c r="CP60" s="23701"/>
      <c r="CQ60" s="31957">
        <v>46935.511921296296</v>
      </c>
      <c r="CR60" s="23703" t="s">
        <v>63</v>
      </c>
      <c r="CS60" s="31957">
        <v>47118.512604166666</v>
      </c>
      <c r="CT60" s="23703" t="s">
        <v>63</v>
      </c>
      <c r="CU60" s="17013"/>
      <c r="CV60" s="170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60" s="16982">
        <f>STRCHECKDATE(V61:CU61)</f>
      </c>
      <c r="CX60" s="16983"/>
      <c r="CY60" s="16983" t="str">
        <f>IF(T60="","",T60)</f>
        <v/>
      </c>
      <c r="CZ60" s="16983"/>
      <c r="DA60" s="16983"/>
      <c r="DB60" s="16984">
        <v>0</v>
      </c>
    </row>
    <row s="48650" customFormat="1" customHeight="1" ht="14.25">
      <c r="A61" s="16967"/>
      <c r="B61" s="16967"/>
      <c r="C61" s="16967"/>
      <c r="D61" s="16967"/>
      <c r="E61" s="16968"/>
      <c r="F61" s="16968">
        <v>1</v>
      </c>
      <c r="G61" s="16968"/>
      <c r="H61" s="16968"/>
      <c r="I61" s="17001"/>
      <c r="J61" s="17001"/>
      <c r="K61" s="16989"/>
      <c r="L61" s="16970"/>
      <c r="M61" s="16990"/>
      <c r="N61" s="16990"/>
      <c r="O61" s="16990"/>
      <c r="P61" s="16991"/>
      <c r="Q61" s="16991"/>
      <c r="R61" s="17002"/>
      <c r="S61" s="17016"/>
      <c r="T61" s="16977"/>
      <c r="U61" s="16977"/>
      <c r="V61" s="17017"/>
      <c r="W61" s="17017"/>
      <c r="X61" s="17018" t="str">
        <f>Y60&amp;"-"&amp;AA60</f>
        <v>-</v>
      </c>
      <c r="Y61" s="17019"/>
      <c r="Z61" s="17012"/>
      <c r="AA61" s="17019"/>
      <c r="AB61" s="17012"/>
      <c r="AC61" s="17017"/>
      <c r="AD61" s="17017"/>
      <c r="AE61" s="17018" t="str">
        <f>AF60&amp;"-"&amp;AH60</f>
        <v>45292.50638888889-45473.50739583333</v>
      </c>
      <c r="AF61" s="17019"/>
      <c r="AG61" s="17012"/>
      <c r="AH61" s="17020"/>
      <c r="AI61" s="17012"/>
      <c r="AJ61" s="17017"/>
      <c r="AK61" s="17017"/>
      <c r="AL61" s="17018" t="str">
        <f>AM60&amp;"-"&amp;AO60</f>
        <v>45474.507569444446-45657.507731481484</v>
      </c>
      <c r="AM61" s="17019"/>
      <c r="AN61" s="17012"/>
      <c r="AO61" s="17019"/>
      <c r="AP61" s="17012"/>
      <c r="AQ61" s="17017"/>
      <c r="AR61" s="17017"/>
      <c r="AS61" s="17018" t="str">
        <f>AT60&amp;"-"&amp;AV60</f>
        <v>45658.50792824074-45838.508125</v>
      </c>
      <c r="AT61" s="17019"/>
      <c r="AU61" s="17012"/>
      <c r="AV61" s="17019"/>
      <c r="AW61" s="17012"/>
      <c r="AX61" s="17017"/>
      <c r="AY61" s="17017"/>
      <c r="AZ61" s="17018" t="str">
        <f>BA60&amp;"-"&amp;BC60</f>
        <v>45839.50858796296-46022.50879629629</v>
      </c>
      <c r="BA61" s="17019"/>
      <c r="BB61" s="17012"/>
      <c r="BC61" s="17019"/>
      <c r="BD61" s="17012"/>
      <c r="BE61" s="17017"/>
      <c r="BF61" s="17017"/>
      <c r="BG61" s="17018" t="str">
        <f>BH60&amp;"-"&amp;BJ60</f>
        <v>46023.509039351855-46203.50944444445</v>
      </c>
      <c r="BH61" s="17019"/>
      <c r="BI61" s="17012"/>
      <c r="BJ61" s="17019"/>
      <c r="BK61" s="17012"/>
      <c r="BL61" s="17017"/>
      <c r="BM61" s="17017"/>
      <c r="BN61" s="17018" t="str">
        <f>BO60&amp;"-"&amp;BQ60</f>
        <v>46204.509722222225-46387.509930555556</v>
      </c>
      <c r="BO61" s="17019"/>
      <c r="BP61" s="17012"/>
      <c r="BQ61" s="17019"/>
      <c r="BR61" s="17012"/>
      <c r="BS61" s="17017"/>
      <c r="BT61" s="17017"/>
      <c r="BU61" s="17018" t="str">
        <f>BV60&amp;"-"&amp;BX60</f>
        <v>46388.51017361111-46568.510416666664</v>
      </c>
      <c r="BV61" s="17019"/>
      <c r="BW61" s="17012"/>
      <c r="BX61" s="17019"/>
      <c r="BY61" s="17012"/>
      <c r="BZ61" s="17017"/>
      <c r="CA61" s="17017"/>
      <c r="CB61" s="17018" t="str">
        <f>CC60&amp;"-"&amp;CE60</f>
        <v>46569.51094907407-46752.51119212963</v>
      </c>
      <c r="CC61" s="17019"/>
      <c r="CD61" s="17012"/>
      <c r="CE61" s="17019"/>
      <c r="CF61" s="17012"/>
      <c r="CG61" s="17017"/>
      <c r="CH61" s="17017"/>
      <c r="CI61" s="17018" t="str">
        <f>CJ60&amp;"-"&amp;CL60</f>
        <v>46753.511342592596-46934.51157407407</v>
      </c>
      <c r="CJ61" s="17019"/>
      <c r="CK61" s="17012"/>
      <c r="CL61" s="17019"/>
      <c r="CM61" s="17012"/>
      <c r="CN61" s="23708"/>
      <c r="CO61" s="23708"/>
      <c r="CP61" s="23709" t="str">
        <f>CQ60&amp;"-"&amp;CS60</f>
        <v>46935.511921296296-47118.512604166666</v>
      </c>
      <c r="CQ61" s="23710"/>
      <c r="CR61" s="23703"/>
      <c r="CS61" s="23710"/>
      <c r="CT61" s="23703"/>
      <c r="CU61" s="17021"/>
      <c r="CV61" s="17014"/>
      <c r="CW61" s="16982"/>
      <c r="CX61" s="16983"/>
      <c r="CY61" s="16983" t="str">
        <f>IF(T61="","",T61)</f>
        <v/>
      </c>
      <c r="CZ61" s="16983"/>
      <c r="DA61" s="16983"/>
      <c r="DB61" s="16984">
        <v>0</v>
      </c>
    </row>
    <row s="48657" customFormat="1" customHeight="1" ht="21">
      <c r="A62" s="16967"/>
      <c r="B62" s="16967"/>
      <c r="C62" s="16967"/>
      <c r="D62" s="16967"/>
      <c r="E62" s="16968"/>
      <c r="F62" s="16968">
        <v>1</v>
      </c>
      <c r="G62" s="16968"/>
      <c r="H62" s="16968"/>
      <c r="I62" s="17001"/>
      <c r="J62" s="16989"/>
      <c r="K62" s="16967"/>
      <c r="L62" s="16970"/>
      <c r="M62" s="16990"/>
      <c r="N62" s="16990"/>
      <c r="O62" s="16990"/>
      <c r="P62" s="16991"/>
      <c r="Q62" s="16991"/>
      <c r="R62" s="16992"/>
      <c r="S62" s="17023"/>
      <c r="T62" s="17024" t="s">
        <v>601</v>
      </c>
      <c r="U62" s="17025"/>
      <c r="V62" s="17026"/>
      <c r="W62" s="17027"/>
      <c r="X62" s="17028"/>
      <c r="Y62" s="17029"/>
      <c r="Z62" s="17030"/>
      <c r="AA62" s="17031"/>
      <c r="AB62" s="17032"/>
      <c r="AC62" s="17033"/>
      <c r="AD62" s="17034"/>
      <c r="AE62" s="17035"/>
      <c r="AF62" s="17036"/>
      <c r="AG62" s="17037"/>
      <c r="AH62" s="17038"/>
      <c r="AI62" s="17039"/>
      <c r="AJ62" s="17040"/>
      <c r="AK62" s="17041"/>
      <c r="AL62" s="17042"/>
      <c r="AM62" s="17043"/>
      <c r="AN62" s="17044"/>
      <c r="AO62" s="17045"/>
      <c r="AP62" s="17046"/>
      <c r="AQ62" s="17047"/>
      <c r="AR62" s="17048"/>
      <c r="AS62" s="17049"/>
      <c r="AT62" s="17050"/>
      <c r="AU62" s="17051"/>
      <c r="AV62" s="17052"/>
      <c r="AW62" s="17053"/>
      <c r="AX62" s="17054"/>
      <c r="AY62" s="17055"/>
      <c r="AZ62" s="17056"/>
      <c r="BA62" s="17057"/>
      <c r="BB62" s="17058"/>
      <c r="BC62" s="17059"/>
      <c r="BD62" s="17060"/>
      <c r="BE62" s="17061"/>
      <c r="BF62" s="17062"/>
      <c r="BG62" s="17063"/>
      <c r="BH62" s="17064"/>
      <c r="BI62" s="17065"/>
      <c r="BJ62" s="17066"/>
      <c r="BK62" s="17067"/>
      <c r="BL62" s="17068"/>
      <c r="BM62" s="17069"/>
      <c r="BN62" s="17070"/>
      <c r="BO62" s="17071"/>
      <c r="BP62" s="17072"/>
      <c r="BQ62" s="17073"/>
      <c r="BR62" s="17074"/>
      <c r="BS62" s="17075"/>
      <c r="BT62" s="17076"/>
      <c r="BU62" s="17077"/>
      <c r="BV62" s="17078"/>
      <c r="BW62" s="17079"/>
      <c r="BX62" s="17080"/>
      <c r="BY62" s="17081"/>
      <c r="BZ62" s="17082"/>
      <c r="CA62" s="17083"/>
      <c r="CB62" s="17084"/>
      <c r="CC62" s="17085"/>
      <c r="CD62" s="17086"/>
      <c r="CE62" s="17087"/>
      <c r="CF62" s="17088"/>
      <c r="CG62" s="17089"/>
      <c r="CH62" s="17090"/>
      <c r="CI62" s="17091"/>
      <c r="CJ62" s="17092"/>
      <c r="CK62" s="17093"/>
      <c r="CL62" s="17094"/>
      <c r="CM62" s="17095"/>
      <c r="CN62" s="24389"/>
      <c r="CO62" s="24390"/>
      <c r="CP62" s="24391"/>
      <c r="CQ62" s="24392"/>
      <c r="CR62" s="24393"/>
      <c r="CS62" s="24394"/>
      <c r="CT62" s="24395"/>
      <c r="CU62" s="17096"/>
      <c r="CV62" s="16981" t="s">
        <v>602</v>
      </c>
      <c r="CW62" s="16982"/>
      <c r="CX62" s="16983"/>
      <c r="CY62" s="16983" t="str">
        <f>IF(T62="","",T62)</f>
        <v>Добавить значение признака дифференциации</v>
      </c>
      <c r="CZ62" s="16983"/>
      <c r="DA62" s="16983"/>
      <c r="DB62" s="16984">
        <v>0</v>
      </c>
    </row>
    <row s="48739" customFormat="1" customHeight="1" ht="23.25">
      <c r="A63" s="32051"/>
      <c r="B63" s="32051"/>
      <c r="C63" s="32051"/>
      <c r="D63" s="32051"/>
      <c r="E63" s="32052"/>
      <c r="F63" s="32052"/>
      <c r="G63" s="32052"/>
      <c r="H63" s="32052"/>
      <c r="I63" s="32053"/>
      <c r="J63" s="32054" t="str">
        <f>I58&amp;".2"</f>
        <v>1.2.1.1.2</v>
      </c>
      <c r="K63" s="32051"/>
      <c r="L63" s="32055" t="s">
        <v>524</v>
      </c>
      <c r="M63" s="32056"/>
      <c r="N63" s="32056"/>
      <c r="O63" s="32056"/>
      <c r="P63" s="32057"/>
      <c r="Q63" s="32058" t="s">
        <v>106</v>
      </c>
      <c r="R63" s="32059"/>
      <c r="S63" s="32060" t="str">
        <f>$J63</f>
        <v>1.2.1.1.2</v>
      </c>
      <c r="T63" s="32061" t="s">
        <v>525</v>
      </c>
      <c r="U63" s="32062"/>
      <c r="V63" s="32063"/>
      <c r="W63" s="32064"/>
      <c r="X63" s="32064"/>
      <c r="Y63" s="32064"/>
      <c r="Z63" s="32064"/>
      <c r="AA63" s="32064"/>
      <c r="AB63" s="32065"/>
      <c r="AC63" s="32063" t="s">
        <v>637</v>
      </c>
      <c r="AD63" s="32064"/>
      <c r="AE63" s="32064"/>
      <c r="AF63" s="32064"/>
      <c r="AG63" s="32064"/>
      <c r="AH63" s="32064"/>
      <c r="AI63" s="32064"/>
      <c r="AJ63" s="32063"/>
      <c r="AK63" s="32064"/>
      <c r="AL63" s="32064"/>
      <c r="AM63" s="32064"/>
      <c r="AN63" s="32064"/>
      <c r="AO63" s="32064"/>
      <c r="AP63" s="32065"/>
      <c r="AQ63" s="32063"/>
      <c r="AR63" s="32064"/>
      <c r="AS63" s="32064"/>
      <c r="AT63" s="32064"/>
      <c r="AU63" s="32064"/>
      <c r="AV63" s="32064"/>
      <c r="AW63" s="32065"/>
      <c r="AX63" s="32063"/>
      <c r="AY63" s="32064"/>
      <c r="AZ63" s="32064"/>
      <c r="BA63" s="32064"/>
      <c r="BB63" s="32064"/>
      <c r="BC63" s="32064"/>
      <c r="BD63" s="32065"/>
      <c r="BE63" s="32063"/>
      <c r="BF63" s="32064"/>
      <c r="BG63" s="32064"/>
      <c r="BH63" s="32064"/>
      <c r="BI63" s="32064"/>
      <c r="BJ63" s="32064"/>
      <c r="BK63" s="32065"/>
      <c r="BL63" s="32063"/>
      <c r="BM63" s="32064"/>
      <c r="BN63" s="32064"/>
      <c r="BO63" s="32064"/>
      <c r="BP63" s="32064"/>
      <c r="BQ63" s="32064"/>
      <c r="BR63" s="32065"/>
      <c r="BS63" s="32063"/>
      <c r="BT63" s="32064"/>
      <c r="BU63" s="32064"/>
      <c r="BV63" s="32064"/>
      <c r="BW63" s="32064"/>
      <c r="BX63" s="32064"/>
      <c r="BY63" s="32065"/>
      <c r="BZ63" s="32063"/>
      <c r="CA63" s="32064"/>
      <c r="CB63" s="32064"/>
      <c r="CC63" s="32064"/>
      <c r="CD63" s="32064"/>
      <c r="CE63" s="32064"/>
      <c r="CF63" s="32065"/>
      <c r="CG63" s="32063"/>
      <c r="CH63" s="32064"/>
      <c r="CI63" s="32064"/>
      <c r="CJ63" s="32064"/>
      <c r="CK63" s="32064"/>
      <c r="CL63" s="32064"/>
      <c r="CM63" s="32065"/>
      <c r="CN63" s="32063"/>
      <c r="CO63" s="32064"/>
      <c r="CP63" s="32064"/>
      <c r="CQ63" s="32064"/>
      <c r="CR63" s="32064"/>
      <c r="CS63" s="32064"/>
      <c r="CT63" s="32066"/>
      <c r="CU63" s="32065"/>
      <c r="CV63" s="32067" t="s">
        <v>600</v>
      </c>
      <c r="CW63" s="32068"/>
      <c r="CX63" s="32069"/>
      <c r="CY63" s="32069" t="str">
        <f>IF(T63="","",T63)</f>
        <v>Группа потребителей</v>
      </c>
      <c r="CZ63" s="32069"/>
      <c r="DA63" s="32069"/>
      <c r="DB63" s="32070">
        <v>0</v>
      </c>
    </row>
    <row s="48760" customFormat="1" customHeight="1" ht="23.25">
      <c r="A64" s="32051"/>
      <c r="B64" s="32051"/>
      <c r="C64" s="32051"/>
      <c r="D64" s="32051"/>
      <c r="E64" s="32052"/>
      <c r="F64" s="32052"/>
      <c r="G64" s="32052"/>
      <c r="H64" s="32052"/>
      <c r="I64" s="32053"/>
      <c r="J64" s="32053" t="str">
        <f>I58&amp;".1"</f>
        <v>1.2.1.1.1</v>
      </c>
      <c r="K64" s="32054" t="str">
        <f>J63&amp;".1"</f>
        <v>1.2.1.1.2.1</v>
      </c>
      <c r="L64" s="32055"/>
      <c r="M64" s="32056"/>
      <c r="N64" s="32056"/>
      <c r="O64" s="32056"/>
      <c r="P64" s="32057"/>
      <c r="Q64" s="32057"/>
      <c r="R64" s="32059">
        <v>1</v>
      </c>
      <c r="S64" s="32060" t="str">
        <f>$K64</f>
        <v>1.2.1.1.2.1</v>
      </c>
      <c r="T64" s="32072"/>
      <c r="U64" s="32062"/>
      <c r="V64" s="32073"/>
      <c r="W64" s="32073"/>
      <c r="X64" s="32074"/>
      <c r="Y64" s="31957"/>
      <c r="Z64" s="32075" t="s">
        <v>63</v>
      </c>
      <c r="AA64" s="31957"/>
      <c r="AB64" s="32075" t="s">
        <v>63</v>
      </c>
      <c r="AC64" s="32073">
        <v>22.62</v>
      </c>
      <c r="AD64" s="32073"/>
      <c r="AE64" s="32074"/>
      <c r="AF64" s="31957">
        <v>45292.506574074076</v>
      </c>
      <c r="AG64" s="32075" t="s">
        <v>63</v>
      </c>
      <c r="AH64" s="31958">
        <v>45473.50746527778</v>
      </c>
      <c r="AI64" s="32075" t="s">
        <v>63</v>
      </c>
      <c r="AJ64" s="32073">
        <v>29.41</v>
      </c>
      <c r="AK64" s="32073"/>
      <c r="AL64" s="32074"/>
      <c r="AM64" s="31957">
        <v>45474.50766203704</v>
      </c>
      <c r="AN64" s="32075" t="s">
        <v>63</v>
      </c>
      <c r="AO64" s="31957">
        <v>45657.50780092592</v>
      </c>
      <c r="AP64" s="32075" t="s">
        <v>63</v>
      </c>
      <c r="AQ64" s="32073">
        <v>29.41</v>
      </c>
      <c r="AR64" s="32073"/>
      <c r="AS64" s="32074"/>
      <c r="AT64" s="31957">
        <v>45658.508043981485</v>
      </c>
      <c r="AU64" s="32075" t="s">
        <v>63</v>
      </c>
      <c r="AV64" s="31957">
        <v>45838.5083912037</v>
      </c>
      <c r="AW64" s="32075" t="s">
        <v>63</v>
      </c>
      <c r="AX64" s="32073">
        <v>34.41</v>
      </c>
      <c r="AY64" s="32073"/>
      <c r="AZ64" s="32074"/>
      <c r="BA64" s="31957">
        <v>45474.5087037037</v>
      </c>
      <c r="BB64" s="32075" t="s">
        <v>63</v>
      </c>
      <c r="BC64" s="31957">
        <v>46022.50886574074</v>
      </c>
      <c r="BD64" s="32075" t="s">
        <v>63</v>
      </c>
      <c r="BE64" s="32073">
        <v>34.41</v>
      </c>
      <c r="BF64" s="32073"/>
      <c r="BG64" s="32074"/>
      <c r="BH64" s="31957">
        <v>46023.50914351852</v>
      </c>
      <c r="BI64" s="32075" t="s">
        <v>63</v>
      </c>
      <c r="BJ64" s="31957">
        <v>46203.50954861111</v>
      </c>
      <c r="BK64" s="32075" t="s">
        <v>63</v>
      </c>
      <c r="BL64" s="32073">
        <v>36.13</v>
      </c>
      <c r="BM64" s="32073"/>
      <c r="BN64" s="32074"/>
      <c r="BO64" s="31957">
        <v>46204.50983796296</v>
      </c>
      <c r="BP64" s="32075" t="s">
        <v>63</v>
      </c>
      <c r="BQ64" s="31957">
        <v>46387.51001157407</v>
      </c>
      <c r="BR64" s="32075" t="s">
        <v>63</v>
      </c>
      <c r="BS64" s="32073">
        <v>36.13</v>
      </c>
      <c r="BT64" s="32073"/>
      <c r="BU64" s="32074"/>
      <c r="BV64" s="31957">
        <v>46388.5102662037</v>
      </c>
      <c r="BW64" s="32075" t="s">
        <v>63</v>
      </c>
      <c r="BX64" s="31957">
        <v>46568.510613425926</v>
      </c>
      <c r="BY64" s="32075" t="s">
        <v>63</v>
      </c>
      <c r="BZ64" s="32073">
        <v>37.58</v>
      </c>
      <c r="CA64" s="32073"/>
      <c r="CB64" s="32074"/>
      <c r="CC64" s="31957">
        <v>46569.511087962965</v>
      </c>
      <c r="CD64" s="32075" t="s">
        <v>63</v>
      </c>
      <c r="CE64" s="31957">
        <v>46752.51126157407</v>
      </c>
      <c r="CF64" s="32075" t="s">
        <v>63</v>
      </c>
      <c r="CG64" s="32073">
        <v>37.58</v>
      </c>
      <c r="CH64" s="32073"/>
      <c r="CI64" s="32074"/>
      <c r="CJ64" s="31957">
        <v>46753.51143518519</v>
      </c>
      <c r="CK64" s="32075" t="s">
        <v>63</v>
      </c>
      <c r="CL64" s="31957">
        <v>46934.51167824074</v>
      </c>
      <c r="CM64" s="32075" t="s">
        <v>63</v>
      </c>
      <c r="CN64" s="32073">
        <v>38.19</v>
      </c>
      <c r="CO64" s="32073"/>
      <c r="CP64" s="32074"/>
      <c r="CQ64" s="31957">
        <v>46935.51200231481</v>
      </c>
      <c r="CR64" s="32075" t="s">
        <v>63</v>
      </c>
      <c r="CS64" s="31957">
        <v>47118.5128125</v>
      </c>
      <c r="CT64" s="32076" t="s">
        <v>63</v>
      </c>
      <c r="CU64" s="32077"/>
      <c r="CV64" s="3207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64" s="32068">
        <f>STRCHECKDATE(V65:CU65)</f>
      </c>
      <c r="CX64" s="32069"/>
      <c r="CY64" s="32069" t="str">
        <f>IF(T64="","",T64)</f>
        <v/>
      </c>
      <c r="CZ64" s="32069"/>
      <c r="DA64" s="32069"/>
      <c r="DB64" s="32070">
        <v>0</v>
      </c>
    </row>
    <row s="48768" customFormat="1" customHeight="1" ht="14.25">
      <c r="A65" s="32051"/>
      <c r="B65" s="32051"/>
      <c r="C65" s="32051"/>
      <c r="D65" s="32051"/>
      <c r="E65" s="32052"/>
      <c r="F65" s="32052"/>
      <c r="G65" s="32052"/>
      <c r="H65" s="32052"/>
      <c r="I65" s="32053"/>
      <c r="J65" s="32053" t="str">
        <f>I58&amp;".1"</f>
        <v>1.2.1.1.1</v>
      </c>
      <c r="K65" s="32054"/>
      <c r="L65" s="32055"/>
      <c r="M65" s="32056"/>
      <c r="N65" s="32056"/>
      <c r="O65" s="32056"/>
      <c r="P65" s="32057"/>
      <c r="Q65" s="32057"/>
      <c r="R65" s="32059"/>
      <c r="S65" s="32080"/>
      <c r="T65" s="32062"/>
      <c r="U65" s="32062"/>
      <c r="V65" s="32081"/>
      <c r="W65" s="32081"/>
      <c r="X65" s="32082" t="str">
        <f>Y64&amp;"-"&amp;AA64</f>
        <v>-</v>
      </c>
      <c r="Y65" s="32083"/>
      <c r="Z65" s="32075"/>
      <c r="AA65" s="32083"/>
      <c r="AB65" s="32075"/>
      <c r="AC65" s="32081"/>
      <c r="AD65" s="32081"/>
      <c r="AE65" s="32082" t="str">
        <f>AF64&amp;"-"&amp;AH64</f>
        <v>45292.506574074076-45473.50746527778</v>
      </c>
      <c r="AF65" s="32083"/>
      <c r="AG65" s="32075"/>
      <c r="AH65" s="32084"/>
      <c r="AI65" s="32075"/>
      <c r="AJ65" s="32081"/>
      <c r="AK65" s="32081"/>
      <c r="AL65" s="32082" t="str">
        <f>AM64&amp;"-"&amp;AO64</f>
        <v>45474.50766203704-45657.50780092592</v>
      </c>
      <c r="AM65" s="32083"/>
      <c r="AN65" s="32075"/>
      <c r="AO65" s="32083"/>
      <c r="AP65" s="32075"/>
      <c r="AQ65" s="32081"/>
      <c r="AR65" s="32081"/>
      <c r="AS65" s="32082" t="str">
        <f>AT64&amp;"-"&amp;AV64</f>
        <v>45658.508043981485-45838.5083912037</v>
      </c>
      <c r="AT65" s="32083"/>
      <c r="AU65" s="32075"/>
      <c r="AV65" s="32083"/>
      <c r="AW65" s="32075"/>
      <c r="AX65" s="32081"/>
      <c r="AY65" s="32081"/>
      <c r="AZ65" s="32082" t="str">
        <f>BA64&amp;"-"&amp;BC64</f>
        <v>45474.5087037037-46022.50886574074</v>
      </c>
      <c r="BA65" s="32083"/>
      <c r="BB65" s="32075"/>
      <c r="BC65" s="32083"/>
      <c r="BD65" s="32075"/>
      <c r="BE65" s="32081"/>
      <c r="BF65" s="32081"/>
      <c r="BG65" s="32082" t="str">
        <f>BH64&amp;"-"&amp;BJ64</f>
        <v>46023.50914351852-46203.50954861111</v>
      </c>
      <c r="BH65" s="32083"/>
      <c r="BI65" s="32075"/>
      <c r="BJ65" s="32083"/>
      <c r="BK65" s="32075"/>
      <c r="BL65" s="32081"/>
      <c r="BM65" s="32081"/>
      <c r="BN65" s="32082" t="str">
        <f>BO64&amp;"-"&amp;BQ64</f>
        <v>46204.50983796296-46387.51001157407</v>
      </c>
      <c r="BO65" s="32083"/>
      <c r="BP65" s="32075"/>
      <c r="BQ65" s="32083"/>
      <c r="BR65" s="32075"/>
      <c r="BS65" s="32081"/>
      <c r="BT65" s="32081"/>
      <c r="BU65" s="32082" t="str">
        <f>BV64&amp;"-"&amp;BX64</f>
        <v>46388.5102662037-46568.510613425926</v>
      </c>
      <c r="BV65" s="32083"/>
      <c r="BW65" s="32075"/>
      <c r="BX65" s="32083"/>
      <c r="BY65" s="32075"/>
      <c r="BZ65" s="32081"/>
      <c r="CA65" s="32081"/>
      <c r="CB65" s="32082" t="str">
        <f>CC64&amp;"-"&amp;CE64</f>
        <v>46569.511087962965-46752.51126157407</v>
      </c>
      <c r="CC65" s="32083"/>
      <c r="CD65" s="32075"/>
      <c r="CE65" s="32083"/>
      <c r="CF65" s="32075"/>
      <c r="CG65" s="32081"/>
      <c r="CH65" s="32081"/>
      <c r="CI65" s="32082" t="str">
        <f>CJ64&amp;"-"&amp;CL64</f>
        <v>46753.51143518519-46934.51167824074</v>
      </c>
      <c r="CJ65" s="32083"/>
      <c r="CK65" s="32075"/>
      <c r="CL65" s="32083"/>
      <c r="CM65" s="32075"/>
      <c r="CN65" s="32081"/>
      <c r="CO65" s="32081"/>
      <c r="CP65" s="32082" t="str">
        <f>CQ64&amp;"-"&amp;CS64</f>
        <v>46935.51200231481-47118.5128125</v>
      </c>
      <c r="CQ65" s="32083"/>
      <c r="CR65" s="32075"/>
      <c r="CS65" s="32083"/>
      <c r="CT65" s="32076"/>
      <c r="CU65" s="32085"/>
      <c r="CV65" s="32078"/>
      <c r="CW65" s="32068"/>
      <c r="CX65" s="32069"/>
      <c r="CY65" s="32069" t="str">
        <f>IF(T65="","",T65)</f>
        <v/>
      </c>
      <c r="CZ65" s="32069"/>
      <c r="DA65" s="32069"/>
      <c r="DB65" s="32070">
        <v>0</v>
      </c>
    </row>
    <row s="48775" customFormat="1" customHeight="1" ht="21">
      <c r="A66" s="32051"/>
      <c r="B66" s="32051"/>
      <c r="C66" s="32051"/>
      <c r="D66" s="32051"/>
      <c r="E66" s="32052"/>
      <c r="F66" s="32052"/>
      <c r="G66" s="32052"/>
      <c r="H66" s="32052"/>
      <c r="I66" s="32053"/>
      <c r="J66" s="32054" t="str">
        <f>I58&amp;".1"</f>
        <v>1.2.1.1.1</v>
      </c>
      <c r="K66" s="32051"/>
      <c r="L66" s="32055"/>
      <c r="M66" s="32056"/>
      <c r="N66" s="32056"/>
      <c r="O66" s="32056"/>
      <c r="P66" s="32057"/>
      <c r="Q66" s="32057"/>
      <c r="R66" s="32087"/>
      <c r="S66" s="32088"/>
      <c r="T66" s="32089" t="s">
        <v>601</v>
      </c>
      <c r="U66" s="32090"/>
      <c r="V66" s="32091"/>
      <c r="W66" s="32092"/>
      <c r="X66" s="32093"/>
      <c r="Y66" s="32094"/>
      <c r="Z66" s="32095"/>
      <c r="AA66" s="32096"/>
      <c r="AB66" s="32097"/>
      <c r="AC66" s="32098"/>
      <c r="AD66" s="32099"/>
      <c r="AE66" s="32100"/>
      <c r="AF66" s="32101"/>
      <c r="AG66" s="32102"/>
      <c r="AH66" s="32103"/>
      <c r="AI66" s="32104"/>
      <c r="AJ66" s="32105"/>
      <c r="AK66" s="32106"/>
      <c r="AL66" s="32107"/>
      <c r="AM66" s="32108"/>
      <c r="AN66" s="32109"/>
      <c r="AO66" s="32110"/>
      <c r="AP66" s="32111"/>
      <c r="AQ66" s="32112"/>
      <c r="AR66" s="32113"/>
      <c r="AS66" s="32114"/>
      <c r="AT66" s="32115"/>
      <c r="AU66" s="32116"/>
      <c r="AV66" s="32117"/>
      <c r="AW66" s="32118"/>
      <c r="AX66" s="32119"/>
      <c r="AY66" s="32120"/>
      <c r="AZ66" s="32121"/>
      <c r="BA66" s="32122"/>
      <c r="BB66" s="32123"/>
      <c r="BC66" s="32124"/>
      <c r="BD66" s="32125"/>
      <c r="BE66" s="32126"/>
      <c r="BF66" s="32127"/>
      <c r="BG66" s="32128"/>
      <c r="BH66" s="32129"/>
      <c r="BI66" s="32130"/>
      <c r="BJ66" s="32131"/>
      <c r="BK66" s="32132"/>
      <c r="BL66" s="32133"/>
      <c r="BM66" s="32134"/>
      <c r="BN66" s="32135"/>
      <c r="BO66" s="32136"/>
      <c r="BP66" s="32137"/>
      <c r="BQ66" s="32138"/>
      <c r="BR66" s="32139"/>
      <c r="BS66" s="32140"/>
      <c r="BT66" s="32141"/>
      <c r="BU66" s="32142"/>
      <c r="BV66" s="32143"/>
      <c r="BW66" s="32144"/>
      <c r="BX66" s="32145"/>
      <c r="BY66" s="32146"/>
      <c r="BZ66" s="32147"/>
      <c r="CA66" s="32148"/>
      <c r="CB66" s="32149"/>
      <c r="CC66" s="32150"/>
      <c r="CD66" s="32151"/>
      <c r="CE66" s="32152"/>
      <c r="CF66" s="32153"/>
      <c r="CG66" s="32154"/>
      <c r="CH66" s="32155"/>
      <c r="CI66" s="32156"/>
      <c r="CJ66" s="32157"/>
      <c r="CK66" s="32158"/>
      <c r="CL66" s="32159"/>
      <c r="CM66" s="32160"/>
      <c r="CN66" s="32161"/>
      <c r="CO66" s="32162"/>
      <c r="CP66" s="32163"/>
      <c r="CQ66" s="32164"/>
      <c r="CR66" s="32165"/>
      <c r="CS66" s="32166"/>
      <c r="CT66" s="32167"/>
      <c r="CU66" s="32168"/>
      <c r="CV66" s="32169" t="s">
        <v>602</v>
      </c>
      <c r="CW66" s="32068"/>
      <c r="CX66" s="32069"/>
      <c r="CY66" s="32069" t="str">
        <f>IF(T66="","",T66)</f>
        <v>Добавить значение признака дифференциации</v>
      </c>
      <c r="CZ66" s="32069"/>
      <c r="DA66" s="32069"/>
      <c r="DB66" s="32070">
        <v>0</v>
      </c>
    </row>
    <row s="48859" customFormat="1" customHeight="1" ht="21">
      <c r="A67" s="16967"/>
      <c r="B67" s="16967"/>
      <c r="C67" s="16967"/>
      <c r="D67" s="16967"/>
      <c r="E67" s="16968"/>
      <c r="F67" s="16968">
        <v>1</v>
      </c>
      <c r="G67" s="16968"/>
      <c r="H67" s="16968"/>
      <c r="I67" s="16989"/>
      <c r="J67" s="16967"/>
      <c r="K67" s="16967"/>
      <c r="L67" s="16970"/>
      <c r="M67" s="16990"/>
      <c r="N67" s="16990"/>
      <c r="O67" s="16990"/>
      <c r="P67" s="16991"/>
      <c r="Q67" s="16991"/>
      <c r="R67" s="16992"/>
      <c r="S67" s="17098"/>
      <c r="T67" s="17099" t="s">
        <v>530</v>
      </c>
      <c r="U67" s="17100"/>
      <c r="V67" s="17101"/>
      <c r="W67" s="17102"/>
      <c r="X67" s="17103"/>
      <c r="Y67" s="17104"/>
      <c r="Z67" s="17105"/>
      <c r="AA67" s="17106"/>
      <c r="AB67" s="17107"/>
      <c r="AC67" s="17108"/>
      <c r="AD67" s="17109"/>
      <c r="AE67" s="17110"/>
      <c r="AF67" s="17111"/>
      <c r="AG67" s="17112"/>
      <c r="AH67" s="17113"/>
      <c r="AI67" s="17114"/>
      <c r="AJ67" s="17115"/>
      <c r="AK67" s="17116"/>
      <c r="AL67" s="17117"/>
      <c r="AM67" s="17118"/>
      <c r="AN67" s="17119"/>
      <c r="AO67" s="17120"/>
      <c r="AP67" s="17121"/>
      <c r="AQ67" s="17122"/>
      <c r="AR67" s="17123"/>
      <c r="AS67" s="17124"/>
      <c r="AT67" s="17125"/>
      <c r="AU67" s="17126"/>
      <c r="AV67" s="17127"/>
      <c r="AW67" s="17128"/>
      <c r="AX67" s="17129"/>
      <c r="AY67" s="17130"/>
      <c r="AZ67" s="17131"/>
      <c r="BA67" s="17132"/>
      <c r="BB67" s="17133"/>
      <c r="BC67" s="17134"/>
      <c r="BD67" s="17135"/>
      <c r="BE67" s="17136"/>
      <c r="BF67" s="17137"/>
      <c r="BG67" s="17138"/>
      <c r="BH67" s="17139"/>
      <c r="BI67" s="17140"/>
      <c r="BJ67" s="17141"/>
      <c r="BK67" s="17142"/>
      <c r="BL67" s="17143"/>
      <c r="BM67" s="17144"/>
      <c r="BN67" s="17145"/>
      <c r="BO67" s="17146"/>
      <c r="BP67" s="17147"/>
      <c r="BQ67" s="17148"/>
      <c r="BR67" s="17149"/>
      <c r="BS67" s="17150"/>
      <c r="BT67" s="17151"/>
      <c r="BU67" s="17152"/>
      <c r="BV67" s="17153"/>
      <c r="BW67" s="17154"/>
      <c r="BX67" s="17155"/>
      <c r="BY67" s="17156"/>
      <c r="BZ67" s="17157"/>
      <c r="CA67" s="17158"/>
      <c r="CB67" s="17159"/>
      <c r="CC67" s="17160"/>
      <c r="CD67" s="17161"/>
      <c r="CE67" s="17162"/>
      <c r="CF67" s="17163"/>
      <c r="CG67" s="17164"/>
      <c r="CH67" s="17165"/>
      <c r="CI67" s="17166"/>
      <c r="CJ67" s="17167"/>
      <c r="CK67" s="17168"/>
      <c r="CL67" s="17169"/>
      <c r="CM67" s="17170"/>
      <c r="CN67" s="24471"/>
      <c r="CO67" s="24472"/>
      <c r="CP67" s="24473"/>
      <c r="CQ67" s="24474"/>
      <c r="CR67" s="24475"/>
      <c r="CS67" s="24476"/>
      <c r="CT67" s="24477"/>
      <c r="CU67" s="17171"/>
      <c r="CV67" s="17172"/>
      <c r="CW67" s="16982"/>
      <c r="CX67" s="16983"/>
      <c r="CY67" s="16983" t="str">
        <f>IF(T67="","",T67)</f>
        <v>Добавить группу потребителей</v>
      </c>
      <c r="CZ67" s="16983"/>
      <c r="DA67" s="16983"/>
      <c r="DB67" s="16984">
        <v>0</v>
      </c>
    </row>
    <row s="48942" customFormat="1" customHeight="1" ht="21">
      <c r="A68" s="16967"/>
      <c r="B68" s="16967"/>
      <c r="C68" s="16967"/>
      <c r="D68" s="16967"/>
      <c r="E68" s="16968"/>
      <c r="F68" s="16968">
        <v>1</v>
      </c>
      <c r="G68" s="16968"/>
      <c r="H68" s="16969"/>
      <c r="I68" s="16967"/>
      <c r="J68" s="16967"/>
      <c r="K68" s="16967"/>
      <c r="L68" s="16970"/>
      <c r="M68" s="16971"/>
      <c r="N68" s="16971"/>
      <c r="O68" s="17174"/>
      <c r="P68" s="17175"/>
      <c r="Q68" s="17176"/>
      <c r="R68" s="17177"/>
      <c r="S68" s="17178"/>
      <c r="T68" s="17179" t="s">
        <v>603</v>
      </c>
      <c r="U68" s="17180"/>
      <c r="V68" s="17181"/>
      <c r="W68" s="17182"/>
      <c r="X68" s="17183"/>
      <c r="Y68" s="17184"/>
      <c r="Z68" s="17185"/>
      <c r="AA68" s="17186"/>
      <c r="AB68" s="17187"/>
      <c r="AC68" s="17188"/>
      <c r="AD68" s="17189"/>
      <c r="AE68" s="17190"/>
      <c r="AF68" s="17191"/>
      <c r="AG68" s="17192"/>
      <c r="AH68" s="17193"/>
      <c r="AI68" s="17194"/>
      <c r="AJ68" s="17195"/>
      <c r="AK68" s="17196"/>
      <c r="AL68" s="17197"/>
      <c r="AM68" s="17198"/>
      <c r="AN68" s="17199"/>
      <c r="AO68" s="17200"/>
      <c r="AP68" s="17201"/>
      <c r="AQ68" s="17202"/>
      <c r="AR68" s="17203"/>
      <c r="AS68" s="17204"/>
      <c r="AT68" s="17205"/>
      <c r="AU68" s="17206"/>
      <c r="AV68" s="17207"/>
      <c r="AW68" s="17208"/>
      <c r="AX68" s="17209"/>
      <c r="AY68" s="17210"/>
      <c r="AZ68" s="17211"/>
      <c r="BA68" s="17212"/>
      <c r="BB68" s="17213"/>
      <c r="BC68" s="17214"/>
      <c r="BD68" s="17215"/>
      <c r="BE68" s="17216"/>
      <c r="BF68" s="17217"/>
      <c r="BG68" s="17218"/>
      <c r="BH68" s="17219"/>
      <c r="BI68" s="17220"/>
      <c r="BJ68" s="17221"/>
      <c r="BK68" s="17222"/>
      <c r="BL68" s="17223"/>
      <c r="BM68" s="17224"/>
      <c r="BN68" s="17225"/>
      <c r="BO68" s="17226"/>
      <c r="BP68" s="17227"/>
      <c r="BQ68" s="17228"/>
      <c r="BR68" s="17229"/>
      <c r="BS68" s="17230"/>
      <c r="BT68" s="17231"/>
      <c r="BU68" s="17232"/>
      <c r="BV68" s="17233"/>
      <c r="BW68" s="17234"/>
      <c r="BX68" s="17235"/>
      <c r="BY68" s="17236"/>
      <c r="BZ68" s="17237"/>
      <c r="CA68" s="17238"/>
      <c r="CB68" s="17239"/>
      <c r="CC68" s="17240"/>
      <c r="CD68" s="17241"/>
      <c r="CE68" s="17242"/>
      <c r="CF68" s="17243"/>
      <c r="CG68" s="17244"/>
      <c r="CH68" s="17245"/>
      <c r="CI68" s="17246"/>
      <c r="CJ68" s="17247"/>
      <c r="CK68" s="17248"/>
      <c r="CL68" s="17249"/>
      <c r="CM68" s="17250"/>
      <c r="CN68" s="24558"/>
      <c r="CO68" s="24559"/>
      <c r="CP68" s="24560"/>
      <c r="CQ68" s="24561"/>
      <c r="CR68" s="24562"/>
      <c r="CS68" s="24563"/>
      <c r="CT68" s="24564"/>
      <c r="CU68" s="17251"/>
      <c r="CV68" s="17252"/>
      <c r="CW68" s="16982"/>
      <c r="CX68" s="16983"/>
      <c r="CY68" s="16983" t="str">
        <f>IF(T68="","",T68)</f>
        <v>Добавить наименование признака дифференциации</v>
      </c>
      <c r="CZ68" s="16983"/>
      <c r="DA68" s="16983"/>
      <c r="DB68" s="16984">
        <v>0</v>
      </c>
    </row>
    <row s="49029" customFormat="1" customHeight="1" ht="14.25">
      <c r="A69" s="17254"/>
      <c r="B69" s="17254"/>
      <c r="C69" s="17254"/>
      <c r="D69" s="17254"/>
      <c r="E69" s="16968"/>
      <c r="F69" s="16969">
        <v>1</v>
      </c>
      <c r="G69" s="17254"/>
      <c r="H69" s="17254"/>
      <c r="I69" s="17254"/>
      <c r="J69" s="17254"/>
      <c r="K69" s="17254"/>
      <c r="L69" s="17255"/>
      <c r="M69" s="17256"/>
      <c r="N69" s="17256"/>
      <c r="O69" s="16982"/>
      <c r="P69" s="17257"/>
      <c r="Q69" s="17258"/>
      <c r="R69" s="17257"/>
      <c r="S69" s="17259"/>
      <c r="T69" s="17260" t="s">
        <v>321</v>
      </c>
      <c r="U69" s="17261"/>
      <c r="V69" s="17261"/>
      <c r="W69" s="17261"/>
      <c r="X69" s="17261"/>
      <c r="Y69" s="17261"/>
      <c r="Z69" s="17261"/>
      <c r="AA69" s="17261"/>
      <c r="AB69" s="17261"/>
      <c r="AC69" s="17261"/>
      <c r="AD69" s="17261"/>
      <c r="AE69" s="17261"/>
      <c r="AF69" s="17261"/>
      <c r="AG69" s="17261"/>
      <c r="AH69" s="17261"/>
      <c r="AI69" s="17261"/>
      <c r="AJ69" s="17261"/>
      <c r="AK69" s="17261"/>
      <c r="AL69" s="17261"/>
      <c r="AM69" s="17261"/>
      <c r="AN69" s="17261"/>
      <c r="AO69" s="17261"/>
      <c r="AP69" s="17261"/>
      <c r="AQ69" s="17261"/>
      <c r="AR69" s="17261"/>
      <c r="AS69" s="17261"/>
      <c r="AT69" s="17261"/>
      <c r="AU69" s="17261"/>
      <c r="AV69" s="17261"/>
      <c r="AW69" s="17261"/>
      <c r="AX69" s="17261"/>
      <c r="AY69" s="17261"/>
      <c r="AZ69" s="17261"/>
      <c r="BA69" s="17261"/>
      <c r="BB69" s="17261"/>
      <c r="BC69" s="17261"/>
      <c r="BD69" s="17261"/>
      <c r="BE69" s="17261"/>
      <c r="BF69" s="17261"/>
      <c r="BG69" s="17261"/>
      <c r="BH69" s="17261"/>
      <c r="BI69" s="17261"/>
      <c r="BJ69" s="17261"/>
      <c r="BK69" s="17261"/>
      <c r="BL69" s="17261"/>
      <c r="BM69" s="17261"/>
      <c r="BN69" s="17261"/>
      <c r="BO69" s="17261"/>
      <c r="BP69" s="17261"/>
      <c r="BQ69" s="17261"/>
      <c r="BR69" s="17261"/>
      <c r="BS69" s="17261"/>
      <c r="BT69" s="17261"/>
      <c r="BU69" s="17261"/>
      <c r="BV69" s="17261"/>
      <c r="BW69" s="17261"/>
      <c r="BX69" s="17261"/>
      <c r="BY69" s="17261"/>
      <c r="BZ69" s="17261"/>
      <c r="CA69" s="17261"/>
      <c r="CB69" s="17261"/>
      <c r="CC69" s="17261"/>
      <c r="CD69" s="17261"/>
      <c r="CE69" s="17261"/>
      <c r="CF69" s="17261"/>
      <c r="CG69" s="17261"/>
      <c r="CH69" s="17261"/>
      <c r="CI69" s="17261"/>
      <c r="CJ69" s="17261"/>
      <c r="CK69" s="17261"/>
      <c r="CL69" s="17261"/>
      <c r="CM69" s="17261"/>
      <c r="CN69" s="23902"/>
      <c r="CO69" s="23902"/>
      <c r="CP69" s="23902"/>
      <c r="CQ69" s="23902"/>
      <c r="CR69" s="23902"/>
      <c r="CS69" s="23902"/>
      <c r="CT69" s="23902"/>
      <c r="CU69" s="17261"/>
      <c r="CV69" s="17261"/>
      <c r="CW69" s="16982"/>
      <c r="CX69" s="16983"/>
      <c r="CY69" s="16983" t="str">
        <f>IF(T69="","",T69)</f>
        <v>Добавить централизованную систему для дифференциации</v>
      </c>
      <c r="CZ69" s="16983"/>
      <c r="DA69" s="16983"/>
      <c r="DB69" s="16982">
        <v>0</v>
      </c>
    </row>
    <row s="49038" customFormat="1" customHeight="1" ht="23.25">
      <c r="A70" s="16967"/>
      <c r="B70" s="16967" t="s">
        <v>327</v>
      </c>
      <c r="C70" s="16967"/>
      <c r="D70" s="16967"/>
      <c r="E70" s="16968"/>
      <c r="F70" s="16969" t="s">
        <v>92</v>
      </c>
      <c r="G70" s="16967"/>
      <c r="H70" s="16967"/>
      <c r="I70" s="16967"/>
      <c r="J70" s="16967"/>
      <c r="K70" s="16967"/>
      <c r="L70" s="16970"/>
      <c r="M70" s="16971"/>
      <c r="N70" s="16971"/>
      <c r="O70" s="16971"/>
      <c r="P70" s="16972"/>
      <c r="Q70" s="16973"/>
      <c r="R70" s="16974"/>
      <c r="S70" s="16975" t="str">
        <f>INDEX(PT_DIFFERENTIATION_NUM_TER,MATCH(B70,PT_DIFFERENTIATION_TER_ID,0))</f>
        <v>1.3</v>
      </c>
      <c r="T70" s="16976" t="s">
        <v>515</v>
      </c>
      <c r="U70" s="16977"/>
      <c r="V70" s="16978"/>
      <c r="W70" s="16979"/>
      <c r="X70" s="16979"/>
      <c r="Y70" s="16979"/>
      <c r="Z70" s="16979"/>
      <c r="AA70" s="16979"/>
      <c r="AB70" s="16980"/>
      <c r="AC70" s="16978" t="str">
        <f>INDEX(PT_DIFFERENTIATION_TER,MATCH(B70,PT_DIFFERENTIATION_TER_ID,0))</f>
        <v>Территория 3</v>
      </c>
      <c r="AD70" s="16979"/>
      <c r="AE70" s="16979"/>
      <c r="AF70" s="16979"/>
      <c r="AG70" s="16979"/>
      <c r="AH70" s="16979"/>
      <c r="AI70" s="16979"/>
      <c r="AJ70" s="16978"/>
      <c r="AK70" s="16979"/>
      <c r="AL70" s="16979"/>
      <c r="AM70" s="16979"/>
      <c r="AN70" s="16979"/>
      <c r="AO70" s="16979"/>
      <c r="AP70" s="16980"/>
      <c r="AQ70" s="16978"/>
      <c r="AR70" s="16979"/>
      <c r="AS70" s="16979"/>
      <c r="AT70" s="16979"/>
      <c r="AU70" s="16979"/>
      <c r="AV70" s="16979"/>
      <c r="AW70" s="16980"/>
      <c r="AX70" s="16978"/>
      <c r="AY70" s="16979"/>
      <c r="AZ70" s="16979"/>
      <c r="BA70" s="16979"/>
      <c r="BB70" s="16979"/>
      <c r="BC70" s="16979"/>
      <c r="BD70" s="16980"/>
      <c r="BE70" s="16978"/>
      <c r="BF70" s="16979"/>
      <c r="BG70" s="16979"/>
      <c r="BH70" s="16979"/>
      <c r="BI70" s="16979"/>
      <c r="BJ70" s="16979"/>
      <c r="BK70" s="16980"/>
      <c r="BL70" s="16978"/>
      <c r="BM70" s="16979"/>
      <c r="BN70" s="16979"/>
      <c r="BO70" s="16979"/>
      <c r="BP70" s="16979"/>
      <c r="BQ70" s="16979"/>
      <c r="BR70" s="16980"/>
      <c r="BS70" s="16978"/>
      <c r="BT70" s="16979"/>
      <c r="BU70" s="16979"/>
      <c r="BV70" s="16979"/>
      <c r="BW70" s="16979"/>
      <c r="BX70" s="16979"/>
      <c r="BY70" s="16980"/>
      <c r="BZ70" s="16978"/>
      <c r="CA70" s="16979"/>
      <c r="CB70" s="16979"/>
      <c r="CC70" s="16979"/>
      <c r="CD70" s="16979"/>
      <c r="CE70" s="16979"/>
      <c r="CF70" s="16980"/>
      <c r="CG70" s="16978"/>
      <c r="CH70" s="16979"/>
      <c r="CI70" s="16979"/>
      <c r="CJ70" s="16979"/>
      <c r="CK70" s="16979"/>
      <c r="CL70" s="16979"/>
      <c r="CM70" s="16980"/>
      <c r="CN70" s="23679"/>
      <c r="CO70" s="23680"/>
      <c r="CP70" s="23680"/>
      <c r="CQ70" s="23680"/>
      <c r="CR70" s="23680"/>
      <c r="CS70" s="23680"/>
      <c r="CT70" s="23681"/>
      <c r="CU70" s="16980"/>
      <c r="CV70" s="16981" t="s">
        <v>516</v>
      </c>
      <c r="CW70" s="16982"/>
      <c r="CX70" s="16983"/>
      <c r="CY70" s="16983" t="str">
        <f>IF(T70="","",T70)</f>
        <v>Территория действия тарифа</v>
      </c>
      <c r="CZ70" s="16983"/>
      <c r="DA70" s="16983"/>
      <c r="DB70" s="16984">
        <v>0</v>
      </c>
    </row>
    <row s="49039" customFormat="1" customHeight="1" ht="23.25">
      <c r="A71" s="16967"/>
      <c r="B71" s="16967"/>
      <c r="C71" s="16967" t="s">
        <v>328</v>
      </c>
      <c r="D71" s="16967"/>
      <c r="E71" s="16968"/>
      <c r="F71" s="16968" t="s">
        <v>105</v>
      </c>
      <c r="G71" s="16969">
        <v>1</v>
      </c>
      <c r="H71" s="16967"/>
      <c r="I71" s="16967"/>
      <c r="J71" s="16967"/>
      <c r="K71" s="16967"/>
      <c r="L71" s="16970"/>
      <c r="M71" s="16971"/>
      <c r="N71" s="16971"/>
      <c r="O71" s="16971"/>
      <c r="P71" s="16986"/>
      <c r="Q71" s="16973"/>
      <c r="R71" s="16974"/>
      <c r="S71" s="16975" t="str">
        <f>INDEX(PT_DIFFERENTIATION_NUM_CS,MATCH(C71,PT_DIFFERENTIATION_CS_ID,0))</f>
        <v>1.3.1</v>
      </c>
      <c r="T71" s="16987" t="s">
        <v>631</v>
      </c>
      <c r="U71" s="16977"/>
      <c r="V71" s="16978"/>
      <c r="W71" s="16979"/>
      <c r="X71" s="16979"/>
      <c r="Y71" s="16979"/>
      <c r="Z71" s="16979"/>
      <c r="AA71" s="16979"/>
      <c r="AB71" s="16980"/>
      <c r="AC71" s="16978" t="str">
        <f>INDEX(PT_DIFFERENTIATION_CS,MATCH(C71,PT_DIFFERENTIATION_CS_ID,0))</f>
        <v>Кавалеровский МО</v>
      </c>
      <c r="AD71" s="16979"/>
      <c r="AE71" s="16979"/>
      <c r="AF71" s="16979"/>
      <c r="AG71" s="16979"/>
      <c r="AH71" s="16979"/>
      <c r="AI71" s="16979"/>
      <c r="AJ71" s="16978"/>
      <c r="AK71" s="16979"/>
      <c r="AL71" s="16979"/>
      <c r="AM71" s="16979"/>
      <c r="AN71" s="16979"/>
      <c r="AO71" s="16979"/>
      <c r="AP71" s="16980"/>
      <c r="AQ71" s="16978"/>
      <c r="AR71" s="16979"/>
      <c r="AS71" s="16979"/>
      <c r="AT71" s="16979"/>
      <c r="AU71" s="16979"/>
      <c r="AV71" s="16979"/>
      <c r="AW71" s="16980"/>
      <c r="AX71" s="16978"/>
      <c r="AY71" s="16979"/>
      <c r="AZ71" s="16979"/>
      <c r="BA71" s="16979"/>
      <c r="BB71" s="16979"/>
      <c r="BC71" s="16979"/>
      <c r="BD71" s="16980"/>
      <c r="BE71" s="16978"/>
      <c r="BF71" s="16979"/>
      <c r="BG71" s="16979"/>
      <c r="BH71" s="16979"/>
      <c r="BI71" s="16979"/>
      <c r="BJ71" s="16979"/>
      <c r="BK71" s="16980"/>
      <c r="BL71" s="16978"/>
      <c r="BM71" s="16979"/>
      <c r="BN71" s="16979"/>
      <c r="BO71" s="16979"/>
      <c r="BP71" s="16979"/>
      <c r="BQ71" s="16979"/>
      <c r="BR71" s="16980"/>
      <c r="BS71" s="16978"/>
      <c r="BT71" s="16979"/>
      <c r="BU71" s="16979"/>
      <c r="BV71" s="16979"/>
      <c r="BW71" s="16979"/>
      <c r="BX71" s="16979"/>
      <c r="BY71" s="16980"/>
      <c r="BZ71" s="16978"/>
      <c r="CA71" s="16979"/>
      <c r="CB71" s="16979"/>
      <c r="CC71" s="16979"/>
      <c r="CD71" s="16979"/>
      <c r="CE71" s="16979"/>
      <c r="CF71" s="16980"/>
      <c r="CG71" s="16978"/>
      <c r="CH71" s="16979"/>
      <c r="CI71" s="16979"/>
      <c r="CJ71" s="16979"/>
      <c r="CK71" s="16979"/>
      <c r="CL71" s="16979"/>
      <c r="CM71" s="16980"/>
      <c r="CN71" s="23679"/>
      <c r="CO71" s="23680"/>
      <c r="CP71" s="23680"/>
      <c r="CQ71" s="23680"/>
      <c r="CR71" s="23680"/>
      <c r="CS71" s="23680"/>
      <c r="CT71" s="23681"/>
      <c r="CU71" s="16980"/>
      <c r="CV71" s="16981" t="s">
        <v>632</v>
      </c>
      <c r="CW71" s="16982"/>
      <c r="CX71" s="16983"/>
      <c r="CY71" s="16983" t="str">
        <f>IF(T71="","",T71)</f>
        <v>Наименование централизованной системы водоотведения</v>
      </c>
      <c r="CZ71" s="16983"/>
      <c r="DA71" s="16983"/>
      <c r="DB71" s="16984">
        <v>0</v>
      </c>
    </row>
    <row s="49040" customFormat="1" customHeight="1" ht="23.25">
      <c r="A72" s="16967"/>
      <c r="B72" s="16967"/>
      <c r="C72" s="16967"/>
      <c r="D72" s="16967"/>
      <c r="E72" s="16968"/>
      <c r="F72" s="16968" t="s">
        <v>105</v>
      </c>
      <c r="G72" s="16968"/>
      <c r="H72" s="16968"/>
      <c r="I72" s="16989" t="str">
        <f>S71&amp;".1"</f>
        <v>1.3.1.1</v>
      </c>
      <c r="J72" s="16967"/>
      <c r="K72" s="16967"/>
      <c r="L72" s="16970"/>
      <c r="M72" s="16990"/>
      <c r="N72" s="16990"/>
      <c r="O72" s="16990"/>
      <c r="P72" s="16991">
        <v>1</v>
      </c>
      <c r="Q72" s="16991"/>
      <c r="R72" s="16992"/>
      <c r="S72" s="16975" t="str">
        <f>$I72</f>
        <v>1.3.1.1</v>
      </c>
      <c r="T72" s="16993" t="s">
        <v>598</v>
      </c>
      <c r="U72" s="16977"/>
      <c r="V72" s="16994"/>
      <c r="W72" s="16995"/>
      <c r="X72" s="16995"/>
      <c r="Y72" s="16995"/>
      <c r="Z72" s="16995"/>
      <c r="AA72" s="16995"/>
      <c r="AB72" s="16996"/>
      <c r="AC72" s="16997"/>
      <c r="AD72" s="16998"/>
      <c r="AE72" s="16998"/>
      <c r="AF72" s="16998"/>
      <c r="AG72" s="16998"/>
      <c r="AH72" s="16998"/>
      <c r="AI72" s="16998"/>
      <c r="AJ72" s="16994"/>
      <c r="AK72" s="16995"/>
      <c r="AL72" s="16995"/>
      <c r="AM72" s="16995"/>
      <c r="AN72" s="16995"/>
      <c r="AO72" s="16995"/>
      <c r="AP72" s="16996"/>
      <c r="AQ72" s="16994"/>
      <c r="AR72" s="16995"/>
      <c r="AS72" s="16995"/>
      <c r="AT72" s="16995"/>
      <c r="AU72" s="16995"/>
      <c r="AV72" s="16995"/>
      <c r="AW72" s="16996"/>
      <c r="AX72" s="16994"/>
      <c r="AY72" s="16995"/>
      <c r="AZ72" s="16995"/>
      <c r="BA72" s="16995"/>
      <c r="BB72" s="16995"/>
      <c r="BC72" s="16995"/>
      <c r="BD72" s="16996"/>
      <c r="BE72" s="16994"/>
      <c r="BF72" s="16995"/>
      <c r="BG72" s="16995"/>
      <c r="BH72" s="16995"/>
      <c r="BI72" s="16995"/>
      <c r="BJ72" s="16995"/>
      <c r="BK72" s="16996"/>
      <c r="BL72" s="16994"/>
      <c r="BM72" s="16995"/>
      <c r="BN72" s="16995"/>
      <c r="BO72" s="16995"/>
      <c r="BP72" s="16995"/>
      <c r="BQ72" s="16995"/>
      <c r="BR72" s="16996"/>
      <c r="BS72" s="16994"/>
      <c r="BT72" s="16995"/>
      <c r="BU72" s="16995"/>
      <c r="BV72" s="16995"/>
      <c r="BW72" s="16995"/>
      <c r="BX72" s="16995"/>
      <c r="BY72" s="16996"/>
      <c r="BZ72" s="16994"/>
      <c r="CA72" s="16995"/>
      <c r="CB72" s="16995"/>
      <c r="CC72" s="16995"/>
      <c r="CD72" s="16995"/>
      <c r="CE72" s="16995"/>
      <c r="CF72" s="16996"/>
      <c r="CG72" s="16994"/>
      <c r="CH72" s="16995"/>
      <c r="CI72" s="16995"/>
      <c r="CJ72" s="16995"/>
      <c r="CK72" s="16995"/>
      <c r="CL72" s="16995"/>
      <c r="CM72" s="16996"/>
      <c r="CN72" s="23687"/>
      <c r="CO72" s="23688"/>
      <c r="CP72" s="23688"/>
      <c r="CQ72" s="23688"/>
      <c r="CR72" s="23688"/>
      <c r="CS72" s="23688"/>
      <c r="CT72" s="23689"/>
      <c r="CU72" s="16999"/>
      <c r="CV72" s="16981" t="s">
        <v>599</v>
      </c>
      <c r="CW72" s="16982"/>
      <c r="CX72" s="16983"/>
      <c r="CY72" s="16983" t="str">
        <f>IF(T72="","",T72)</f>
        <v>Наименование признака дифференциации</v>
      </c>
      <c r="CZ72" s="16983"/>
      <c r="DA72" s="16983"/>
      <c r="DB72" s="16984">
        <v>0</v>
      </c>
    </row>
    <row s="49041" customFormat="1" customHeight="1" ht="23.25">
      <c r="A73" s="16967"/>
      <c r="B73" s="16967"/>
      <c r="C73" s="16967"/>
      <c r="D73" s="16967"/>
      <c r="E73" s="16968"/>
      <c r="F73" s="16968" t="s">
        <v>105</v>
      </c>
      <c r="G73" s="16968"/>
      <c r="H73" s="16968"/>
      <c r="I73" s="17001"/>
      <c r="J73" s="16989" t="str">
        <f>I72&amp;".1"</f>
        <v>1.3.1.1.1</v>
      </c>
      <c r="K73" s="16967"/>
      <c r="L73" s="16970" t="s">
        <v>524</v>
      </c>
      <c r="M73" s="16990"/>
      <c r="N73" s="16990"/>
      <c r="O73" s="16990"/>
      <c r="P73" s="16991"/>
      <c r="Q73" s="16991">
        <v>1</v>
      </c>
      <c r="R73" s="17002"/>
      <c r="S73" s="16975" t="str">
        <f>$J73</f>
        <v>1.3.1.1.1</v>
      </c>
      <c r="T73" s="17003" t="s">
        <v>525</v>
      </c>
      <c r="U73" s="16977"/>
      <c r="V73" s="17004"/>
      <c r="W73" s="17005"/>
      <c r="X73" s="17005"/>
      <c r="Y73" s="17005"/>
      <c r="Z73" s="17005"/>
      <c r="AA73" s="17005"/>
      <c r="AB73" s="17006"/>
      <c r="AC73" s="17004" t="s">
        <v>636</v>
      </c>
      <c r="AD73" s="17005"/>
      <c r="AE73" s="17005"/>
      <c r="AF73" s="17005"/>
      <c r="AG73" s="17005"/>
      <c r="AH73" s="17005"/>
      <c r="AI73" s="17005"/>
      <c r="AJ73" s="17004"/>
      <c r="AK73" s="17005"/>
      <c r="AL73" s="17005"/>
      <c r="AM73" s="17005"/>
      <c r="AN73" s="17005"/>
      <c r="AO73" s="17005"/>
      <c r="AP73" s="17006"/>
      <c r="AQ73" s="17004"/>
      <c r="AR73" s="17005"/>
      <c r="AS73" s="17005"/>
      <c r="AT73" s="17005"/>
      <c r="AU73" s="17005"/>
      <c r="AV73" s="17005"/>
      <c r="AW73" s="17006"/>
      <c r="AX73" s="17004"/>
      <c r="AY73" s="17005"/>
      <c r="AZ73" s="17005"/>
      <c r="BA73" s="17005"/>
      <c r="BB73" s="17005"/>
      <c r="BC73" s="17005"/>
      <c r="BD73" s="17006"/>
      <c r="BE73" s="17004"/>
      <c r="BF73" s="17005"/>
      <c r="BG73" s="17005"/>
      <c r="BH73" s="17005"/>
      <c r="BI73" s="17005"/>
      <c r="BJ73" s="17005"/>
      <c r="BK73" s="17006"/>
      <c r="BL73" s="17004"/>
      <c r="BM73" s="17005"/>
      <c r="BN73" s="17005"/>
      <c r="BO73" s="17005"/>
      <c r="BP73" s="17005"/>
      <c r="BQ73" s="17005"/>
      <c r="BR73" s="17006"/>
      <c r="BS73" s="17004"/>
      <c r="BT73" s="17005"/>
      <c r="BU73" s="17005"/>
      <c r="BV73" s="17005"/>
      <c r="BW73" s="17005"/>
      <c r="BX73" s="17005"/>
      <c r="BY73" s="17006"/>
      <c r="BZ73" s="17004"/>
      <c r="CA73" s="17005"/>
      <c r="CB73" s="17005"/>
      <c r="CC73" s="17005"/>
      <c r="CD73" s="17005"/>
      <c r="CE73" s="17005"/>
      <c r="CF73" s="17006"/>
      <c r="CG73" s="17004"/>
      <c r="CH73" s="17005"/>
      <c r="CI73" s="17005"/>
      <c r="CJ73" s="17005"/>
      <c r="CK73" s="17005"/>
      <c r="CL73" s="17005"/>
      <c r="CM73" s="17006"/>
      <c r="CN73" s="23693"/>
      <c r="CO73" s="23694"/>
      <c r="CP73" s="23694"/>
      <c r="CQ73" s="23694"/>
      <c r="CR73" s="23694"/>
      <c r="CS73" s="23694"/>
      <c r="CT73" s="23695"/>
      <c r="CU73" s="17006"/>
      <c r="CV73" s="17007" t="s">
        <v>600</v>
      </c>
      <c r="CW73" s="16982"/>
      <c r="CX73" s="16983"/>
      <c r="CY73" s="16983" t="str">
        <f>IF(T73="","",T73)</f>
        <v>Группа потребителей</v>
      </c>
      <c r="CZ73" s="16983"/>
      <c r="DA73" s="16983"/>
      <c r="DB73" s="16984">
        <v>0</v>
      </c>
    </row>
    <row s="49042" customFormat="1" customHeight="1" ht="23.25">
      <c r="A74" s="16967"/>
      <c r="B74" s="16967"/>
      <c r="C74" s="16967"/>
      <c r="D74" s="16967"/>
      <c r="E74" s="16968"/>
      <c r="F74" s="16968" t="s">
        <v>105</v>
      </c>
      <c r="G74" s="16968"/>
      <c r="H74" s="16968"/>
      <c r="I74" s="17001"/>
      <c r="J74" s="17001"/>
      <c r="K74" s="16989" t="str">
        <f>J73&amp;".1"</f>
        <v>1.3.1.1.1.1</v>
      </c>
      <c r="L74" s="16970"/>
      <c r="M74" s="16990"/>
      <c r="N74" s="16990"/>
      <c r="O74" s="16990"/>
      <c r="P74" s="16991"/>
      <c r="Q74" s="16991"/>
      <c r="R74" s="17002">
        <v>1</v>
      </c>
      <c r="S74" s="16975" t="str">
        <f>$K74</f>
        <v>1.3.1.1.1.1</v>
      </c>
      <c r="T74" s="17009"/>
      <c r="U74" s="16977"/>
      <c r="V74" s="17010"/>
      <c r="W74" s="17010"/>
      <c r="X74" s="17011"/>
      <c r="Y74" s="16696"/>
      <c r="Z74" s="17012" t="s">
        <v>63</v>
      </c>
      <c r="AA74" s="16696"/>
      <c r="AB74" s="17012" t="s">
        <v>63</v>
      </c>
      <c r="AC74" s="17010">
        <v>32.96</v>
      </c>
      <c r="AD74" s="17010"/>
      <c r="AE74" s="17011"/>
      <c r="AF74" s="31957">
        <v>45292.528344907405</v>
      </c>
      <c r="AG74" s="17012" t="s">
        <v>63</v>
      </c>
      <c r="AH74" s="31958">
        <v>45473.5284837963</v>
      </c>
      <c r="AI74" s="17012" t="s">
        <v>63</v>
      </c>
      <c r="AJ74" s="17010">
        <v>42.86</v>
      </c>
      <c r="AK74" s="17010"/>
      <c r="AL74" s="17011"/>
      <c r="AM74" s="31957">
        <v>45474.52872685185</v>
      </c>
      <c r="AN74" s="17012" t="s">
        <v>63</v>
      </c>
      <c r="AO74" s="31957">
        <v>45657.52885416667</v>
      </c>
      <c r="AP74" s="17012" t="s">
        <v>63</v>
      </c>
      <c r="AQ74" s="17010">
        <v>42.86</v>
      </c>
      <c r="AR74" s="17010"/>
      <c r="AS74" s="17011"/>
      <c r="AT74" s="31957">
        <v>45658.52900462963</v>
      </c>
      <c r="AU74" s="17012" t="s">
        <v>63</v>
      </c>
      <c r="AV74" s="31957">
        <v>45838.529328703706</v>
      </c>
      <c r="AW74" s="17012" t="s">
        <v>63</v>
      </c>
      <c r="AX74" s="17010">
        <v>51.35</v>
      </c>
      <c r="AY74" s="17010"/>
      <c r="AZ74" s="17011"/>
      <c r="BA74" s="31957">
        <v>45839.52960648148</v>
      </c>
      <c r="BB74" s="17012" t="s">
        <v>63</v>
      </c>
      <c r="BC74" s="31957">
        <v>46022.53010416667</v>
      </c>
      <c r="BD74" s="17012" t="s">
        <v>63</v>
      </c>
      <c r="BE74" s="17010">
        <v>51.35</v>
      </c>
      <c r="BF74" s="17010"/>
      <c r="BG74" s="17011"/>
      <c r="BH74" s="31957">
        <v>46023.53039351852</v>
      </c>
      <c r="BI74" s="17012" t="s">
        <v>63</v>
      </c>
      <c r="BJ74" s="31957">
        <v>46203.530752314815</v>
      </c>
      <c r="BK74" s="17012" t="s">
        <v>63</v>
      </c>
      <c r="BL74" s="17010">
        <v>51.6</v>
      </c>
      <c r="BM74" s="17010"/>
      <c r="BN74" s="17011"/>
      <c r="BO74" s="31957">
        <v>46204.531226851854</v>
      </c>
      <c r="BP74" s="17012" t="s">
        <v>63</v>
      </c>
      <c r="BQ74" s="31957">
        <v>46387.531493055554</v>
      </c>
      <c r="BR74" s="17012" t="s">
        <v>63</v>
      </c>
      <c r="BS74" s="17010">
        <v>51.6</v>
      </c>
      <c r="BT74" s="17010"/>
      <c r="BU74" s="17011"/>
      <c r="BV74" s="31957">
        <v>46388.53175925926</v>
      </c>
      <c r="BW74" s="17012" t="s">
        <v>63</v>
      </c>
      <c r="BX74" s="31957">
        <v>46568.5321412037</v>
      </c>
      <c r="BY74" s="17012" t="s">
        <v>63</v>
      </c>
      <c r="BZ74" s="17010">
        <v>51.71</v>
      </c>
      <c r="CA74" s="17010"/>
      <c r="CB74" s="17011"/>
      <c r="CC74" s="31957">
        <v>46569.532789351855</v>
      </c>
      <c r="CD74" s="17012" t="s">
        <v>63</v>
      </c>
      <c r="CE74" s="31957">
        <v>46752.533159722225</v>
      </c>
      <c r="CF74" s="17012" t="s">
        <v>63</v>
      </c>
      <c r="CG74" s="17010">
        <v>51.67</v>
      </c>
      <c r="CH74" s="17010"/>
      <c r="CI74" s="17011"/>
      <c r="CJ74" s="31957">
        <v>46753.533472222225</v>
      </c>
      <c r="CK74" s="17012" t="s">
        <v>63</v>
      </c>
      <c r="CL74" s="31957">
        <v>46934.5337037037</v>
      </c>
      <c r="CM74" s="17012" t="s">
        <v>63</v>
      </c>
      <c r="CN74" s="23700">
        <v>51.67</v>
      </c>
      <c r="CO74" s="23700"/>
      <c r="CP74" s="23701"/>
      <c r="CQ74" s="31957">
        <v>46935.53396990741</v>
      </c>
      <c r="CR74" s="23703" t="s">
        <v>63</v>
      </c>
      <c r="CS74" s="31957">
        <v>47118.53710648148</v>
      </c>
      <c r="CT74" s="23703" t="s">
        <v>63</v>
      </c>
      <c r="CU74" s="17013"/>
      <c r="CV74" s="170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74" s="16982">
        <f>STRCHECKDATE(V75:CU75)</f>
      </c>
      <c r="CX74" s="16983"/>
      <c r="CY74" s="16983" t="str">
        <f>IF(T74="","",T74)</f>
        <v/>
      </c>
      <c r="CZ74" s="16983"/>
      <c r="DA74" s="16983"/>
      <c r="DB74" s="16984">
        <v>0</v>
      </c>
    </row>
    <row s="49043" customFormat="1" customHeight="1" ht="14.25">
      <c r="A75" s="16967"/>
      <c r="B75" s="16967"/>
      <c r="C75" s="16967"/>
      <c r="D75" s="16967"/>
      <c r="E75" s="16968"/>
      <c r="F75" s="16968" t="s">
        <v>105</v>
      </c>
      <c r="G75" s="16968"/>
      <c r="H75" s="16968"/>
      <c r="I75" s="17001"/>
      <c r="J75" s="17001"/>
      <c r="K75" s="16989"/>
      <c r="L75" s="16970"/>
      <c r="M75" s="16990"/>
      <c r="N75" s="16990"/>
      <c r="O75" s="16990"/>
      <c r="P75" s="16991"/>
      <c r="Q75" s="16991"/>
      <c r="R75" s="17002"/>
      <c r="S75" s="17016"/>
      <c r="T75" s="16977"/>
      <c r="U75" s="16977"/>
      <c r="V75" s="17017"/>
      <c r="W75" s="17017"/>
      <c r="X75" s="17018" t="str">
        <f>Y74&amp;"-"&amp;AA74</f>
        <v>-</v>
      </c>
      <c r="Y75" s="17019"/>
      <c r="Z75" s="17012"/>
      <c r="AA75" s="17019"/>
      <c r="AB75" s="17012"/>
      <c r="AC75" s="17017"/>
      <c r="AD75" s="17017"/>
      <c r="AE75" s="17018" t="str">
        <f>AF74&amp;"-"&amp;AH74</f>
        <v>45292.528344907405-45473.5284837963</v>
      </c>
      <c r="AF75" s="17019"/>
      <c r="AG75" s="17012"/>
      <c r="AH75" s="17020"/>
      <c r="AI75" s="17012"/>
      <c r="AJ75" s="17017"/>
      <c r="AK75" s="17017"/>
      <c r="AL75" s="17018" t="str">
        <f>AM74&amp;"-"&amp;AO74</f>
        <v>45474.52872685185-45657.52885416667</v>
      </c>
      <c r="AM75" s="17019"/>
      <c r="AN75" s="17012"/>
      <c r="AO75" s="17019"/>
      <c r="AP75" s="17012"/>
      <c r="AQ75" s="17017"/>
      <c r="AR75" s="17017"/>
      <c r="AS75" s="17018" t="str">
        <f>AT74&amp;"-"&amp;AV74</f>
        <v>45658.52900462963-45838.529328703706</v>
      </c>
      <c r="AT75" s="17019"/>
      <c r="AU75" s="17012"/>
      <c r="AV75" s="17019"/>
      <c r="AW75" s="17012"/>
      <c r="AX75" s="17017"/>
      <c r="AY75" s="17017"/>
      <c r="AZ75" s="17018" t="str">
        <f>BA74&amp;"-"&amp;BC74</f>
        <v>45839.52960648148-46022.53010416667</v>
      </c>
      <c r="BA75" s="17019"/>
      <c r="BB75" s="17012"/>
      <c r="BC75" s="17019"/>
      <c r="BD75" s="17012"/>
      <c r="BE75" s="17017"/>
      <c r="BF75" s="17017"/>
      <c r="BG75" s="17018" t="str">
        <f>BH74&amp;"-"&amp;BJ74</f>
        <v>46023.53039351852-46203.530752314815</v>
      </c>
      <c r="BH75" s="17019"/>
      <c r="BI75" s="17012"/>
      <c r="BJ75" s="17019"/>
      <c r="BK75" s="17012"/>
      <c r="BL75" s="17017"/>
      <c r="BM75" s="17017"/>
      <c r="BN75" s="17018" t="str">
        <f>BO74&amp;"-"&amp;BQ74</f>
        <v>46204.531226851854-46387.531493055554</v>
      </c>
      <c r="BO75" s="17019"/>
      <c r="BP75" s="17012"/>
      <c r="BQ75" s="17019"/>
      <c r="BR75" s="17012"/>
      <c r="BS75" s="17017"/>
      <c r="BT75" s="17017"/>
      <c r="BU75" s="17018" t="str">
        <f>BV74&amp;"-"&amp;BX74</f>
        <v>46388.53175925926-46568.5321412037</v>
      </c>
      <c r="BV75" s="17019"/>
      <c r="BW75" s="17012"/>
      <c r="BX75" s="17019"/>
      <c r="BY75" s="17012"/>
      <c r="BZ75" s="17017"/>
      <c r="CA75" s="17017"/>
      <c r="CB75" s="17018" t="str">
        <f>CC74&amp;"-"&amp;CE74</f>
        <v>46569.532789351855-46752.533159722225</v>
      </c>
      <c r="CC75" s="17019"/>
      <c r="CD75" s="17012"/>
      <c r="CE75" s="17019"/>
      <c r="CF75" s="17012"/>
      <c r="CG75" s="17017"/>
      <c r="CH75" s="17017"/>
      <c r="CI75" s="17018" t="str">
        <f>CJ74&amp;"-"&amp;CL74</f>
        <v>46753.533472222225-46934.5337037037</v>
      </c>
      <c r="CJ75" s="17019"/>
      <c r="CK75" s="17012"/>
      <c r="CL75" s="17019"/>
      <c r="CM75" s="17012"/>
      <c r="CN75" s="23708"/>
      <c r="CO75" s="23708"/>
      <c r="CP75" s="23709" t="str">
        <f>CQ74&amp;"-"&amp;CS74</f>
        <v>46935.53396990741-47118.53710648148</v>
      </c>
      <c r="CQ75" s="23710"/>
      <c r="CR75" s="23703"/>
      <c r="CS75" s="23710"/>
      <c r="CT75" s="23703"/>
      <c r="CU75" s="17021"/>
      <c r="CV75" s="17014"/>
      <c r="CW75" s="16982"/>
      <c r="CX75" s="16983"/>
      <c r="CY75" s="16983" t="str">
        <f>IF(T75="","",T75)</f>
        <v/>
      </c>
      <c r="CZ75" s="16983"/>
      <c r="DA75" s="16983"/>
      <c r="DB75" s="16984">
        <v>0</v>
      </c>
    </row>
    <row s="49044" customFormat="1" customHeight="1" ht="21">
      <c r="A76" s="16967"/>
      <c r="B76" s="16967"/>
      <c r="C76" s="16967"/>
      <c r="D76" s="16967"/>
      <c r="E76" s="16968"/>
      <c r="F76" s="16968" t="s">
        <v>105</v>
      </c>
      <c r="G76" s="16968"/>
      <c r="H76" s="16968"/>
      <c r="I76" s="17001"/>
      <c r="J76" s="16989"/>
      <c r="K76" s="16967"/>
      <c r="L76" s="16970"/>
      <c r="M76" s="16990"/>
      <c r="N76" s="16990"/>
      <c r="O76" s="16990"/>
      <c r="P76" s="16991"/>
      <c r="Q76" s="16991"/>
      <c r="R76" s="16992"/>
      <c r="S76" s="17269"/>
      <c r="T76" s="17270" t="s">
        <v>601</v>
      </c>
      <c r="U76" s="17271"/>
      <c r="V76" s="17272"/>
      <c r="W76" s="17273"/>
      <c r="X76" s="17274"/>
      <c r="Y76" s="17275"/>
      <c r="Z76" s="17276"/>
      <c r="AA76" s="17277"/>
      <c r="AB76" s="17278"/>
      <c r="AC76" s="17279"/>
      <c r="AD76" s="17280"/>
      <c r="AE76" s="17281"/>
      <c r="AF76" s="17282"/>
      <c r="AG76" s="17283"/>
      <c r="AH76" s="17284"/>
      <c r="AI76" s="17285"/>
      <c r="AJ76" s="17286"/>
      <c r="AK76" s="17287"/>
      <c r="AL76" s="17288"/>
      <c r="AM76" s="17289"/>
      <c r="AN76" s="17290"/>
      <c r="AO76" s="17291"/>
      <c r="AP76" s="17292"/>
      <c r="AQ76" s="17293"/>
      <c r="AR76" s="17294"/>
      <c r="AS76" s="17295"/>
      <c r="AT76" s="17296"/>
      <c r="AU76" s="17297"/>
      <c r="AV76" s="17298"/>
      <c r="AW76" s="17299"/>
      <c r="AX76" s="17300"/>
      <c r="AY76" s="17301"/>
      <c r="AZ76" s="17302"/>
      <c r="BA76" s="17303"/>
      <c r="BB76" s="17304"/>
      <c r="BC76" s="17305"/>
      <c r="BD76" s="17306"/>
      <c r="BE76" s="17307"/>
      <c r="BF76" s="17308"/>
      <c r="BG76" s="17309"/>
      <c r="BH76" s="17310"/>
      <c r="BI76" s="17311"/>
      <c r="BJ76" s="17312"/>
      <c r="BK76" s="17313"/>
      <c r="BL76" s="17314"/>
      <c r="BM76" s="17315"/>
      <c r="BN76" s="17316"/>
      <c r="BO76" s="17317"/>
      <c r="BP76" s="17318"/>
      <c r="BQ76" s="17319"/>
      <c r="BR76" s="17320"/>
      <c r="BS76" s="17321"/>
      <c r="BT76" s="17322"/>
      <c r="BU76" s="17323"/>
      <c r="BV76" s="17324"/>
      <c r="BW76" s="17325"/>
      <c r="BX76" s="17326"/>
      <c r="BY76" s="17327"/>
      <c r="BZ76" s="17328"/>
      <c r="CA76" s="17329"/>
      <c r="CB76" s="17330"/>
      <c r="CC76" s="17331"/>
      <c r="CD76" s="17332"/>
      <c r="CE76" s="17333"/>
      <c r="CF76" s="17334"/>
      <c r="CG76" s="17335"/>
      <c r="CH76" s="17336"/>
      <c r="CI76" s="17337"/>
      <c r="CJ76" s="17338"/>
      <c r="CK76" s="17339"/>
      <c r="CL76" s="17340"/>
      <c r="CM76" s="17341"/>
      <c r="CN76" s="24656"/>
      <c r="CO76" s="24657"/>
      <c r="CP76" s="24658"/>
      <c r="CQ76" s="24659"/>
      <c r="CR76" s="24660"/>
      <c r="CS76" s="24661"/>
      <c r="CT76" s="24662"/>
      <c r="CU76" s="17342"/>
      <c r="CV76" s="16981" t="s">
        <v>602</v>
      </c>
      <c r="CW76" s="16982"/>
      <c r="CX76" s="16983"/>
      <c r="CY76" s="16983" t="str">
        <f>IF(T76="","",T76)</f>
        <v>Добавить значение признака дифференциации</v>
      </c>
      <c r="CZ76" s="16983"/>
      <c r="DA76" s="16983"/>
      <c r="DB76" s="16984">
        <v>0</v>
      </c>
    </row>
    <row s="49126" customFormat="1" customHeight="1" ht="23.25">
      <c r="A77" s="32051"/>
      <c r="B77" s="32051"/>
      <c r="C77" s="32051"/>
      <c r="D77" s="32051"/>
      <c r="E77" s="32052"/>
      <c r="F77" s="32052"/>
      <c r="G77" s="32052"/>
      <c r="H77" s="32052"/>
      <c r="I77" s="32053"/>
      <c r="J77" s="32054" t="str">
        <f>I72&amp;".2"</f>
        <v>1.3.1.1.2</v>
      </c>
      <c r="K77" s="32051"/>
      <c r="L77" s="32055" t="s">
        <v>524</v>
      </c>
      <c r="M77" s="32056"/>
      <c r="N77" s="32056"/>
      <c r="O77" s="32056"/>
      <c r="P77" s="32057"/>
      <c r="Q77" s="32058" t="s">
        <v>106</v>
      </c>
      <c r="R77" s="32059"/>
      <c r="S77" s="32060" t="str">
        <f>$J77</f>
        <v>1.3.1.1.2</v>
      </c>
      <c r="T77" s="32061" t="s">
        <v>525</v>
      </c>
      <c r="U77" s="32062"/>
      <c r="V77" s="32063"/>
      <c r="W77" s="32064"/>
      <c r="X77" s="32064"/>
      <c r="Y77" s="32064"/>
      <c r="Z77" s="32064"/>
      <c r="AA77" s="32064"/>
      <c r="AB77" s="32065"/>
      <c r="AC77" s="32063" t="s">
        <v>637</v>
      </c>
      <c r="AD77" s="32064"/>
      <c r="AE77" s="32064"/>
      <c r="AF77" s="32064"/>
      <c r="AG77" s="32064"/>
      <c r="AH77" s="32064"/>
      <c r="AI77" s="32064"/>
      <c r="AJ77" s="32063"/>
      <c r="AK77" s="32064"/>
      <c r="AL77" s="32064"/>
      <c r="AM77" s="32064"/>
      <c r="AN77" s="32064"/>
      <c r="AO77" s="32064"/>
      <c r="AP77" s="32065"/>
      <c r="AQ77" s="32063"/>
      <c r="AR77" s="32064"/>
      <c r="AS77" s="32064"/>
      <c r="AT77" s="32064"/>
      <c r="AU77" s="32064"/>
      <c r="AV77" s="32064"/>
      <c r="AW77" s="32065"/>
      <c r="AX77" s="32063"/>
      <c r="AY77" s="32064"/>
      <c r="AZ77" s="32064"/>
      <c r="BA77" s="32064"/>
      <c r="BB77" s="32064"/>
      <c r="BC77" s="32064"/>
      <c r="BD77" s="32065"/>
      <c r="BE77" s="32063"/>
      <c r="BF77" s="32064"/>
      <c r="BG77" s="32064"/>
      <c r="BH77" s="32064"/>
      <c r="BI77" s="32064"/>
      <c r="BJ77" s="32064"/>
      <c r="BK77" s="32065"/>
      <c r="BL77" s="32063"/>
      <c r="BM77" s="32064"/>
      <c r="BN77" s="32064"/>
      <c r="BO77" s="32064"/>
      <c r="BP77" s="32064"/>
      <c r="BQ77" s="32064"/>
      <c r="BR77" s="32065"/>
      <c r="BS77" s="32063"/>
      <c r="BT77" s="32064"/>
      <c r="BU77" s="32064"/>
      <c r="BV77" s="32064"/>
      <c r="BW77" s="32064"/>
      <c r="BX77" s="32064"/>
      <c r="BY77" s="32065"/>
      <c r="BZ77" s="32063"/>
      <c r="CA77" s="32064"/>
      <c r="CB77" s="32064"/>
      <c r="CC77" s="32064"/>
      <c r="CD77" s="32064"/>
      <c r="CE77" s="32064"/>
      <c r="CF77" s="32065"/>
      <c r="CG77" s="32063"/>
      <c r="CH77" s="32064"/>
      <c r="CI77" s="32064"/>
      <c r="CJ77" s="32064"/>
      <c r="CK77" s="32064"/>
      <c r="CL77" s="32064"/>
      <c r="CM77" s="32065"/>
      <c r="CN77" s="32063"/>
      <c r="CO77" s="32064"/>
      <c r="CP77" s="32064"/>
      <c r="CQ77" s="32064"/>
      <c r="CR77" s="32064"/>
      <c r="CS77" s="32064"/>
      <c r="CT77" s="32066"/>
      <c r="CU77" s="32065"/>
      <c r="CV77" s="32067" t="s">
        <v>600</v>
      </c>
      <c r="CW77" s="32068"/>
      <c r="CX77" s="32069"/>
      <c r="CY77" s="32069" t="str">
        <f>IF(T77="","",T77)</f>
        <v>Группа потребителей</v>
      </c>
      <c r="CZ77" s="32069"/>
      <c r="DA77" s="32069"/>
      <c r="DB77" s="32070">
        <v>0</v>
      </c>
    </row>
    <row s="49127" customFormat="1" customHeight="1" ht="23.25">
      <c r="A78" s="32051"/>
      <c r="B78" s="32051"/>
      <c r="C78" s="32051"/>
      <c r="D78" s="32051"/>
      <c r="E78" s="32052"/>
      <c r="F78" s="32052"/>
      <c r="G78" s="32052"/>
      <c r="H78" s="32052"/>
      <c r="I78" s="32053"/>
      <c r="J78" s="32053" t="str">
        <f>I72&amp;".1"</f>
        <v>1.3.1.1.1</v>
      </c>
      <c r="K78" s="32054" t="str">
        <f>J77&amp;".1"</f>
        <v>1.3.1.1.2.1</v>
      </c>
      <c r="L78" s="32055"/>
      <c r="M78" s="32056"/>
      <c r="N78" s="32056"/>
      <c r="O78" s="32056"/>
      <c r="P78" s="32057"/>
      <c r="Q78" s="32057"/>
      <c r="R78" s="32059">
        <v>1</v>
      </c>
      <c r="S78" s="32060" t="str">
        <f>$K78</f>
        <v>1.3.1.1.2.1</v>
      </c>
      <c r="T78" s="32072"/>
      <c r="U78" s="32062"/>
      <c r="V78" s="32073"/>
      <c r="W78" s="32073"/>
      <c r="X78" s="32074"/>
      <c r="Y78" s="31957"/>
      <c r="Z78" s="32075" t="s">
        <v>63</v>
      </c>
      <c r="AA78" s="31957"/>
      <c r="AB78" s="32075" t="s">
        <v>63</v>
      </c>
      <c r="AC78" s="32073">
        <v>27.47</v>
      </c>
      <c r="AD78" s="32073"/>
      <c r="AE78" s="32074"/>
      <c r="AF78" s="31957">
        <v>45292.52825231481</v>
      </c>
      <c r="AG78" s="32075" t="s">
        <v>63</v>
      </c>
      <c r="AH78" s="31958">
        <v>45473.52858796297</v>
      </c>
      <c r="AI78" s="32075" t="s">
        <v>63</v>
      </c>
      <c r="AJ78" s="32073">
        <v>35.72</v>
      </c>
      <c r="AK78" s="32073"/>
      <c r="AL78" s="32074"/>
      <c r="AM78" s="31957">
        <v>45474.5287962963</v>
      </c>
      <c r="AN78" s="32075" t="s">
        <v>63</v>
      </c>
      <c r="AO78" s="31957">
        <v>45657.52890046296</v>
      </c>
      <c r="AP78" s="32075" t="s">
        <v>63</v>
      </c>
      <c r="AQ78" s="32073">
        <v>35.72</v>
      </c>
      <c r="AR78" s="32073"/>
      <c r="AS78" s="32074"/>
      <c r="AT78" s="31957">
        <v>45658.529178240744</v>
      </c>
      <c r="AU78" s="32075" t="s">
        <v>63</v>
      </c>
      <c r="AV78" s="31957">
        <v>45838.52940972222</v>
      </c>
      <c r="AW78" s="32075" t="s">
        <v>63</v>
      </c>
      <c r="AX78" s="32073">
        <v>42.79</v>
      </c>
      <c r="AY78" s="32073"/>
      <c r="AZ78" s="32074"/>
      <c r="BA78" s="31957">
        <v>45839.53</v>
      </c>
      <c r="BB78" s="32075" t="s">
        <v>63</v>
      </c>
      <c r="BC78" s="31957">
        <v>46022.530173611114</v>
      </c>
      <c r="BD78" s="32075" t="s">
        <v>63</v>
      </c>
      <c r="BE78" s="32073">
        <v>42.79</v>
      </c>
      <c r="BF78" s="32073"/>
      <c r="BG78" s="32074"/>
      <c r="BH78" s="31957">
        <v>46023.53053240741</v>
      </c>
      <c r="BI78" s="32075" t="s">
        <v>63</v>
      </c>
      <c r="BJ78" s="31957">
        <v>46203.53086805555</v>
      </c>
      <c r="BK78" s="32075" t="s">
        <v>63</v>
      </c>
      <c r="BL78" s="32073">
        <v>43</v>
      </c>
      <c r="BM78" s="32073"/>
      <c r="BN78" s="32074"/>
      <c r="BO78" s="31957">
        <v>46204.53136574074</v>
      </c>
      <c r="BP78" s="32075" t="s">
        <v>63</v>
      </c>
      <c r="BQ78" s="31957">
        <v>46387.53159722222</v>
      </c>
      <c r="BR78" s="32075" t="s">
        <v>63</v>
      </c>
      <c r="BS78" s="32073">
        <v>43</v>
      </c>
      <c r="BT78" s="32073"/>
      <c r="BU78" s="32074"/>
      <c r="BV78" s="31957">
        <v>46388.53188657408</v>
      </c>
      <c r="BW78" s="32075" t="s">
        <v>63</v>
      </c>
      <c r="BX78" s="31957">
        <v>46568.53239583333</v>
      </c>
      <c r="BY78" s="32075" t="s">
        <v>63</v>
      </c>
      <c r="BZ78" s="32073">
        <v>43.09</v>
      </c>
      <c r="CA78" s="32073"/>
      <c r="CB78" s="32074"/>
      <c r="CC78" s="31957">
        <v>46569.53295138889</v>
      </c>
      <c r="CD78" s="32075" t="s">
        <v>63</v>
      </c>
      <c r="CE78" s="31957">
        <v>46752.53326388889</v>
      </c>
      <c r="CF78" s="32075" t="s">
        <v>63</v>
      </c>
      <c r="CG78" s="32073">
        <v>43.06</v>
      </c>
      <c r="CH78" s="32073"/>
      <c r="CI78" s="32074"/>
      <c r="CJ78" s="31957">
        <v>46753.53357638889</v>
      </c>
      <c r="CK78" s="32075" t="s">
        <v>63</v>
      </c>
      <c r="CL78" s="31957">
        <v>46934.53376157407</v>
      </c>
      <c r="CM78" s="32075" t="s">
        <v>63</v>
      </c>
      <c r="CN78" s="32073">
        <v>43.06</v>
      </c>
      <c r="CO78" s="32073"/>
      <c r="CP78" s="32074"/>
      <c r="CQ78" s="31957">
        <v>46935.536875</v>
      </c>
      <c r="CR78" s="32075" t="s">
        <v>63</v>
      </c>
      <c r="CS78" s="31957">
        <v>47118.53729166667</v>
      </c>
      <c r="CT78" s="32076" t="s">
        <v>63</v>
      </c>
      <c r="CU78" s="32077"/>
      <c r="CV78" s="3207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78" s="32068">
        <f>STRCHECKDATE(V79:CU79)</f>
      </c>
      <c r="CX78" s="32069"/>
      <c r="CY78" s="32069" t="str">
        <f>IF(T78="","",T78)</f>
        <v/>
      </c>
      <c r="CZ78" s="32069"/>
      <c r="DA78" s="32069"/>
      <c r="DB78" s="32070">
        <v>0</v>
      </c>
    </row>
    <row s="49128" customFormat="1" customHeight="1" ht="14.25">
      <c r="A79" s="32051"/>
      <c r="B79" s="32051"/>
      <c r="C79" s="32051"/>
      <c r="D79" s="32051"/>
      <c r="E79" s="32052"/>
      <c r="F79" s="32052"/>
      <c r="G79" s="32052"/>
      <c r="H79" s="32052"/>
      <c r="I79" s="32053"/>
      <c r="J79" s="32053" t="str">
        <f>I72&amp;".1"</f>
        <v>1.3.1.1.1</v>
      </c>
      <c r="K79" s="32054"/>
      <c r="L79" s="32055"/>
      <c r="M79" s="32056"/>
      <c r="N79" s="32056"/>
      <c r="O79" s="32056"/>
      <c r="P79" s="32057"/>
      <c r="Q79" s="32057"/>
      <c r="R79" s="32059"/>
      <c r="S79" s="32080"/>
      <c r="T79" s="32062"/>
      <c r="U79" s="32062"/>
      <c r="V79" s="32081"/>
      <c r="W79" s="32081"/>
      <c r="X79" s="32082" t="str">
        <f>Y78&amp;"-"&amp;AA78</f>
        <v>-</v>
      </c>
      <c r="Y79" s="32083"/>
      <c r="Z79" s="32075"/>
      <c r="AA79" s="32083"/>
      <c r="AB79" s="32075"/>
      <c r="AC79" s="32081"/>
      <c r="AD79" s="32081"/>
      <c r="AE79" s="32082" t="str">
        <f>AF78&amp;"-"&amp;AH78</f>
        <v>45292.52825231481-45473.52858796297</v>
      </c>
      <c r="AF79" s="32083"/>
      <c r="AG79" s="32075"/>
      <c r="AH79" s="32084"/>
      <c r="AI79" s="32075"/>
      <c r="AJ79" s="32081"/>
      <c r="AK79" s="32081"/>
      <c r="AL79" s="32082" t="str">
        <f>AM78&amp;"-"&amp;AO78</f>
        <v>45474.5287962963-45657.52890046296</v>
      </c>
      <c r="AM79" s="32083"/>
      <c r="AN79" s="32075"/>
      <c r="AO79" s="32083"/>
      <c r="AP79" s="32075"/>
      <c r="AQ79" s="32081"/>
      <c r="AR79" s="32081"/>
      <c r="AS79" s="32082" t="str">
        <f>AT78&amp;"-"&amp;AV78</f>
        <v>45658.529178240744-45838.52940972222</v>
      </c>
      <c r="AT79" s="32083"/>
      <c r="AU79" s="32075"/>
      <c r="AV79" s="32083"/>
      <c r="AW79" s="32075"/>
      <c r="AX79" s="32081"/>
      <c r="AY79" s="32081"/>
      <c r="AZ79" s="32082" t="str">
        <f>BA78&amp;"-"&amp;BC78</f>
        <v>45839.53-46022.530173611114</v>
      </c>
      <c r="BA79" s="32083"/>
      <c r="BB79" s="32075"/>
      <c r="BC79" s="32083"/>
      <c r="BD79" s="32075"/>
      <c r="BE79" s="32081"/>
      <c r="BF79" s="32081"/>
      <c r="BG79" s="32082" t="str">
        <f>BH78&amp;"-"&amp;BJ78</f>
        <v>46023.53053240741-46203.53086805555</v>
      </c>
      <c r="BH79" s="32083"/>
      <c r="BI79" s="32075"/>
      <c r="BJ79" s="32083"/>
      <c r="BK79" s="32075"/>
      <c r="BL79" s="32081"/>
      <c r="BM79" s="32081"/>
      <c r="BN79" s="32082" t="str">
        <f>BO78&amp;"-"&amp;BQ78</f>
        <v>46204.53136574074-46387.53159722222</v>
      </c>
      <c r="BO79" s="32083"/>
      <c r="BP79" s="32075"/>
      <c r="BQ79" s="32083"/>
      <c r="BR79" s="32075"/>
      <c r="BS79" s="32081"/>
      <c r="BT79" s="32081"/>
      <c r="BU79" s="32082" t="str">
        <f>BV78&amp;"-"&amp;BX78</f>
        <v>46388.53188657408-46568.53239583333</v>
      </c>
      <c r="BV79" s="32083"/>
      <c r="BW79" s="32075"/>
      <c r="BX79" s="32083"/>
      <c r="BY79" s="32075"/>
      <c r="BZ79" s="32081"/>
      <c r="CA79" s="32081"/>
      <c r="CB79" s="32082" t="str">
        <f>CC78&amp;"-"&amp;CE78</f>
        <v>46569.53295138889-46752.53326388889</v>
      </c>
      <c r="CC79" s="32083"/>
      <c r="CD79" s="32075"/>
      <c r="CE79" s="32083"/>
      <c r="CF79" s="32075"/>
      <c r="CG79" s="32081"/>
      <c r="CH79" s="32081"/>
      <c r="CI79" s="32082" t="str">
        <f>CJ78&amp;"-"&amp;CL78</f>
        <v>46753.53357638889-46934.53376157407</v>
      </c>
      <c r="CJ79" s="32083"/>
      <c r="CK79" s="32075"/>
      <c r="CL79" s="32083"/>
      <c r="CM79" s="32075"/>
      <c r="CN79" s="32081"/>
      <c r="CO79" s="32081"/>
      <c r="CP79" s="32082" t="str">
        <f>CQ78&amp;"-"&amp;CS78</f>
        <v>46935.536875-47118.53729166667</v>
      </c>
      <c r="CQ79" s="32083"/>
      <c r="CR79" s="32075"/>
      <c r="CS79" s="32083"/>
      <c r="CT79" s="32076"/>
      <c r="CU79" s="32085"/>
      <c r="CV79" s="32078"/>
      <c r="CW79" s="32068"/>
      <c r="CX79" s="32069"/>
      <c r="CY79" s="32069" t="str">
        <f>IF(T79="","",T79)</f>
        <v/>
      </c>
      <c r="CZ79" s="32069"/>
      <c r="DA79" s="32069"/>
      <c r="DB79" s="32070">
        <v>0</v>
      </c>
    </row>
    <row s="49129" customFormat="1" customHeight="1" ht="21">
      <c r="A80" s="32051"/>
      <c r="B80" s="32051"/>
      <c r="C80" s="32051"/>
      <c r="D80" s="32051"/>
      <c r="E80" s="32052"/>
      <c r="F80" s="32052"/>
      <c r="G80" s="32052"/>
      <c r="H80" s="32052"/>
      <c r="I80" s="32053"/>
      <c r="J80" s="32054" t="str">
        <f>I72&amp;".1"</f>
        <v>1.3.1.1.1</v>
      </c>
      <c r="K80" s="32051"/>
      <c r="L80" s="32055"/>
      <c r="M80" s="32056"/>
      <c r="N80" s="32056"/>
      <c r="O80" s="32056"/>
      <c r="P80" s="32057"/>
      <c r="Q80" s="32057"/>
      <c r="R80" s="32087"/>
      <c r="S80" s="32441"/>
      <c r="T80" s="32442" t="s">
        <v>601</v>
      </c>
      <c r="U80" s="32443"/>
      <c r="V80" s="32444"/>
      <c r="W80" s="32445"/>
      <c r="X80" s="32446"/>
      <c r="Y80" s="32447"/>
      <c r="Z80" s="32448"/>
      <c r="AA80" s="32449"/>
      <c r="AB80" s="32450"/>
      <c r="AC80" s="32451"/>
      <c r="AD80" s="32452"/>
      <c r="AE80" s="32453"/>
      <c r="AF80" s="32454"/>
      <c r="AG80" s="32455"/>
      <c r="AH80" s="32456"/>
      <c r="AI80" s="32457"/>
      <c r="AJ80" s="32458"/>
      <c r="AK80" s="32459"/>
      <c r="AL80" s="32460"/>
      <c r="AM80" s="32461"/>
      <c r="AN80" s="32462"/>
      <c r="AO80" s="32463"/>
      <c r="AP80" s="32464"/>
      <c r="AQ80" s="32465"/>
      <c r="AR80" s="32466"/>
      <c r="AS80" s="32467"/>
      <c r="AT80" s="32468"/>
      <c r="AU80" s="32469"/>
      <c r="AV80" s="32470"/>
      <c r="AW80" s="32471"/>
      <c r="AX80" s="32472"/>
      <c r="AY80" s="32473"/>
      <c r="AZ80" s="32474"/>
      <c r="BA80" s="32475"/>
      <c r="BB80" s="32476"/>
      <c r="BC80" s="32477"/>
      <c r="BD80" s="32478"/>
      <c r="BE80" s="32479"/>
      <c r="BF80" s="32480"/>
      <c r="BG80" s="32481"/>
      <c r="BH80" s="32482"/>
      <c r="BI80" s="32483"/>
      <c r="BJ80" s="32484"/>
      <c r="BK80" s="32485"/>
      <c r="BL80" s="32486"/>
      <c r="BM80" s="32487"/>
      <c r="BN80" s="32488"/>
      <c r="BO80" s="32489"/>
      <c r="BP80" s="32490"/>
      <c r="BQ80" s="32491"/>
      <c r="BR80" s="32492"/>
      <c r="BS80" s="32493"/>
      <c r="BT80" s="32494"/>
      <c r="BU80" s="32495"/>
      <c r="BV80" s="32496"/>
      <c r="BW80" s="32497"/>
      <c r="BX80" s="32498"/>
      <c r="BY80" s="32499"/>
      <c r="BZ80" s="32500"/>
      <c r="CA80" s="32501"/>
      <c r="CB80" s="32502"/>
      <c r="CC80" s="32503"/>
      <c r="CD80" s="32504"/>
      <c r="CE80" s="32505"/>
      <c r="CF80" s="32506"/>
      <c r="CG80" s="32507"/>
      <c r="CH80" s="32508"/>
      <c r="CI80" s="32509"/>
      <c r="CJ80" s="32510"/>
      <c r="CK80" s="32511"/>
      <c r="CL80" s="32512"/>
      <c r="CM80" s="32513"/>
      <c r="CN80" s="32514"/>
      <c r="CO80" s="32515"/>
      <c r="CP80" s="32516"/>
      <c r="CQ80" s="32517"/>
      <c r="CR80" s="32518"/>
      <c r="CS80" s="32519"/>
      <c r="CT80" s="32520"/>
      <c r="CU80" s="32521"/>
      <c r="CV80" s="32169" t="s">
        <v>602</v>
      </c>
      <c r="CW80" s="32068"/>
      <c r="CX80" s="32069"/>
      <c r="CY80" s="32069" t="str">
        <f>IF(T80="","",T80)</f>
        <v>Добавить значение признака дифференциации</v>
      </c>
      <c r="CZ80" s="32069"/>
      <c r="DA80" s="32069"/>
      <c r="DB80" s="32070">
        <v>0</v>
      </c>
    </row>
    <row s="49211" customFormat="1" customHeight="1" ht="21">
      <c r="A81" s="16967"/>
      <c r="B81" s="16967"/>
      <c r="C81" s="16967"/>
      <c r="D81" s="16967"/>
      <c r="E81" s="16968"/>
      <c r="F81" s="16968" t="s">
        <v>105</v>
      </c>
      <c r="G81" s="16968"/>
      <c r="H81" s="16968"/>
      <c r="I81" s="16989"/>
      <c r="J81" s="16967"/>
      <c r="K81" s="16967"/>
      <c r="L81" s="16970"/>
      <c r="M81" s="16990"/>
      <c r="N81" s="16990"/>
      <c r="O81" s="16990"/>
      <c r="P81" s="16991"/>
      <c r="Q81" s="16991"/>
      <c r="R81" s="16992"/>
      <c r="S81" s="17344"/>
      <c r="T81" s="17345" t="s">
        <v>530</v>
      </c>
      <c r="U81" s="17346"/>
      <c r="V81" s="17347"/>
      <c r="W81" s="17348"/>
      <c r="X81" s="17349"/>
      <c r="Y81" s="17350"/>
      <c r="Z81" s="17351"/>
      <c r="AA81" s="17352"/>
      <c r="AB81" s="17353"/>
      <c r="AC81" s="17354"/>
      <c r="AD81" s="17355"/>
      <c r="AE81" s="17356"/>
      <c r="AF81" s="17357"/>
      <c r="AG81" s="17358"/>
      <c r="AH81" s="17359"/>
      <c r="AI81" s="17360"/>
      <c r="AJ81" s="17361"/>
      <c r="AK81" s="17362"/>
      <c r="AL81" s="17363"/>
      <c r="AM81" s="17364"/>
      <c r="AN81" s="17365"/>
      <c r="AO81" s="17366"/>
      <c r="AP81" s="17367"/>
      <c r="AQ81" s="17368"/>
      <c r="AR81" s="17369"/>
      <c r="AS81" s="17370"/>
      <c r="AT81" s="17371"/>
      <c r="AU81" s="17372"/>
      <c r="AV81" s="17373"/>
      <c r="AW81" s="17374"/>
      <c r="AX81" s="17375"/>
      <c r="AY81" s="17376"/>
      <c r="AZ81" s="17377"/>
      <c r="BA81" s="17378"/>
      <c r="BB81" s="17379"/>
      <c r="BC81" s="17380"/>
      <c r="BD81" s="17381"/>
      <c r="BE81" s="17382"/>
      <c r="BF81" s="17383"/>
      <c r="BG81" s="17384"/>
      <c r="BH81" s="17385"/>
      <c r="BI81" s="17386"/>
      <c r="BJ81" s="17387"/>
      <c r="BK81" s="17388"/>
      <c r="BL81" s="17389"/>
      <c r="BM81" s="17390"/>
      <c r="BN81" s="17391"/>
      <c r="BO81" s="17392"/>
      <c r="BP81" s="17393"/>
      <c r="BQ81" s="17394"/>
      <c r="BR81" s="17395"/>
      <c r="BS81" s="17396"/>
      <c r="BT81" s="17397"/>
      <c r="BU81" s="17398"/>
      <c r="BV81" s="17399"/>
      <c r="BW81" s="17400"/>
      <c r="BX81" s="17401"/>
      <c r="BY81" s="17402"/>
      <c r="BZ81" s="17403"/>
      <c r="CA81" s="17404"/>
      <c r="CB81" s="17405"/>
      <c r="CC81" s="17406"/>
      <c r="CD81" s="17407"/>
      <c r="CE81" s="17408"/>
      <c r="CF81" s="17409"/>
      <c r="CG81" s="17410"/>
      <c r="CH81" s="17411"/>
      <c r="CI81" s="17412"/>
      <c r="CJ81" s="17413"/>
      <c r="CK81" s="17414"/>
      <c r="CL81" s="17415"/>
      <c r="CM81" s="17416"/>
      <c r="CN81" s="24738"/>
      <c r="CO81" s="24739"/>
      <c r="CP81" s="24740"/>
      <c r="CQ81" s="24741"/>
      <c r="CR81" s="24742"/>
      <c r="CS81" s="24743"/>
      <c r="CT81" s="24744"/>
      <c r="CU81" s="17417"/>
      <c r="CV81" s="17418"/>
      <c r="CW81" s="16982"/>
      <c r="CX81" s="16983"/>
      <c r="CY81" s="16983" t="str">
        <f>IF(T81="","",T81)</f>
        <v>Добавить группу потребителей</v>
      </c>
      <c r="CZ81" s="16983"/>
      <c r="DA81" s="16983"/>
      <c r="DB81" s="16984">
        <v>0</v>
      </c>
    </row>
    <row s="49294" customFormat="1" customHeight="1" ht="21">
      <c r="A82" s="16967"/>
      <c r="B82" s="16967"/>
      <c r="C82" s="16967"/>
      <c r="D82" s="16967"/>
      <c r="E82" s="16968"/>
      <c r="F82" s="16968" t="s">
        <v>105</v>
      </c>
      <c r="G82" s="16968"/>
      <c r="H82" s="16969"/>
      <c r="I82" s="16967"/>
      <c r="J82" s="16967"/>
      <c r="K82" s="16967"/>
      <c r="L82" s="16970"/>
      <c r="M82" s="16971"/>
      <c r="N82" s="16971"/>
      <c r="O82" s="17174"/>
      <c r="P82" s="17175"/>
      <c r="Q82" s="17176"/>
      <c r="R82" s="17177"/>
      <c r="S82" s="17420"/>
      <c r="T82" s="17421" t="s">
        <v>603</v>
      </c>
      <c r="U82" s="17422"/>
      <c r="V82" s="17423"/>
      <c r="W82" s="17424"/>
      <c r="X82" s="17425"/>
      <c r="Y82" s="17426"/>
      <c r="Z82" s="17427"/>
      <c r="AA82" s="17428"/>
      <c r="AB82" s="17429"/>
      <c r="AC82" s="17430"/>
      <c r="AD82" s="17431"/>
      <c r="AE82" s="17432"/>
      <c r="AF82" s="17433"/>
      <c r="AG82" s="17434"/>
      <c r="AH82" s="17435"/>
      <c r="AI82" s="17436"/>
      <c r="AJ82" s="17437"/>
      <c r="AK82" s="17438"/>
      <c r="AL82" s="17439"/>
      <c r="AM82" s="17440"/>
      <c r="AN82" s="17441"/>
      <c r="AO82" s="17442"/>
      <c r="AP82" s="17443"/>
      <c r="AQ82" s="17444"/>
      <c r="AR82" s="17445"/>
      <c r="AS82" s="17446"/>
      <c r="AT82" s="17447"/>
      <c r="AU82" s="17448"/>
      <c r="AV82" s="17449"/>
      <c r="AW82" s="17450"/>
      <c r="AX82" s="17451"/>
      <c r="AY82" s="17452"/>
      <c r="AZ82" s="17453"/>
      <c r="BA82" s="17454"/>
      <c r="BB82" s="17455"/>
      <c r="BC82" s="17456"/>
      <c r="BD82" s="17457"/>
      <c r="BE82" s="17458"/>
      <c r="BF82" s="17459"/>
      <c r="BG82" s="17460"/>
      <c r="BH82" s="17461"/>
      <c r="BI82" s="17462"/>
      <c r="BJ82" s="17463"/>
      <c r="BK82" s="17464"/>
      <c r="BL82" s="17465"/>
      <c r="BM82" s="17466"/>
      <c r="BN82" s="17467"/>
      <c r="BO82" s="17468"/>
      <c r="BP82" s="17469"/>
      <c r="BQ82" s="17470"/>
      <c r="BR82" s="17471"/>
      <c r="BS82" s="17472"/>
      <c r="BT82" s="17473"/>
      <c r="BU82" s="17474"/>
      <c r="BV82" s="17475"/>
      <c r="BW82" s="17476"/>
      <c r="BX82" s="17477"/>
      <c r="BY82" s="17478"/>
      <c r="BZ82" s="17479"/>
      <c r="CA82" s="17480"/>
      <c r="CB82" s="17481"/>
      <c r="CC82" s="17482"/>
      <c r="CD82" s="17483"/>
      <c r="CE82" s="17484"/>
      <c r="CF82" s="17485"/>
      <c r="CG82" s="17486"/>
      <c r="CH82" s="17487"/>
      <c r="CI82" s="17488"/>
      <c r="CJ82" s="17489"/>
      <c r="CK82" s="17490"/>
      <c r="CL82" s="17491"/>
      <c r="CM82" s="17492"/>
      <c r="CN82" s="24821"/>
      <c r="CO82" s="24822"/>
      <c r="CP82" s="24823"/>
      <c r="CQ82" s="24824"/>
      <c r="CR82" s="24825"/>
      <c r="CS82" s="24826"/>
      <c r="CT82" s="24827"/>
      <c r="CU82" s="17493"/>
      <c r="CV82" s="17494"/>
      <c r="CW82" s="16982"/>
      <c r="CX82" s="16983"/>
      <c r="CY82" s="16983" t="str">
        <f>IF(T82="","",T82)</f>
        <v>Добавить наименование признака дифференциации</v>
      </c>
      <c r="CZ82" s="16983"/>
      <c r="DA82" s="16983"/>
      <c r="DB82" s="16984">
        <v>0</v>
      </c>
    </row>
    <row s="49377" customFormat="1" customHeight="1" ht="14.25">
      <c r="A83" s="17254"/>
      <c r="B83" s="17254"/>
      <c r="C83" s="17254"/>
      <c r="D83" s="17254"/>
      <c r="E83" s="16968"/>
      <c r="F83" s="16969" t="s">
        <v>105</v>
      </c>
      <c r="G83" s="17254"/>
      <c r="H83" s="17254"/>
      <c r="I83" s="17254"/>
      <c r="J83" s="17254"/>
      <c r="K83" s="17254"/>
      <c r="L83" s="17255"/>
      <c r="M83" s="17256"/>
      <c r="N83" s="17256"/>
      <c r="O83" s="16982"/>
      <c r="P83" s="17257"/>
      <c r="Q83" s="17258"/>
      <c r="R83" s="17257"/>
      <c r="S83" s="17259"/>
      <c r="T83" s="17260" t="s">
        <v>321</v>
      </c>
      <c r="U83" s="17261"/>
      <c r="V83" s="17261"/>
      <c r="W83" s="17261"/>
      <c r="X83" s="17261"/>
      <c r="Y83" s="17261"/>
      <c r="Z83" s="17261"/>
      <c r="AA83" s="17261"/>
      <c r="AB83" s="17261"/>
      <c r="AC83" s="17261"/>
      <c r="AD83" s="17261"/>
      <c r="AE83" s="17261"/>
      <c r="AF83" s="17261"/>
      <c r="AG83" s="17261"/>
      <c r="AH83" s="17261"/>
      <c r="AI83" s="17261"/>
      <c r="AJ83" s="17261"/>
      <c r="AK83" s="17261"/>
      <c r="AL83" s="17261"/>
      <c r="AM83" s="17261"/>
      <c r="AN83" s="17261"/>
      <c r="AO83" s="17261"/>
      <c r="AP83" s="17261"/>
      <c r="AQ83" s="17261"/>
      <c r="AR83" s="17261"/>
      <c r="AS83" s="17261"/>
      <c r="AT83" s="17261"/>
      <c r="AU83" s="17261"/>
      <c r="AV83" s="17261"/>
      <c r="AW83" s="17261"/>
      <c r="AX83" s="17261"/>
      <c r="AY83" s="17261"/>
      <c r="AZ83" s="17261"/>
      <c r="BA83" s="17261"/>
      <c r="BB83" s="17261"/>
      <c r="BC83" s="17261"/>
      <c r="BD83" s="17261"/>
      <c r="BE83" s="17261"/>
      <c r="BF83" s="17261"/>
      <c r="BG83" s="17261"/>
      <c r="BH83" s="17261"/>
      <c r="BI83" s="17261"/>
      <c r="BJ83" s="17261"/>
      <c r="BK83" s="17261"/>
      <c r="BL83" s="17261"/>
      <c r="BM83" s="17261"/>
      <c r="BN83" s="17261"/>
      <c r="BO83" s="17261"/>
      <c r="BP83" s="17261"/>
      <c r="BQ83" s="17261"/>
      <c r="BR83" s="17261"/>
      <c r="BS83" s="17261"/>
      <c r="BT83" s="17261"/>
      <c r="BU83" s="17261"/>
      <c r="BV83" s="17261"/>
      <c r="BW83" s="17261"/>
      <c r="BX83" s="17261"/>
      <c r="BY83" s="17261"/>
      <c r="BZ83" s="17261"/>
      <c r="CA83" s="17261"/>
      <c r="CB83" s="17261"/>
      <c r="CC83" s="17261"/>
      <c r="CD83" s="17261"/>
      <c r="CE83" s="17261"/>
      <c r="CF83" s="17261"/>
      <c r="CG83" s="17261"/>
      <c r="CH83" s="17261"/>
      <c r="CI83" s="17261"/>
      <c r="CJ83" s="17261"/>
      <c r="CK83" s="17261"/>
      <c r="CL83" s="17261"/>
      <c r="CM83" s="17261"/>
      <c r="CN83" s="23902"/>
      <c r="CO83" s="23902"/>
      <c r="CP83" s="23902"/>
      <c r="CQ83" s="23902"/>
      <c r="CR83" s="23902"/>
      <c r="CS83" s="23902"/>
      <c r="CT83" s="23902"/>
      <c r="CU83" s="17261"/>
      <c r="CV83" s="17261"/>
      <c r="CW83" s="16982"/>
      <c r="CX83" s="16983"/>
      <c r="CY83" s="16983" t="str">
        <f>IF(T83="","",T83)</f>
        <v>Добавить централизованную систему для дифференциации</v>
      </c>
      <c r="CZ83" s="16983"/>
      <c r="DA83" s="16983"/>
      <c r="DB83" s="16982">
        <v>0</v>
      </c>
    </row>
    <row s="49378" customFormat="1" customHeight="1" ht="23.25">
      <c r="A84" s="16967"/>
      <c r="B84" s="16967" t="s">
        <v>331</v>
      </c>
      <c r="C84" s="16967"/>
      <c r="D84" s="16967"/>
      <c r="E84" s="16968"/>
      <c r="F84" s="16969" t="s">
        <v>93</v>
      </c>
      <c r="G84" s="16967"/>
      <c r="H84" s="16967"/>
      <c r="I84" s="16967"/>
      <c r="J84" s="16967"/>
      <c r="K84" s="16967"/>
      <c r="L84" s="16970"/>
      <c r="M84" s="16971"/>
      <c r="N84" s="16971"/>
      <c r="O84" s="16971"/>
      <c r="P84" s="16972"/>
      <c r="Q84" s="16973"/>
      <c r="R84" s="16974"/>
      <c r="S84" s="16975" t="str">
        <f>INDEX(PT_DIFFERENTIATION_NUM_TER,MATCH(B84,PT_DIFFERENTIATION_TER_ID,0))</f>
        <v>1.4</v>
      </c>
      <c r="T84" s="16976" t="s">
        <v>515</v>
      </c>
      <c r="U84" s="16977"/>
      <c r="V84" s="16978"/>
      <c r="W84" s="16979"/>
      <c r="X84" s="16979"/>
      <c r="Y84" s="16979"/>
      <c r="Z84" s="16979"/>
      <c r="AA84" s="16979"/>
      <c r="AB84" s="16980"/>
      <c r="AC84" s="16978" t="str">
        <f>INDEX(PT_DIFFERENTIATION_TER,MATCH(B84,PT_DIFFERENTIATION_TER_ID,0))</f>
        <v>Территория 4</v>
      </c>
      <c r="AD84" s="16979"/>
      <c r="AE84" s="16979"/>
      <c r="AF84" s="16979"/>
      <c r="AG84" s="16979"/>
      <c r="AH84" s="16979"/>
      <c r="AI84" s="16979"/>
      <c r="AJ84" s="16978"/>
      <c r="AK84" s="16979"/>
      <c r="AL84" s="16979"/>
      <c r="AM84" s="16979"/>
      <c r="AN84" s="16979"/>
      <c r="AO84" s="16979"/>
      <c r="AP84" s="16980"/>
      <c r="AQ84" s="16978"/>
      <c r="AR84" s="16979"/>
      <c r="AS84" s="16979"/>
      <c r="AT84" s="16979"/>
      <c r="AU84" s="16979"/>
      <c r="AV84" s="16979"/>
      <c r="AW84" s="16980"/>
      <c r="AX84" s="16978"/>
      <c r="AY84" s="16979"/>
      <c r="AZ84" s="16979"/>
      <c r="BA84" s="16979"/>
      <c r="BB84" s="16979"/>
      <c r="BC84" s="16979"/>
      <c r="BD84" s="16980"/>
      <c r="BE84" s="16978"/>
      <c r="BF84" s="16979"/>
      <c r="BG84" s="16979"/>
      <c r="BH84" s="16979"/>
      <c r="BI84" s="16979"/>
      <c r="BJ84" s="16979"/>
      <c r="BK84" s="16980"/>
      <c r="BL84" s="16978"/>
      <c r="BM84" s="16979"/>
      <c r="BN84" s="16979"/>
      <c r="BO84" s="16979"/>
      <c r="BP84" s="16979"/>
      <c r="BQ84" s="16979"/>
      <c r="BR84" s="16980"/>
      <c r="BS84" s="16978"/>
      <c r="BT84" s="16979"/>
      <c r="BU84" s="16979"/>
      <c r="BV84" s="16979"/>
      <c r="BW84" s="16979"/>
      <c r="BX84" s="16979"/>
      <c r="BY84" s="16980"/>
      <c r="BZ84" s="16978"/>
      <c r="CA84" s="16979"/>
      <c r="CB84" s="16979"/>
      <c r="CC84" s="16979"/>
      <c r="CD84" s="16979"/>
      <c r="CE84" s="16979"/>
      <c r="CF84" s="16980"/>
      <c r="CG84" s="16978"/>
      <c r="CH84" s="16979"/>
      <c r="CI84" s="16979"/>
      <c r="CJ84" s="16979"/>
      <c r="CK84" s="16979"/>
      <c r="CL84" s="16979"/>
      <c r="CM84" s="16980"/>
      <c r="CN84" s="23679"/>
      <c r="CO84" s="23680"/>
      <c r="CP84" s="23680"/>
      <c r="CQ84" s="23680"/>
      <c r="CR84" s="23680"/>
      <c r="CS84" s="23680"/>
      <c r="CT84" s="23681"/>
      <c r="CU84" s="16980"/>
      <c r="CV84" s="16981" t="s">
        <v>516</v>
      </c>
      <c r="CW84" s="16982"/>
      <c r="CX84" s="16983"/>
      <c r="CY84" s="16983" t="str">
        <f>IF(T84="","",T84)</f>
        <v>Территория действия тарифа</v>
      </c>
      <c r="CZ84" s="16983"/>
      <c r="DA84" s="16983"/>
      <c r="DB84" s="16984">
        <v>0</v>
      </c>
    </row>
    <row s="49379" customFormat="1" customHeight="1" ht="23.25">
      <c r="A85" s="16967"/>
      <c r="B85" s="16967"/>
      <c r="C85" s="16967" t="s">
        <v>332</v>
      </c>
      <c r="D85" s="16967"/>
      <c r="E85" s="16968"/>
      <c r="F85" s="16968" t="s">
        <v>92</v>
      </c>
      <c r="G85" s="16969">
        <v>1</v>
      </c>
      <c r="H85" s="16967"/>
      <c r="I85" s="16967"/>
      <c r="J85" s="16967"/>
      <c r="K85" s="16967"/>
      <c r="L85" s="16970"/>
      <c r="M85" s="16971"/>
      <c r="N85" s="16971"/>
      <c r="O85" s="16971"/>
      <c r="P85" s="16986"/>
      <c r="Q85" s="16973"/>
      <c r="R85" s="16974"/>
      <c r="S85" s="16975" t="str">
        <f>INDEX(PT_DIFFERENTIATION_NUM_CS,MATCH(C85,PT_DIFFERENTIATION_CS_ID,0))</f>
        <v>1.4.1</v>
      </c>
      <c r="T85" s="16987" t="s">
        <v>631</v>
      </c>
      <c r="U85" s="16977"/>
      <c r="V85" s="16978"/>
      <c r="W85" s="16979"/>
      <c r="X85" s="16979"/>
      <c r="Y85" s="16979"/>
      <c r="Z85" s="16979"/>
      <c r="AA85" s="16979"/>
      <c r="AB85" s="16980"/>
      <c r="AC85" s="16978" t="str">
        <f>INDEX(PT_DIFFERENTIATION_CS,MATCH(C85,PT_DIFFERENTIATION_CS_ID,0))</f>
        <v>с. Барабаш, с. Занадворовка</v>
      </c>
      <c r="AD85" s="16979"/>
      <c r="AE85" s="16979"/>
      <c r="AF85" s="16979"/>
      <c r="AG85" s="16979"/>
      <c r="AH85" s="16979"/>
      <c r="AI85" s="16979"/>
      <c r="AJ85" s="16978"/>
      <c r="AK85" s="16979"/>
      <c r="AL85" s="16979"/>
      <c r="AM85" s="16979"/>
      <c r="AN85" s="16979"/>
      <c r="AO85" s="16979"/>
      <c r="AP85" s="16980"/>
      <c r="AQ85" s="16978"/>
      <c r="AR85" s="16979"/>
      <c r="AS85" s="16979"/>
      <c r="AT85" s="16979"/>
      <c r="AU85" s="16979"/>
      <c r="AV85" s="16979"/>
      <c r="AW85" s="16980"/>
      <c r="AX85" s="16978"/>
      <c r="AY85" s="16979"/>
      <c r="AZ85" s="16979"/>
      <c r="BA85" s="16979"/>
      <c r="BB85" s="16979"/>
      <c r="BC85" s="16979"/>
      <c r="BD85" s="16980"/>
      <c r="BE85" s="16978"/>
      <c r="BF85" s="16979"/>
      <c r="BG85" s="16979"/>
      <c r="BH85" s="16979"/>
      <c r="BI85" s="16979"/>
      <c r="BJ85" s="16979"/>
      <c r="BK85" s="16980"/>
      <c r="BL85" s="16978"/>
      <c r="BM85" s="16979"/>
      <c r="BN85" s="16979"/>
      <c r="BO85" s="16979"/>
      <c r="BP85" s="16979"/>
      <c r="BQ85" s="16979"/>
      <c r="BR85" s="16980"/>
      <c r="BS85" s="16978"/>
      <c r="BT85" s="16979"/>
      <c r="BU85" s="16979"/>
      <c r="BV85" s="16979"/>
      <c r="BW85" s="16979"/>
      <c r="BX85" s="16979"/>
      <c r="BY85" s="16980"/>
      <c r="BZ85" s="16978"/>
      <c r="CA85" s="16979"/>
      <c r="CB85" s="16979"/>
      <c r="CC85" s="16979"/>
      <c r="CD85" s="16979"/>
      <c r="CE85" s="16979"/>
      <c r="CF85" s="16980"/>
      <c r="CG85" s="16978"/>
      <c r="CH85" s="16979"/>
      <c r="CI85" s="16979"/>
      <c r="CJ85" s="16979"/>
      <c r="CK85" s="16979"/>
      <c r="CL85" s="16979"/>
      <c r="CM85" s="16980"/>
      <c r="CN85" s="23679"/>
      <c r="CO85" s="23680"/>
      <c r="CP85" s="23680"/>
      <c r="CQ85" s="23680"/>
      <c r="CR85" s="23680"/>
      <c r="CS85" s="23680"/>
      <c r="CT85" s="23681"/>
      <c r="CU85" s="16980"/>
      <c r="CV85" s="16981" t="s">
        <v>632</v>
      </c>
      <c r="CW85" s="16982"/>
      <c r="CX85" s="16983"/>
      <c r="CY85" s="16983" t="str">
        <f>IF(T85="","",T85)</f>
        <v>Наименование централизованной системы водоотведения</v>
      </c>
      <c r="CZ85" s="16983"/>
      <c r="DA85" s="16983"/>
      <c r="DB85" s="16984">
        <v>0</v>
      </c>
    </row>
    <row s="49380" customFormat="1" customHeight="1" ht="23.25">
      <c r="A86" s="16967"/>
      <c r="B86" s="16967"/>
      <c r="C86" s="16967"/>
      <c r="D86" s="16967"/>
      <c r="E86" s="16968"/>
      <c r="F86" s="16968" t="s">
        <v>92</v>
      </c>
      <c r="G86" s="16968"/>
      <c r="H86" s="16968"/>
      <c r="I86" s="16989" t="str">
        <f>S85&amp;".1"</f>
        <v>1.4.1.1</v>
      </c>
      <c r="J86" s="16967"/>
      <c r="K86" s="16967"/>
      <c r="L86" s="16970"/>
      <c r="M86" s="16990"/>
      <c r="N86" s="16990"/>
      <c r="O86" s="16990"/>
      <c r="P86" s="16991">
        <v>1</v>
      </c>
      <c r="Q86" s="16991"/>
      <c r="R86" s="16992"/>
      <c r="S86" s="16975" t="str">
        <f>$I86</f>
        <v>1.4.1.1</v>
      </c>
      <c r="T86" s="16993" t="s">
        <v>598</v>
      </c>
      <c r="U86" s="16977"/>
      <c r="V86" s="16994"/>
      <c r="W86" s="16995"/>
      <c r="X86" s="16995"/>
      <c r="Y86" s="16995"/>
      <c r="Z86" s="16995"/>
      <c r="AA86" s="16995"/>
      <c r="AB86" s="16996"/>
      <c r="AC86" s="16997"/>
      <c r="AD86" s="16998"/>
      <c r="AE86" s="16998"/>
      <c r="AF86" s="16998"/>
      <c r="AG86" s="16998"/>
      <c r="AH86" s="16998"/>
      <c r="AI86" s="16998"/>
      <c r="AJ86" s="16994"/>
      <c r="AK86" s="16995"/>
      <c r="AL86" s="16995"/>
      <c r="AM86" s="16995"/>
      <c r="AN86" s="16995"/>
      <c r="AO86" s="16995"/>
      <c r="AP86" s="16996"/>
      <c r="AQ86" s="16994"/>
      <c r="AR86" s="16995"/>
      <c r="AS86" s="16995"/>
      <c r="AT86" s="16995"/>
      <c r="AU86" s="16995"/>
      <c r="AV86" s="16995"/>
      <c r="AW86" s="16996"/>
      <c r="AX86" s="16994"/>
      <c r="AY86" s="16995"/>
      <c r="AZ86" s="16995"/>
      <c r="BA86" s="16995"/>
      <c r="BB86" s="16995"/>
      <c r="BC86" s="16995"/>
      <c r="BD86" s="16996"/>
      <c r="BE86" s="16994"/>
      <c r="BF86" s="16995"/>
      <c r="BG86" s="16995"/>
      <c r="BH86" s="16995"/>
      <c r="BI86" s="16995"/>
      <c r="BJ86" s="16995"/>
      <c r="BK86" s="16996"/>
      <c r="BL86" s="16994"/>
      <c r="BM86" s="16995"/>
      <c r="BN86" s="16995"/>
      <c r="BO86" s="16995"/>
      <c r="BP86" s="16995"/>
      <c r="BQ86" s="16995"/>
      <c r="BR86" s="16996"/>
      <c r="BS86" s="16994"/>
      <c r="BT86" s="16995"/>
      <c r="BU86" s="16995"/>
      <c r="BV86" s="16995"/>
      <c r="BW86" s="16995"/>
      <c r="BX86" s="16995"/>
      <c r="BY86" s="16996"/>
      <c r="BZ86" s="16994"/>
      <c r="CA86" s="16995"/>
      <c r="CB86" s="16995"/>
      <c r="CC86" s="16995"/>
      <c r="CD86" s="16995"/>
      <c r="CE86" s="16995"/>
      <c r="CF86" s="16996"/>
      <c r="CG86" s="16994"/>
      <c r="CH86" s="16995"/>
      <c r="CI86" s="16995"/>
      <c r="CJ86" s="16995"/>
      <c r="CK86" s="16995"/>
      <c r="CL86" s="16995"/>
      <c r="CM86" s="16996"/>
      <c r="CN86" s="23687"/>
      <c r="CO86" s="23688"/>
      <c r="CP86" s="23688"/>
      <c r="CQ86" s="23688"/>
      <c r="CR86" s="23688"/>
      <c r="CS86" s="23688"/>
      <c r="CT86" s="23689"/>
      <c r="CU86" s="16999"/>
      <c r="CV86" s="16981" t="s">
        <v>599</v>
      </c>
      <c r="CW86" s="16982"/>
      <c r="CX86" s="16983"/>
      <c r="CY86" s="16983" t="str">
        <f>IF(T86="","",T86)</f>
        <v>Наименование признака дифференциации</v>
      </c>
      <c r="CZ86" s="16983"/>
      <c r="DA86" s="16983"/>
      <c r="DB86" s="16984">
        <v>0</v>
      </c>
    </row>
    <row s="49381" customFormat="1" customHeight="1" ht="23.25">
      <c r="A87" s="16967"/>
      <c r="B87" s="16967"/>
      <c r="C87" s="16967"/>
      <c r="D87" s="16967"/>
      <c r="E87" s="16968"/>
      <c r="F87" s="16968" t="s">
        <v>92</v>
      </c>
      <c r="G87" s="16968"/>
      <c r="H87" s="16968"/>
      <c r="I87" s="17001"/>
      <c r="J87" s="16989" t="str">
        <f>I86&amp;".1"</f>
        <v>1.4.1.1.1</v>
      </c>
      <c r="K87" s="16967"/>
      <c r="L87" s="16970" t="s">
        <v>524</v>
      </c>
      <c r="M87" s="16990"/>
      <c r="N87" s="16990"/>
      <c r="O87" s="16990"/>
      <c r="P87" s="16991"/>
      <c r="Q87" s="16991">
        <v>1</v>
      </c>
      <c r="R87" s="17002"/>
      <c r="S87" s="16975" t="str">
        <f>$J87</f>
        <v>1.4.1.1.1</v>
      </c>
      <c r="T87" s="17003" t="s">
        <v>525</v>
      </c>
      <c r="U87" s="16977"/>
      <c r="V87" s="17004"/>
      <c r="W87" s="17005"/>
      <c r="X87" s="17005"/>
      <c r="Y87" s="17005"/>
      <c r="Z87" s="17005"/>
      <c r="AA87" s="17005"/>
      <c r="AB87" s="17006"/>
      <c r="AC87" s="17004" t="s">
        <v>636</v>
      </c>
      <c r="AD87" s="17005"/>
      <c r="AE87" s="17005"/>
      <c r="AF87" s="17005"/>
      <c r="AG87" s="17005"/>
      <c r="AH87" s="17005"/>
      <c r="AI87" s="17005"/>
      <c r="AJ87" s="17004"/>
      <c r="AK87" s="17005"/>
      <c r="AL87" s="17005"/>
      <c r="AM87" s="17005"/>
      <c r="AN87" s="17005"/>
      <c r="AO87" s="17005"/>
      <c r="AP87" s="17006"/>
      <c r="AQ87" s="17004"/>
      <c r="AR87" s="17005"/>
      <c r="AS87" s="17005"/>
      <c r="AT87" s="17005"/>
      <c r="AU87" s="17005"/>
      <c r="AV87" s="17005"/>
      <c r="AW87" s="17006"/>
      <c r="AX87" s="17004"/>
      <c r="AY87" s="17005"/>
      <c r="AZ87" s="17005"/>
      <c r="BA87" s="17005"/>
      <c r="BB87" s="17005"/>
      <c r="BC87" s="17005"/>
      <c r="BD87" s="17006"/>
      <c r="BE87" s="17004"/>
      <c r="BF87" s="17005"/>
      <c r="BG87" s="17005"/>
      <c r="BH87" s="17005"/>
      <c r="BI87" s="17005"/>
      <c r="BJ87" s="17005"/>
      <c r="BK87" s="17006"/>
      <c r="BL87" s="17004"/>
      <c r="BM87" s="17005"/>
      <c r="BN87" s="17005"/>
      <c r="BO87" s="17005"/>
      <c r="BP87" s="17005"/>
      <c r="BQ87" s="17005"/>
      <c r="BR87" s="17006"/>
      <c r="BS87" s="17004"/>
      <c r="BT87" s="17005"/>
      <c r="BU87" s="17005"/>
      <c r="BV87" s="17005"/>
      <c r="BW87" s="17005"/>
      <c r="BX87" s="17005"/>
      <c r="BY87" s="17006"/>
      <c r="BZ87" s="17004"/>
      <c r="CA87" s="17005"/>
      <c r="CB87" s="17005"/>
      <c r="CC87" s="17005"/>
      <c r="CD87" s="17005"/>
      <c r="CE87" s="17005"/>
      <c r="CF87" s="17006"/>
      <c r="CG87" s="17004"/>
      <c r="CH87" s="17005"/>
      <c r="CI87" s="17005"/>
      <c r="CJ87" s="17005"/>
      <c r="CK87" s="17005"/>
      <c r="CL87" s="17005"/>
      <c r="CM87" s="17006"/>
      <c r="CN87" s="23693"/>
      <c r="CO87" s="23694"/>
      <c r="CP87" s="23694"/>
      <c r="CQ87" s="23694"/>
      <c r="CR87" s="23694"/>
      <c r="CS87" s="23694"/>
      <c r="CT87" s="23695"/>
      <c r="CU87" s="17006"/>
      <c r="CV87" s="17007" t="s">
        <v>600</v>
      </c>
      <c r="CW87" s="16982"/>
      <c r="CX87" s="16983"/>
      <c r="CY87" s="16983" t="str">
        <f>IF(T87="","",T87)</f>
        <v>Группа потребителей</v>
      </c>
      <c r="CZ87" s="16983"/>
      <c r="DA87" s="16983"/>
      <c r="DB87" s="16984">
        <v>0</v>
      </c>
    </row>
    <row s="49382" customFormat="1" customHeight="1" ht="23.25">
      <c r="A88" s="16967"/>
      <c r="B88" s="16967"/>
      <c r="C88" s="16967"/>
      <c r="D88" s="16967"/>
      <c r="E88" s="16968"/>
      <c r="F88" s="16968" t="s">
        <v>92</v>
      </c>
      <c r="G88" s="16968"/>
      <c r="H88" s="16968"/>
      <c r="I88" s="17001"/>
      <c r="J88" s="17001"/>
      <c r="K88" s="16989" t="str">
        <f>J87&amp;".1"</f>
        <v>1.4.1.1.1.1</v>
      </c>
      <c r="L88" s="16970"/>
      <c r="M88" s="16990"/>
      <c r="N88" s="16990"/>
      <c r="O88" s="16990"/>
      <c r="P88" s="16991"/>
      <c r="Q88" s="16991"/>
      <c r="R88" s="17002">
        <v>1</v>
      </c>
      <c r="S88" s="16975" t="str">
        <f>$K88</f>
        <v>1.4.1.1.1.1</v>
      </c>
      <c r="T88" s="17009"/>
      <c r="U88" s="16977"/>
      <c r="V88" s="17010"/>
      <c r="W88" s="17010"/>
      <c r="X88" s="17011"/>
      <c r="Y88" s="16696"/>
      <c r="Z88" s="17012" t="s">
        <v>63</v>
      </c>
      <c r="AA88" s="16696"/>
      <c r="AB88" s="17012" t="s">
        <v>63</v>
      </c>
      <c r="AC88" s="17010">
        <v>13.14</v>
      </c>
      <c r="AD88" s="17010"/>
      <c r="AE88" s="17011"/>
      <c r="AF88" s="40552">
        <v>45292.59371527778</v>
      </c>
      <c r="AG88" s="17012" t="s">
        <v>63</v>
      </c>
      <c r="AH88" s="40553">
        <v>45473.593935185185</v>
      </c>
      <c r="AI88" s="17012" t="s">
        <v>63</v>
      </c>
      <c r="AJ88" s="17010">
        <v>17.09</v>
      </c>
      <c r="AK88" s="17010"/>
      <c r="AL88" s="17011"/>
      <c r="AM88" s="40552">
        <v>45474.59409722222</v>
      </c>
      <c r="AN88" s="17012" t="s">
        <v>63</v>
      </c>
      <c r="AO88" s="40552">
        <v>45657.59422453704</v>
      </c>
      <c r="AP88" s="17012" t="s">
        <v>63</v>
      </c>
      <c r="AQ88" s="17010">
        <v>17.09</v>
      </c>
      <c r="AR88" s="17010"/>
      <c r="AS88" s="17011"/>
      <c r="AT88" s="40552">
        <v>45658.59439814815</v>
      </c>
      <c r="AU88" s="17012" t="s">
        <v>63</v>
      </c>
      <c r="AV88" s="40552">
        <v>45838.59447916667</v>
      </c>
      <c r="AW88" s="17012" t="s">
        <v>63</v>
      </c>
      <c r="AX88" s="17010">
        <v>21.36</v>
      </c>
      <c r="AY88" s="17010"/>
      <c r="AZ88" s="17011"/>
      <c r="BA88" s="40552">
        <v>45839.59501157407</v>
      </c>
      <c r="BB88" s="17012" t="s">
        <v>63</v>
      </c>
      <c r="BC88" s="40552">
        <v>46022.59516203704</v>
      </c>
      <c r="BD88" s="17012" t="s">
        <v>63</v>
      </c>
      <c r="BE88" s="17010">
        <v>21.36</v>
      </c>
      <c r="BF88" s="17010"/>
      <c r="BG88" s="17011"/>
      <c r="BH88" s="40552">
        <v>46023.59546296296</v>
      </c>
      <c r="BI88" s="17012" t="s">
        <v>63</v>
      </c>
      <c r="BJ88" s="40552">
        <v>46203.5958912037</v>
      </c>
      <c r="BK88" s="17012" t="s">
        <v>63</v>
      </c>
      <c r="BL88" s="17010">
        <v>22.21</v>
      </c>
      <c r="BM88" s="17010"/>
      <c r="BN88" s="17011"/>
      <c r="BO88" s="40552">
        <v>46204.596238425926</v>
      </c>
      <c r="BP88" s="17012" t="s">
        <v>63</v>
      </c>
      <c r="BQ88" s="40552">
        <v>46387.59653935185</v>
      </c>
      <c r="BR88" s="17012" t="s">
        <v>63</v>
      </c>
      <c r="BS88" s="17010">
        <v>22.21</v>
      </c>
      <c r="BT88" s="17010"/>
      <c r="BU88" s="17011"/>
      <c r="BV88" s="40552">
        <v>46388.59694444444</v>
      </c>
      <c r="BW88" s="17012" t="s">
        <v>63</v>
      </c>
      <c r="BX88" s="40552">
        <v>46568.59716435185</v>
      </c>
      <c r="BY88" s="17012" t="s">
        <v>63</v>
      </c>
      <c r="BZ88" s="17010">
        <v>22.44</v>
      </c>
      <c r="CA88" s="17010"/>
      <c r="CB88" s="17011"/>
      <c r="CC88" s="40552">
        <v>46569.597407407404</v>
      </c>
      <c r="CD88" s="17012" t="s">
        <v>63</v>
      </c>
      <c r="CE88" s="40552">
        <v>46752.59762731481</v>
      </c>
      <c r="CF88" s="17012" t="s">
        <v>63</v>
      </c>
      <c r="CG88" s="17010">
        <v>22.43</v>
      </c>
      <c r="CH88" s="17010"/>
      <c r="CI88" s="17011"/>
      <c r="CJ88" s="40552">
        <v>46753.59788194444</v>
      </c>
      <c r="CK88" s="17012" t="s">
        <v>63</v>
      </c>
      <c r="CL88" s="40552">
        <v>46934.598078703704</v>
      </c>
      <c r="CM88" s="17012" t="s">
        <v>63</v>
      </c>
      <c r="CN88" s="23700">
        <v>22.43</v>
      </c>
      <c r="CO88" s="23700"/>
      <c r="CP88" s="23701"/>
      <c r="CQ88" s="40552">
        <v>46935.59866898148</v>
      </c>
      <c r="CR88" s="23703" t="s">
        <v>63</v>
      </c>
      <c r="CS88" s="40552">
        <v>47118.59892361111</v>
      </c>
      <c r="CT88" s="23703" t="s">
        <v>63</v>
      </c>
      <c r="CU88" s="17013"/>
      <c r="CV88" s="170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88" s="16982">
        <f>STRCHECKDATE(V89:CU89)</f>
      </c>
      <c r="CX88" s="16983"/>
      <c r="CY88" s="16983" t="str">
        <f>IF(T88="","",T88)</f>
        <v/>
      </c>
      <c r="CZ88" s="16983"/>
      <c r="DA88" s="16983"/>
      <c r="DB88" s="16984">
        <v>0</v>
      </c>
    </row>
    <row s="49385" customFormat="1" customHeight="1" ht="14.25">
      <c r="A89" s="16967"/>
      <c r="B89" s="16967"/>
      <c r="C89" s="16967"/>
      <c r="D89" s="16967"/>
      <c r="E89" s="16968"/>
      <c r="F89" s="16968" t="s">
        <v>92</v>
      </c>
      <c r="G89" s="16968"/>
      <c r="H89" s="16968"/>
      <c r="I89" s="17001"/>
      <c r="J89" s="17001"/>
      <c r="K89" s="16989"/>
      <c r="L89" s="16970"/>
      <c r="M89" s="16990"/>
      <c r="N89" s="16990"/>
      <c r="O89" s="16990"/>
      <c r="P89" s="16991"/>
      <c r="Q89" s="16991"/>
      <c r="R89" s="17002"/>
      <c r="S89" s="17016"/>
      <c r="T89" s="16977"/>
      <c r="U89" s="16977"/>
      <c r="V89" s="17017"/>
      <c r="W89" s="17017"/>
      <c r="X89" s="17018" t="str">
        <f>Y88&amp;"-"&amp;AA88</f>
        <v>-</v>
      </c>
      <c r="Y89" s="17019"/>
      <c r="Z89" s="17012"/>
      <c r="AA89" s="17019"/>
      <c r="AB89" s="17012"/>
      <c r="AC89" s="17017"/>
      <c r="AD89" s="17017"/>
      <c r="AE89" s="17018" t="str">
        <f>AF88&amp;"-"&amp;AH88</f>
        <v>45292.59371527778-45473.593935185185</v>
      </c>
      <c r="AF89" s="17019"/>
      <c r="AG89" s="17012"/>
      <c r="AH89" s="17020"/>
      <c r="AI89" s="17012"/>
      <c r="AJ89" s="17017"/>
      <c r="AK89" s="17017"/>
      <c r="AL89" s="17018" t="str">
        <f>AM88&amp;"-"&amp;AO88</f>
        <v>45474.59409722222-45657.59422453704</v>
      </c>
      <c r="AM89" s="17019"/>
      <c r="AN89" s="17012"/>
      <c r="AO89" s="17019"/>
      <c r="AP89" s="17012"/>
      <c r="AQ89" s="17017"/>
      <c r="AR89" s="17017"/>
      <c r="AS89" s="17018" t="str">
        <f>AT88&amp;"-"&amp;AV88</f>
        <v>45658.59439814815-45838.59447916667</v>
      </c>
      <c r="AT89" s="17019"/>
      <c r="AU89" s="17012"/>
      <c r="AV89" s="17019"/>
      <c r="AW89" s="17012"/>
      <c r="AX89" s="17017"/>
      <c r="AY89" s="17017"/>
      <c r="AZ89" s="17018" t="str">
        <f>BA88&amp;"-"&amp;BC88</f>
        <v>45839.59501157407-46022.59516203704</v>
      </c>
      <c r="BA89" s="17019"/>
      <c r="BB89" s="17012"/>
      <c r="BC89" s="17019"/>
      <c r="BD89" s="17012"/>
      <c r="BE89" s="17017"/>
      <c r="BF89" s="17017"/>
      <c r="BG89" s="17018" t="str">
        <f>BH88&amp;"-"&amp;BJ88</f>
        <v>46023.59546296296-46203.5958912037</v>
      </c>
      <c r="BH89" s="17019"/>
      <c r="BI89" s="17012"/>
      <c r="BJ89" s="17019"/>
      <c r="BK89" s="17012"/>
      <c r="BL89" s="17017"/>
      <c r="BM89" s="17017"/>
      <c r="BN89" s="17018" t="str">
        <f>BO88&amp;"-"&amp;BQ88</f>
        <v>46204.596238425926-46387.59653935185</v>
      </c>
      <c r="BO89" s="17019"/>
      <c r="BP89" s="17012"/>
      <c r="BQ89" s="17019"/>
      <c r="BR89" s="17012"/>
      <c r="BS89" s="17017"/>
      <c r="BT89" s="17017"/>
      <c r="BU89" s="17018" t="str">
        <f>BV88&amp;"-"&amp;BX88</f>
        <v>46388.59694444444-46568.59716435185</v>
      </c>
      <c r="BV89" s="17019"/>
      <c r="BW89" s="17012"/>
      <c r="BX89" s="17019"/>
      <c r="BY89" s="17012"/>
      <c r="BZ89" s="17017"/>
      <c r="CA89" s="17017"/>
      <c r="CB89" s="17018" t="str">
        <f>CC88&amp;"-"&amp;CE88</f>
        <v>46569.597407407404-46752.59762731481</v>
      </c>
      <c r="CC89" s="17019"/>
      <c r="CD89" s="17012"/>
      <c r="CE89" s="17019"/>
      <c r="CF89" s="17012"/>
      <c r="CG89" s="17017"/>
      <c r="CH89" s="17017"/>
      <c r="CI89" s="17018" t="str">
        <f>CJ88&amp;"-"&amp;CL88</f>
        <v>46753.59788194444-46934.598078703704</v>
      </c>
      <c r="CJ89" s="17019"/>
      <c r="CK89" s="17012"/>
      <c r="CL89" s="17019"/>
      <c r="CM89" s="17012"/>
      <c r="CN89" s="23708"/>
      <c r="CO89" s="23708"/>
      <c r="CP89" s="23709" t="str">
        <f>CQ88&amp;"-"&amp;CS88</f>
        <v>46935.59866898148-47118.59892361111</v>
      </c>
      <c r="CQ89" s="23710"/>
      <c r="CR89" s="23703"/>
      <c r="CS89" s="23710"/>
      <c r="CT89" s="23703"/>
      <c r="CU89" s="17021"/>
      <c r="CV89" s="17014"/>
      <c r="CW89" s="16982"/>
      <c r="CX89" s="16983"/>
      <c r="CY89" s="16983" t="str">
        <f>IF(T89="","",T89)</f>
        <v/>
      </c>
      <c r="CZ89" s="16983"/>
      <c r="DA89" s="16983"/>
      <c r="DB89" s="16984">
        <v>0</v>
      </c>
    </row>
    <row s="49386" customFormat="1" customHeight="1" ht="21">
      <c r="A90" s="16967"/>
      <c r="B90" s="16967"/>
      <c r="C90" s="16967"/>
      <c r="D90" s="16967"/>
      <c r="E90" s="16968"/>
      <c r="F90" s="16968" t="s">
        <v>92</v>
      </c>
      <c r="G90" s="16968"/>
      <c r="H90" s="16968"/>
      <c r="I90" s="17001"/>
      <c r="J90" s="16989"/>
      <c r="K90" s="16967"/>
      <c r="L90" s="16970"/>
      <c r="M90" s="16990"/>
      <c r="N90" s="16990"/>
      <c r="O90" s="16990"/>
      <c r="P90" s="16991"/>
      <c r="Q90" s="16991"/>
      <c r="R90" s="16992"/>
      <c r="S90" s="17503"/>
      <c r="T90" s="17504" t="s">
        <v>601</v>
      </c>
      <c r="U90" s="17505"/>
      <c r="V90" s="17506"/>
      <c r="W90" s="17507"/>
      <c r="X90" s="17508"/>
      <c r="Y90" s="17509"/>
      <c r="Z90" s="17510"/>
      <c r="AA90" s="17511"/>
      <c r="AB90" s="17512"/>
      <c r="AC90" s="17513"/>
      <c r="AD90" s="17514"/>
      <c r="AE90" s="17515"/>
      <c r="AF90" s="17516"/>
      <c r="AG90" s="17517"/>
      <c r="AH90" s="17518"/>
      <c r="AI90" s="17519"/>
      <c r="AJ90" s="17520"/>
      <c r="AK90" s="17521"/>
      <c r="AL90" s="17522"/>
      <c r="AM90" s="17523"/>
      <c r="AN90" s="17524"/>
      <c r="AO90" s="17525"/>
      <c r="AP90" s="17526"/>
      <c r="AQ90" s="17527"/>
      <c r="AR90" s="17528"/>
      <c r="AS90" s="17529"/>
      <c r="AT90" s="17530"/>
      <c r="AU90" s="17531"/>
      <c r="AV90" s="17532"/>
      <c r="AW90" s="17533"/>
      <c r="AX90" s="17534"/>
      <c r="AY90" s="17535"/>
      <c r="AZ90" s="17536"/>
      <c r="BA90" s="17537"/>
      <c r="BB90" s="17538"/>
      <c r="BC90" s="17539"/>
      <c r="BD90" s="17540"/>
      <c r="BE90" s="17541"/>
      <c r="BF90" s="17542"/>
      <c r="BG90" s="17543"/>
      <c r="BH90" s="17544"/>
      <c r="BI90" s="17545"/>
      <c r="BJ90" s="17546"/>
      <c r="BK90" s="17547"/>
      <c r="BL90" s="17548"/>
      <c r="BM90" s="17549"/>
      <c r="BN90" s="17550"/>
      <c r="BO90" s="17551"/>
      <c r="BP90" s="17552"/>
      <c r="BQ90" s="17553"/>
      <c r="BR90" s="17554"/>
      <c r="BS90" s="17555"/>
      <c r="BT90" s="17556"/>
      <c r="BU90" s="17557"/>
      <c r="BV90" s="17558"/>
      <c r="BW90" s="17559"/>
      <c r="BX90" s="17560"/>
      <c r="BY90" s="17561"/>
      <c r="BZ90" s="17562"/>
      <c r="CA90" s="17563"/>
      <c r="CB90" s="17564"/>
      <c r="CC90" s="17565"/>
      <c r="CD90" s="17566"/>
      <c r="CE90" s="17567"/>
      <c r="CF90" s="17568"/>
      <c r="CG90" s="17569"/>
      <c r="CH90" s="17570"/>
      <c r="CI90" s="17571"/>
      <c r="CJ90" s="17572"/>
      <c r="CK90" s="17573"/>
      <c r="CL90" s="17574"/>
      <c r="CM90" s="17575"/>
      <c r="CN90" s="24911"/>
      <c r="CO90" s="24912"/>
      <c r="CP90" s="24913"/>
      <c r="CQ90" s="24914"/>
      <c r="CR90" s="24915"/>
      <c r="CS90" s="24916"/>
      <c r="CT90" s="24917"/>
      <c r="CU90" s="17576"/>
      <c r="CV90" s="16981" t="s">
        <v>602</v>
      </c>
      <c r="CW90" s="16982"/>
      <c r="CX90" s="16983"/>
      <c r="CY90" s="16983" t="str">
        <f>IF(T90="","",T90)</f>
        <v>Добавить значение признака дифференциации</v>
      </c>
      <c r="CZ90" s="16983"/>
      <c r="DA90" s="16983"/>
      <c r="DB90" s="16984">
        <v>0</v>
      </c>
    </row>
    <row s="49468" customFormat="1" customHeight="1" ht="23.25">
      <c r="A91" s="40638"/>
      <c r="B91" s="40638"/>
      <c r="C91" s="40638"/>
      <c r="D91" s="40638"/>
      <c r="E91" s="40639"/>
      <c r="F91" s="40639"/>
      <c r="G91" s="40639"/>
      <c r="H91" s="40639"/>
      <c r="I91" s="40640"/>
      <c r="J91" s="40641" t="str">
        <f>I86&amp;".2"</f>
        <v>1.4.1.1.2</v>
      </c>
      <c r="K91" s="40638"/>
      <c r="L91" s="40642" t="s">
        <v>524</v>
      </c>
      <c r="M91" s="40643"/>
      <c r="N91" s="40643"/>
      <c r="O91" s="40643"/>
      <c r="P91" s="40644"/>
      <c r="Q91" s="40645" t="s">
        <v>106</v>
      </c>
      <c r="R91" s="40646"/>
      <c r="S91" s="40647" t="str">
        <f>$J91</f>
        <v>1.4.1.1.2</v>
      </c>
      <c r="T91" s="40648" t="s">
        <v>525</v>
      </c>
      <c r="U91" s="40649"/>
      <c r="V91" s="40650"/>
      <c r="W91" s="40651"/>
      <c r="X91" s="40651"/>
      <c r="Y91" s="40651"/>
      <c r="Z91" s="40651"/>
      <c r="AA91" s="40651"/>
      <c r="AB91" s="40652"/>
      <c r="AC91" s="40650" t="s">
        <v>637</v>
      </c>
      <c r="AD91" s="40651"/>
      <c r="AE91" s="40651"/>
      <c r="AF91" s="40651"/>
      <c r="AG91" s="40651"/>
      <c r="AH91" s="40651"/>
      <c r="AI91" s="40651"/>
      <c r="AJ91" s="40650"/>
      <c r="AK91" s="40651"/>
      <c r="AL91" s="40651"/>
      <c r="AM91" s="40651"/>
      <c r="AN91" s="40651"/>
      <c r="AO91" s="40651"/>
      <c r="AP91" s="40652"/>
      <c r="AQ91" s="40650"/>
      <c r="AR91" s="40651"/>
      <c r="AS91" s="40651"/>
      <c r="AT91" s="40651"/>
      <c r="AU91" s="40651"/>
      <c r="AV91" s="40651"/>
      <c r="AW91" s="40652"/>
      <c r="AX91" s="40650"/>
      <c r="AY91" s="40651"/>
      <c r="AZ91" s="40651"/>
      <c r="BA91" s="40651"/>
      <c r="BB91" s="40651"/>
      <c r="BC91" s="40651"/>
      <c r="BD91" s="40652"/>
      <c r="BE91" s="40650"/>
      <c r="BF91" s="40651"/>
      <c r="BG91" s="40651"/>
      <c r="BH91" s="40651"/>
      <c r="BI91" s="40651"/>
      <c r="BJ91" s="40651"/>
      <c r="BK91" s="40652"/>
      <c r="BL91" s="40650"/>
      <c r="BM91" s="40651"/>
      <c r="BN91" s="40651"/>
      <c r="BO91" s="40651"/>
      <c r="BP91" s="40651"/>
      <c r="BQ91" s="40651"/>
      <c r="BR91" s="40652"/>
      <c r="BS91" s="40650"/>
      <c r="BT91" s="40651"/>
      <c r="BU91" s="40651"/>
      <c r="BV91" s="40651"/>
      <c r="BW91" s="40651"/>
      <c r="BX91" s="40651"/>
      <c r="BY91" s="40652"/>
      <c r="BZ91" s="40650"/>
      <c r="CA91" s="40651"/>
      <c r="CB91" s="40651"/>
      <c r="CC91" s="40651"/>
      <c r="CD91" s="40651"/>
      <c r="CE91" s="40651"/>
      <c r="CF91" s="40652"/>
      <c r="CG91" s="40650"/>
      <c r="CH91" s="40651"/>
      <c r="CI91" s="40651"/>
      <c r="CJ91" s="40651"/>
      <c r="CK91" s="40651"/>
      <c r="CL91" s="40651"/>
      <c r="CM91" s="40652"/>
      <c r="CN91" s="40650"/>
      <c r="CO91" s="40651"/>
      <c r="CP91" s="40651"/>
      <c r="CQ91" s="40651"/>
      <c r="CR91" s="40651"/>
      <c r="CS91" s="40651"/>
      <c r="CT91" s="40653"/>
      <c r="CU91" s="40652"/>
      <c r="CV91" s="40654" t="s">
        <v>600</v>
      </c>
      <c r="CW91" s="40655"/>
      <c r="CX91" s="40656"/>
      <c r="CY91" s="40656" t="str">
        <f>IF(T91="","",T91)</f>
        <v>Группа потребителей</v>
      </c>
      <c r="CZ91" s="40656"/>
      <c r="DA91" s="40656"/>
      <c r="DB91" s="40657">
        <v>0</v>
      </c>
    </row>
    <row s="49489" customFormat="1" customHeight="1" ht="23.25">
      <c r="A92" s="40638"/>
      <c r="B92" s="40638"/>
      <c r="C92" s="40638"/>
      <c r="D92" s="40638"/>
      <c r="E92" s="40639"/>
      <c r="F92" s="40639"/>
      <c r="G92" s="40639"/>
      <c r="H92" s="40639"/>
      <c r="I92" s="40640"/>
      <c r="J92" s="40640" t="str">
        <f>I86&amp;".1"</f>
        <v>1.4.1.1.1</v>
      </c>
      <c r="K92" s="40641" t="str">
        <f>J91&amp;".1"</f>
        <v>1.4.1.1.2.1</v>
      </c>
      <c r="L92" s="40642"/>
      <c r="M92" s="40643"/>
      <c r="N92" s="40643"/>
      <c r="O92" s="40643"/>
      <c r="P92" s="40644"/>
      <c r="Q92" s="40644"/>
      <c r="R92" s="40646">
        <v>1</v>
      </c>
      <c r="S92" s="40647" t="str">
        <f>$K92</f>
        <v>1.4.1.1.2.1</v>
      </c>
      <c r="T92" s="40659"/>
      <c r="U92" s="40649"/>
      <c r="V92" s="40660"/>
      <c r="W92" s="40660"/>
      <c r="X92" s="40661"/>
      <c r="Y92" s="40552"/>
      <c r="Z92" s="40662" t="s">
        <v>63</v>
      </c>
      <c r="AA92" s="40552"/>
      <c r="AB92" s="40662" t="s">
        <v>63</v>
      </c>
      <c r="AC92" s="40660">
        <v>10.95</v>
      </c>
      <c r="AD92" s="40660"/>
      <c r="AE92" s="40661"/>
      <c r="AF92" s="40552">
        <v>45292.593819444446</v>
      </c>
      <c r="AG92" s="40662" t="s">
        <v>63</v>
      </c>
      <c r="AH92" s="40553">
        <v>45473.59402777778</v>
      </c>
      <c r="AI92" s="40662" t="s">
        <v>63</v>
      </c>
      <c r="AJ92" s="40660">
        <v>14.24</v>
      </c>
      <c r="AK92" s="40660"/>
      <c r="AL92" s="40661"/>
      <c r="AM92" s="40552">
        <v>45474.59415509259</v>
      </c>
      <c r="AN92" s="40662" t="s">
        <v>63</v>
      </c>
      <c r="AO92" s="40552">
        <v>45657.59427083333</v>
      </c>
      <c r="AP92" s="40662" t="s">
        <v>63</v>
      </c>
      <c r="AQ92" s="40660">
        <v>14.24</v>
      </c>
      <c r="AR92" s="40660"/>
      <c r="AS92" s="40661"/>
      <c r="AT92" s="40552">
        <v>45658.59443287037</v>
      </c>
      <c r="AU92" s="40662" t="s">
        <v>63</v>
      </c>
      <c r="AV92" s="40552">
        <v>46203.59457175926</v>
      </c>
      <c r="AW92" s="40662" t="s">
        <v>63</v>
      </c>
      <c r="AX92" s="40660">
        <v>17.8</v>
      </c>
      <c r="AY92" s="40660"/>
      <c r="AZ92" s="40661"/>
      <c r="BA92" s="40552">
        <v>45839.59508101852</v>
      </c>
      <c r="BB92" s="40662" t="s">
        <v>63</v>
      </c>
      <c r="BC92" s="40552">
        <v>46022.5952662037</v>
      </c>
      <c r="BD92" s="40662" t="s">
        <v>63</v>
      </c>
      <c r="BE92" s="40660">
        <v>17.8</v>
      </c>
      <c r="BF92" s="40660"/>
      <c r="BG92" s="40661"/>
      <c r="BH92" s="40552">
        <v>46023.59559027778</v>
      </c>
      <c r="BI92" s="40662" t="s">
        <v>63</v>
      </c>
      <c r="BJ92" s="40552">
        <v>46203.596087962964</v>
      </c>
      <c r="BK92" s="40662" t="s">
        <v>63</v>
      </c>
      <c r="BL92" s="40660">
        <v>18.51</v>
      </c>
      <c r="BM92" s="40660"/>
      <c r="BN92" s="40661"/>
      <c r="BO92" s="40552">
        <v>46204.59643518519</v>
      </c>
      <c r="BP92" s="40662" t="s">
        <v>63</v>
      </c>
      <c r="BQ92" s="40552">
        <v>46387.59674768519</v>
      </c>
      <c r="BR92" s="40662" t="s">
        <v>63</v>
      </c>
      <c r="BS92" s="40660">
        <v>18.51</v>
      </c>
      <c r="BT92" s="40660"/>
      <c r="BU92" s="40661"/>
      <c r="BV92" s="40552">
        <v>46388.597083333334</v>
      </c>
      <c r="BW92" s="40662" t="s">
        <v>63</v>
      </c>
      <c r="BX92" s="40552">
        <v>46568.59730324074</v>
      </c>
      <c r="BY92" s="40662" t="s">
        <v>63</v>
      </c>
      <c r="BZ92" s="40660">
        <v>18.7</v>
      </c>
      <c r="CA92" s="40660"/>
      <c r="CB92" s="40661"/>
      <c r="CC92" s="40552">
        <v>46569.59751157407</v>
      </c>
      <c r="CD92" s="40662" t="s">
        <v>63</v>
      </c>
      <c r="CE92" s="40552">
        <v>46752.597708333335</v>
      </c>
      <c r="CF92" s="40662" t="s">
        <v>63</v>
      </c>
      <c r="CG92" s="40660">
        <v>18.69</v>
      </c>
      <c r="CH92" s="40660"/>
      <c r="CI92" s="40661"/>
      <c r="CJ92" s="40552">
        <v>46753.59799768519</v>
      </c>
      <c r="CK92" s="40662" t="s">
        <v>63</v>
      </c>
      <c r="CL92" s="40552">
        <v>46934.598495370374</v>
      </c>
      <c r="CM92" s="40662" t="s">
        <v>63</v>
      </c>
      <c r="CN92" s="40660">
        <v>18.69</v>
      </c>
      <c r="CO92" s="40660"/>
      <c r="CP92" s="40661"/>
      <c r="CQ92" s="40552">
        <v>46935.598807870374</v>
      </c>
      <c r="CR92" s="40662" t="s">
        <v>63</v>
      </c>
      <c r="CS92" s="40552">
        <v>47118.59900462963</v>
      </c>
      <c r="CT92" s="40663" t="s">
        <v>63</v>
      </c>
      <c r="CU92" s="40664"/>
      <c r="CV92" s="406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92" s="40655">
        <f>STRCHECKDATE(V93:CU93)</f>
      </c>
      <c r="CX92" s="40656"/>
      <c r="CY92" s="40656" t="str">
        <f>IF(T92="","",T92)</f>
        <v/>
      </c>
      <c r="CZ92" s="40656"/>
      <c r="DA92" s="40656"/>
      <c r="DB92" s="40657">
        <v>0</v>
      </c>
    </row>
    <row s="49497" customFormat="1" customHeight="1" ht="14.25">
      <c r="A93" s="40638"/>
      <c r="B93" s="40638"/>
      <c r="C93" s="40638"/>
      <c r="D93" s="40638"/>
      <c r="E93" s="40639"/>
      <c r="F93" s="40639"/>
      <c r="G93" s="40639"/>
      <c r="H93" s="40639"/>
      <c r="I93" s="40640"/>
      <c r="J93" s="40640" t="str">
        <f>I86&amp;".1"</f>
        <v>1.4.1.1.1</v>
      </c>
      <c r="K93" s="40641"/>
      <c r="L93" s="40642"/>
      <c r="M93" s="40643"/>
      <c r="N93" s="40643"/>
      <c r="O93" s="40643"/>
      <c r="P93" s="40644"/>
      <c r="Q93" s="40644"/>
      <c r="R93" s="40646"/>
      <c r="S93" s="40667"/>
      <c r="T93" s="40649"/>
      <c r="U93" s="40649"/>
      <c r="V93" s="40668"/>
      <c r="W93" s="40668"/>
      <c r="X93" s="40669" t="str">
        <f>Y92&amp;"-"&amp;AA92</f>
        <v>-</v>
      </c>
      <c r="Y93" s="40670"/>
      <c r="Z93" s="40662"/>
      <c r="AA93" s="40670"/>
      <c r="AB93" s="40662"/>
      <c r="AC93" s="40668"/>
      <c r="AD93" s="40668"/>
      <c r="AE93" s="40669" t="str">
        <f>AF92&amp;"-"&amp;AH92</f>
        <v>45292.593819444446-45473.59402777778</v>
      </c>
      <c r="AF93" s="40670"/>
      <c r="AG93" s="40662"/>
      <c r="AH93" s="40671"/>
      <c r="AI93" s="40662"/>
      <c r="AJ93" s="40668"/>
      <c r="AK93" s="40668"/>
      <c r="AL93" s="40669" t="str">
        <f>AM92&amp;"-"&amp;AO92</f>
        <v>45474.59415509259-45657.59427083333</v>
      </c>
      <c r="AM93" s="40670"/>
      <c r="AN93" s="40662"/>
      <c r="AO93" s="40670"/>
      <c r="AP93" s="40662"/>
      <c r="AQ93" s="40668"/>
      <c r="AR93" s="40668"/>
      <c r="AS93" s="40669" t="str">
        <f>AT92&amp;"-"&amp;AV92</f>
        <v>45658.59443287037-46203.59457175926</v>
      </c>
      <c r="AT93" s="40670"/>
      <c r="AU93" s="40662"/>
      <c r="AV93" s="40670"/>
      <c r="AW93" s="40662"/>
      <c r="AX93" s="40668"/>
      <c r="AY93" s="40668"/>
      <c r="AZ93" s="40669" t="str">
        <f>BA92&amp;"-"&amp;BC92</f>
        <v>45839.59508101852-46022.5952662037</v>
      </c>
      <c r="BA93" s="40670"/>
      <c r="BB93" s="40662"/>
      <c r="BC93" s="40670"/>
      <c r="BD93" s="40662"/>
      <c r="BE93" s="40668"/>
      <c r="BF93" s="40668"/>
      <c r="BG93" s="40669" t="str">
        <f>BH92&amp;"-"&amp;BJ92</f>
        <v>46023.59559027778-46203.596087962964</v>
      </c>
      <c r="BH93" s="40670"/>
      <c r="BI93" s="40662"/>
      <c r="BJ93" s="40670"/>
      <c r="BK93" s="40662"/>
      <c r="BL93" s="40668"/>
      <c r="BM93" s="40668"/>
      <c r="BN93" s="40669" t="str">
        <f>BO92&amp;"-"&amp;BQ92</f>
        <v>46204.59643518519-46387.59674768519</v>
      </c>
      <c r="BO93" s="40670"/>
      <c r="BP93" s="40662"/>
      <c r="BQ93" s="40670"/>
      <c r="BR93" s="40662"/>
      <c r="BS93" s="40668"/>
      <c r="BT93" s="40668"/>
      <c r="BU93" s="40669" t="str">
        <f>BV92&amp;"-"&amp;BX92</f>
        <v>46388.597083333334-46568.59730324074</v>
      </c>
      <c r="BV93" s="40670"/>
      <c r="BW93" s="40662"/>
      <c r="BX93" s="40670"/>
      <c r="BY93" s="40662"/>
      <c r="BZ93" s="40668"/>
      <c r="CA93" s="40668"/>
      <c r="CB93" s="40669" t="str">
        <f>CC92&amp;"-"&amp;CE92</f>
        <v>46569.59751157407-46752.597708333335</v>
      </c>
      <c r="CC93" s="40670"/>
      <c r="CD93" s="40662"/>
      <c r="CE93" s="40670"/>
      <c r="CF93" s="40662"/>
      <c r="CG93" s="40668"/>
      <c r="CH93" s="40668"/>
      <c r="CI93" s="40669" t="str">
        <f>CJ92&amp;"-"&amp;CL92</f>
        <v>46753.59799768519-46934.598495370374</v>
      </c>
      <c r="CJ93" s="40670"/>
      <c r="CK93" s="40662"/>
      <c r="CL93" s="40670"/>
      <c r="CM93" s="40662"/>
      <c r="CN93" s="40668"/>
      <c r="CO93" s="40668"/>
      <c r="CP93" s="40669" t="str">
        <f>CQ92&amp;"-"&amp;CS92</f>
        <v>46935.598807870374-47118.59900462963</v>
      </c>
      <c r="CQ93" s="40670"/>
      <c r="CR93" s="40662"/>
      <c r="CS93" s="40670"/>
      <c r="CT93" s="40663"/>
      <c r="CU93" s="40672"/>
      <c r="CV93" s="40665"/>
      <c r="CW93" s="40655"/>
      <c r="CX93" s="40656"/>
      <c r="CY93" s="40656" t="str">
        <f>IF(T93="","",T93)</f>
        <v/>
      </c>
      <c r="CZ93" s="40656"/>
      <c r="DA93" s="40656"/>
      <c r="DB93" s="40657">
        <v>0</v>
      </c>
    </row>
    <row s="49504" customFormat="1" customHeight="1" ht="21">
      <c r="A94" s="40638"/>
      <c r="B94" s="40638"/>
      <c r="C94" s="40638"/>
      <c r="D94" s="40638"/>
      <c r="E94" s="40639"/>
      <c r="F94" s="40639"/>
      <c r="G94" s="40639"/>
      <c r="H94" s="40639"/>
      <c r="I94" s="40640"/>
      <c r="J94" s="40641" t="str">
        <f>I86&amp;".1"</f>
        <v>1.4.1.1.1</v>
      </c>
      <c r="K94" s="40638"/>
      <c r="L94" s="40642"/>
      <c r="M94" s="40643"/>
      <c r="N94" s="40643"/>
      <c r="O94" s="40643"/>
      <c r="P94" s="40644"/>
      <c r="Q94" s="40644"/>
      <c r="R94" s="40674"/>
      <c r="S94" s="40675"/>
      <c r="T94" s="40676" t="s">
        <v>601</v>
      </c>
      <c r="U94" s="40677"/>
      <c r="V94" s="40678"/>
      <c r="W94" s="40679"/>
      <c r="X94" s="40680"/>
      <c r="Y94" s="40681"/>
      <c r="Z94" s="40682"/>
      <c r="AA94" s="40683"/>
      <c r="AB94" s="40684"/>
      <c r="AC94" s="40685"/>
      <c r="AD94" s="40686"/>
      <c r="AE94" s="40687"/>
      <c r="AF94" s="40688"/>
      <c r="AG94" s="40689"/>
      <c r="AH94" s="40690"/>
      <c r="AI94" s="40691"/>
      <c r="AJ94" s="40692"/>
      <c r="AK94" s="40693"/>
      <c r="AL94" s="40694"/>
      <c r="AM94" s="40695"/>
      <c r="AN94" s="40696"/>
      <c r="AO94" s="40697"/>
      <c r="AP94" s="40698"/>
      <c r="AQ94" s="40699"/>
      <c r="AR94" s="40700"/>
      <c r="AS94" s="40701"/>
      <c r="AT94" s="40702"/>
      <c r="AU94" s="40703"/>
      <c r="AV94" s="40704"/>
      <c r="AW94" s="40705"/>
      <c r="AX94" s="40706"/>
      <c r="AY94" s="40707"/>
      <c r="AZ94" s="40708"/>
      <c r="BA94" s="40709"/>
      <c r="BB94" s="40710"/>
      <c r="BC94" s="40711"/>
      <c r="BD94" s="40712"/>
      <c r="BE94" s="40713"/>
      <c r="BF94" s="40714"/>
      <c r="BG94" s="40715"/>
      <c r="BH94" s="40716"/>
      <c r="BI94" s="40717"/>
      <c r="BJ94" s="40718"/>
      <c r="BK94" s="40719"/>
      <c r="BL94" s="40720"/>
      <c r="BM94" s="40721"/>
      <c r="BN94" s="40722"/>
      <c r="BO94" s="40723"/>
      <c r="BP94" s="40724"/>
      <c r="BQ94" s="40725"/>
      <c r="BR94" s="40726"/>
      <c r="BS94" s="40727"/>
      <c r="BT94" s="40728"/>
      <c r="BU94" s="40729"/>
      <c r="BV94" s="40730"/>
      <c r="BW94" s="40731"/>
      <c r="BX94" s="40732"/>
      <c r="BY94" s="40733"/>
      <c r="BZ94" s="40734"/>
      <c r="CA94" s="40735"/>
      <c r="CB94" s="40736"/>
      <c r="CC94" s="40737"/>
      <c r="CD94" s="40738"/>
      <c r="CE94" s="40739"/>
      <c r="CF94" s="40740"/>
      <c r="CG94" s="40741"/>
      <c r="CH94" s="40742"/>
      <c r="CI94" s="40743"/>
      <c r="CJ94" s="40744"/>
      <c r="CK94" s="40745"/>
      <c r="CL94" s="40746"/>
      <c r="CM94" s="40747"/>
      <c r="CN94" s="40748"/>
      <c r="CO94" s="40749"/>
      <c r="CP94" s="40750"/>
      <c r="CQ94" s="40751"/>
      <c r="CR94" s="40752"/>
      <c r="CS94" s="40753"/>
      <c r="CT94" s="40754"/>
      <c r="CU94" s="40755"/>
      <c r="CV94" s="40756" t="s">
        <v>602</v>
      </c>
      <c r="CW94" s="40655"/>
      <c r="CX94" s="40656"/>
      <c r="CY94" s="40656" t="str">
        <f>IF(T94="","",T94)</f>
        <v>Добавить значение признака дифференциации</v>
      </c>
      <c r="CZ94" s="40656"/>
      <c r="DA94" s="40656"/>
      <c r="DB94" s="40657">
        <v>0</v>
      </c>
    </row>
    <row s="49588" customFormat="1" customHeight="1" ht="21">
      <c r="A95" s="16967"/>
      <c r="B95" s="16967"/>
      <c r="C95" s="16967"/>
      <c r="D95" s="16967"/>
      <c r="E95" s="16968"/>
      <c r="F95" s="16968" t="s">
        <v>92</v>
      </c>
      <c r="G95" s="16968"/>
      <c r="H95" s="16968"/>
      <c r="I95" s="16989"/>
      <c r="J95" s="16967"/>
      <c r="K95" s="16967"/>
      <c r="L95" s="16970"/>
      <c r="M95" s="16990"/>
      <c r="N95" s="16990"/>
      <c r="O95" s="16990"/>
      <c r="P95" s="16991"/>
      <c r="Q95" s="16991"/>
      <c r="R95" s="16992"/>
      <c r="S95" s="17578"/>
      <c r="T95" s="17579" t="s">
        <v>530</v>
      </c>
      <c r="U95" s="17580"/>
      <c r="V95" s="17581"/>
      <c r="W95" s="17582"/>
      <c r="X95" s="17583"/>
      <c r="Y95" s="17584"/>
      <c r="Z95" s="17585"/>
      <c r="AA95" s="17586"/>
      <c r="AB95" s="17587"/>
      <c r="AC95" s="17588"/>
      <c r="AD95" s="17589"/>
      <c r="AE95" s="17590"/>
      <c r="AF95" s="17591"/>
      <c r="AG95" s="17592"/>
      <c r="AH95" s="17593"/>
      <c r="AI95" s="17594"/>
      <c r="AJ95" s="17595"/>
      <c r="AK95" s="17596"/>
      <c r="AL95" s="17597"/>
      <c r="AM95" s="17598"/>
      <c r="AN95" s="17599"/>
      <c r="AO95" s="17600"/>
      <c r="AP95" s="17601"/>
      <c r="AQ95" s="17602"/>
      <c r="AR95" s="17603"/>
      <c r="AS95" s="17604"/>
      <c r="AT95" s="17605"/>
      <c r="AU95" s="17606"/>
      <c r="AV95" s="17607"/>
      <c r="AW95" s="17608"/>
      <c r="AX95" s="17609"/>
      <c r="AY95" s="17610"/>
      <c r="AZ95" s="17611"/>
      <c r="BA95" s="17612"/>
      <c r="BB95" s="17613"/>
      <c r="BC95" s="17614"/>
      <c r="BD95" s="17615"/>
      <c r="BE95" s="17616"/>
      <c r="BF95" s="17617"/>
      <c r="BG95" s="17618"/>
      <c r="BH95" s="17619"/>
      <c r="BI95" s="17620"/>
      <c r="BJ95" s="17621"/>
      <c r="BK95" s="17622"/>
      <c r="BL95" s="17623"/>
      <c r="BM95" s="17624"/>
      <c r="BN95" s="17625"/>
      <c r="BO95" s="17626"/>
      <c r="BP95" s="17627"/>
      <c r="BQ95" s="17628"/>
      <c r="BR95" s="17629"/>
      <c r="BS95" s="17630"/>
      <c r="BT95" s="17631"/>
      <c r="BU95" s="17632"/>
      <c r="BV95" s="17633"/>
      <c r="BW95" s="17634"/>
      <c r="BX95" s="17635"/>
      <c r="BY95" s="17636"/>
      <c r="BZ95" s="17637"/>
      <c r="CA95" s="17638"/>
      <c r="CB95" s="17639"/>
      <c r="CC95" s="17640"/>
      <c r="CD95" s="17641"/>
      <c r="CE95" s="17642"/>
      <c r="CF95" s="17643"/>
      <c r="CG95" s="17644"/>
      <c r="CH95" s="17645"/>
      <c r="CI95" s="17646"/>
      <c r="CJ95" s="17647"/>
      <c r="CK95" s="17648"/>
      <c r="CL95" s="17649"/>
      <c r="CM95" s="17650"/>
      <c r="CN95" s="24993"/>
      <c r="CO95" s="24994"/>
      <c r="CP95" s="24995"/>
      <c r="CQ95" s="24996"/>
      <c r="CR95" s="24997"/>
      <c r="CS95" s="24998"/>
      <c r="CT95" s="24999"/>
      <c r="CU95" s="17651"/>
      <c r="CV95" s="17652"/>
      <c r="CW95" s="16982"/>
      <c r="CX95" s="16983"/>
      <c r="CY95" s="16983" t="str">
        <f>IF(T95="","",T95)</f>
        <v>Добавить группу потребителей</v>
      </c>
      <c r="CZ95" s="16983"/>
      <c r="DA95" s="16983"/>
      <c r="DB95" s="16984">
        <v>0</v>
      </c>
    </row>
    <row s="49671" customFormat="1" customHeight="1" ht="21">
      <c r="A96" s="16967"/>
      <c r="B96" s="16967"/>
      <c r="C96" s="16967"/>
      <c r="D96" s="16967"/>
      <c r="E96" s="16968"/>
      <c r="F96" s="16968" t="s">
        <v>92</v>
      </c>
      <c r="G96" s="16968"/>
      <c r="H96" s="16969"/>
      <c r="I96" s="16967"/>
      <c r="J96" s="16967"/>
      <c r="K96" s="16967"/>
      <c r="L96" s="16970"/>
      <c r="M96" s="16971"/>
      <c r="N96" s="16971"/>
      <c r="O96" s="17174"/>
      <c r="P96" s="17175"/>
      <c r="Q96" s="17176"/>
      <c r="R96" s="17177"/>
      <c r="S96" s="17654"/>
      <c r="T96" s="17655" t="s">
        <v>603</v>
      </c>
      <c r="U96" s="17656"/>
      <c r="V96" s="17657"/>
      <c r="W96" s="17658"/>
      <c r="X96" s="17659"/>
      <c r="Y96" s="17660"/>
      <c r="Z96" s="17661"/>
      <c r="AA96" s="17662"/>
      <c r="AB96" s="17663"/>
      <c r="AC96" s="17664"/>
      <c r="AD96" s="17665"/>
      <c r="AE96" s="17666"/>
      <c r="AF96" s="17667"/>
      <c r="AG96" s="17668"/>
      <c r="AH96" s="17669"/>
      <c r="AI96" s="17670"/>
      <c r="AJ96" s="17671"/>
      <c r="AK96" s="17672"/>
      <c r="AL96" s="17673"/>
      <c r="AM96" s="17674"/>
      <c r="AN96" s="17675"/>
      <c r="AO96" s="17676"/>
      <c r="AP96" s="17677"/>
      <c r="AQ96" s="17678"/>
      <c r="AR96" s="17679"/>
      <c r="AS96" s="17680"/>
      <c r="AT96" s="17681"/>
      <c r="AU96" s="17682"/>
      <c r="AV96" s="17683"/>
      <c r="AW96" s="17684"/>
      <c r="AX96" s="17685"/>
      <c r="AY96" s="17686"/>
      <c r="AZ96" s="17687"/>
      <c r="BA96" s="17688"/>
      <c r="BB96" s="17689"/>
      <c r="BC96" s="17690"/>
      <c r="BD96" s="17691"/>
      <c r="BE96" s="17692"/>
      <c r="BF96" s="17693"/>
      <c r="BG96" s="17694"/>
      <c r="BH96" s="17695"/>
      <c r="BI96" s="17696"/>
      <c r="BJ96" s="17697"/>
      <c r="BK96" s="17698"/>
      <c r="BL96" s="17699"/>
      <c r="BM96" s="17700"/>
      <c r="BN96" s="17701"/>
      <c r="BO96" s="17702"/>
      <c r="BP96" s="17703"/>
      <c r="BQ96" s="17704"/>
      <c r="BR96" s="17705"/>
      <c r="BS96" s="17706"/>
      <c r="BT96" s="17707"/>
      <c r="BU96" s="17708"/>
      <c r="BV96" s="17709"/>
      <c r="BW96" s="17710"/>
      <c r="BX96" s="17711"/>
      <c r="BY96" s="17712"/>
      <c r="BZ96" s="17713"/>
      <c r="CA96" s="17714"/>
      <c r="CB96" s="17715"/>
      <c r="CC96" s="17716"/>
      <c r="CD96" s="17717"/>
      <c r="CE96" s="17718"/>
      <c r="CF96" s="17719"/>
      <c r="CG96" s="17720"/>
      <c r="CH96" s="17721"/>
      <c r="CI96" s="17722"/>
      <c r="CJ96" s="17723"/>
      <c r="CK96" s="17724"/>
      <c r="CL96" s="17725"/>
      <c r="CM96" s="17726"/>
      <c r="CN96" s="25076"/>
      <c r="CO96" s="25077"/>
      <c r="CP96" s="25078"/>
      <c r="CQ96" s="25079"/>
      <c r="CR96" s="25080"/>
      <c r="CS96" s="25081"/>
      <c r="CT96" s="25082"/>
      <c r="CU96" s="17727"/>
      <c r="CV96" s="17728"/>
      <c r="CW96" s="16982"/>
      <c r="CX96" s="16983"/>
      <c r="CY96" s="16983" t="str">
        <f>IF(T96="","",T96)</f>
        <v>Добавить наименование признака дифференциации</v>
      </c>
      <c r="CZ96" s="16983"/>
      <c r="DA96" s="16983"/>
      <c r="DB96" s="16984">
        <v>0</v>
      </c>
    </row>
    <row s="49754" customFormat="1" customHeight="1" ht="23.25">
      <c r="A97" s="16967"/>
      <c r="B97" s="16967"/>
      <c r="C97" s="16967" t="s">
        <v>335</v>
      </c>
      <c r="D97" s="16967"/>
      <c r="E97" s="16968"/>
      <c r="F97" s="16968"/>
      <c r="G97" s="16969" t="s">
        <v>105</v>
      </c>
      <c r="H97" s="16967"/>
      <c r="I97" s="16967"/>
      <c r="J97" s="16967"/>
      <c r="K97" s="16967"/>
      <c r="L97" s="16970"/>
      <c r="M97" s="16971"/>
      <c r="N97" s="16971"/>
      <c r="O97" s="16971"/>
      <c r="P97" s="16986"/>
      <c r="Q97" s="16973"/>
      <c r="R97" s="16974"/>
      <c r="S97" s="16975" t="str">
        <f>INDEX(PT_DIFFERENTIATION_NUM_CS,MATCH(C97,PT_DIFFERENTIATION_CS_ID,0))</f>
        <v>1.4.2</v>
      </c>
      <c r="T97" s="16987" t="s">
        <v>631</v>
      </c>
      <c r="U97" s="16977"/>
      <c r="V97" s="16978"/>
      <c r="W97" s="16979"/>
      <c r="X97" s="16979"/>
      <c r="Y97" s="16979"/>
      <c r="Z97" s="16979"/>
      <c r="AA97" s="16979"/>
      <c r="AB97" s="16980"/>
      <c r="AC97" s="16978" t="str">
        <f>INDEX(PT_DIFFERENTIATION_CS,MATCH(C97,PT_DIFFERENTIATION_CS_ID,0))</f>
        <v>с. Безверхово, с. Перевозная</v>
      </c>
      <c r="AD97" s="16979"/>
      <c r="AE97" s="16979"/>
      <c r="AF97" s="16979"/>
      <c r="AG97" s="16979"/>
      <c r="AH97" s="16979"/>
      <c r="AI97" s="16979"/>
      <c r="AJ97" s="16978"/>
      <c r="AK97" s="16979"/>
      <c r="AL97" s="16979"/>
      <c r="AM97" s="16979"/>
      <c r="AN97" s="16979"/>
      <c r="AO97" s="16979"/>
      <c r="AP97" s="16980"/>
      <c r="AQ97" s="16978"/>
      <c r="AR97" s="16979"/>
      <c r="AS97" s="16979"/>
      <c r="AT97" s="16979"/>
      <c r="AU97" s="16979"/>
      <c r="AV97" s="16979"/>
      <c r="AW97" s="16980"/>
      <c r="AX97" s="16978"/>
      <c r="AY97" s="16979"/>
      <c r="AZ97" s="16979"/>
      <c r="BA97" s="16979"/>
      <c r="BB97" s="16979"/>
      <c r="BC97" s="16979"/>
      <c r="BD97" s="16980"/>
      <c r="BE97" s="16978"/>
      <c r="BF97" s="16979"/>
      <c r="BG97" s="16979"/>
      <c r="BH97" s="16979"/>
      <c r="BI97" s="16979"/>
      <c r="BJ97" s="16979"/>
      <c r="BK97" s="16980"/>
      <c r="BL97" s="16978"/>
      <c r="BM97" s="16979"/>
      <c r="BN97" s="16979"/>
      <c r="BO97" s="16979"/>
      <c r="BP97" s="16979"/>
      <c r="BQ97" s="16979"/>
      <c r="BR97" s="16980"/>
      <c r="BS97" s="16978"/>
      <c r="BT97" s="16979"/>
      <c r="BU97" s="16979"/>
      <c r="BV97" s="16979"/>
      <c r="BW97" s="16979"/>
      <c r="BX97" s="16979"/>
      <c r="BY97" s="16980"/>
      <c r="BZ97" s="16978"/>
      <c r="CA97" s="16979"/>
      <c r="CB97" s="16979"/>
      <c r="CC97" s="16979"/>
      <c r="CD97" s="16979"/>
      <c r="CE97" s="16979"/>
      <c r="CF97" s="16980"/>
      <c r="CG97" s="16978"/>
      <c r="CH97" s="16979"/>
      <c r="CI97" s="16979"/>
      <c r="CJ97" s="16979"/>
      <c r="CK97" s="16979"/>
      <c r="CL97" s="16979"/>
      <c r="CM97" s="16980"/>
      <c r="CN97" s="23679"/>
      <c r="CO97" s="23680"/>
      <c r="CP97" s="23680"/>
      <c r="CQ97" s="23680"/>
      <c r="CR97" s="23680"/>
      <c r="CS97" s="23680"/>
      <c r="CT97" s="23681"/>
      <c r="CU97" s="16980"/>
      <c r="CV97" s="16981" t="s">
        <v>632</v>
      </c>
      <c r="CW97" s="16982"/>
      <c r="CX97" s="16983"/>
      <c r="CY97" s="16983" t="str">
        <f>IF(T97="","",T97)</f>
        <v>Наименование централизованной системы водоотведения</v>
      </c>
      <c r="CZ97" s="16983"/>
      <c r="DA97" s="16983"/>
      <c r="DB97" s="16984">
        <v>0</v>
      </c>
    </row>
    <row s="49755" customFormat="1" customHeight="1" ht="23.25">
      <c r="A98" s="16967"/>
      <c r="B98" s="16967"/>
      <c r="C98" s="16967"/>
      <c r="D98" s="16967"/>
      <c r="E98" s="16968"/>
      <c r="F98" s="16968"/>
      <c r="G98" s="16968">
        <v>1</v>
      </c>
      <c r="H98" s="16968"/>
      <c r="I98" s="16989" t="str">
        <f>S97&amp;".1"</f>
        <v>1.4.2.1</v>
      </c>
      <c r="J98" s="16967"/>
      <c r="K98" s="16967"/>
      <c r="L98" s="16970"/>
      <c r="M98" s="16990"/>
      <c r="N98" s="16990"/>
      <c r="O98" s="16990"/>
      <c r="P98" s="16991">
        <v>1</v>
      </c>
      <c r="Q98" s="16991"/>
      <c r="R98" s="16992"/>
      <c r="S98" s="16975" t="str">
        <f>$I98</f>
        <v>1.4.2.1</v>
      </c>
      <c r="T98" s="16993" t="s">
        <v>598</v>
      </c>
      <c r="U98" s="16977"/>
      <c r="V98" s="16994"/>
      <c r="W98" s="16995"/>
      <c r="X98" s="16995"/>
      <c r="Y98" s="16995"/>
      <c r="Z98" s="16995"/>
      <c r="AA98" s="16995"/>
      <c r="AB98" s="16996"/>
      <c r="AC98" s="16997"/>
      <c r="AD98" s="16998"/>
      <c r="AE98" s="16998"/>
      <c r="AF98" s="16998"/>
      <c r="AG98" s="16998"/>
      <c r="AH98" s="16998"/>
      <c r="AI98" s="16998"/>
      <c r="AJ98" s="16994"/>
      <c r="AK98" s="16995"/>
      <c r="AL98" s="16995"/>
      <c r="AM98" s="16995"/>
      <c r="AN98" s="16995"/>
      <c r="AO98" s="16995"/>
      <c r="AP98" s="16996"/>
      <c r="AQ98" s="16994"/>
      <c r="AR98" s="16995"/>
      <c r="AS98" s="16995"/>
      <c r="AT98" s="16995"/>
      <c r="AU98" s="16995"/>
      <c r="AV98" s="16995"/>
      <c r="AW98" s="16996"/>
      <c r="AX98" s="16994"/>
      <c r="AY98" s="16995"/>
      <c r="AZ98" s="16995"/>
      <c r="BA98" s="16995"/>
      <c r="BB98" s="16995"/>
      <c r="BC98" s="16995"/>
      <c r="BD98" s="16996"/>
      <c r="BE98" s="16994"/>
      <c r="BF98" s="16995"/>
      <c r="BG98" s="16995"/>
      <c r="BH98" s="16995"/>
      <c r="BI98" s="16995"/>
      <c r="BJ98" s="16995"/>
      <c r="BK98" s="16996"/>
      <c r="BL98" s="16994"/>
      <c r="BM98" s="16995"/>
      <c r="BN98" s="16995"/>
      <c r="BO98" s="16995"/>
      <c r="BP98" s="16995"/>
      <c r="BQ98" s="16995"/>
      <c r="BR98" s="16996"/>
      <c r="BS98" s="16994"/>
      <c r="BT98" s="16995"/>
      <c r="BU98" s="16995"/>
      <c r="BV98" s="16995"/>
      <c r="BW98" s="16995"/>
      <c r="BX98" s="16995"/>
      <c r="BY98" s="16996"/>
      <c r="BZ98" s="16994"/>
      <c r="CA98" s="16995"/>
      <c r="CB98" s="16995"/>
      <c r="CC98" s="16995"/>
      <c r="CD98" s="16995"/>
      <c r="CE98" s="16995"/>
      <c r="CF98" s="16996"/>
      <c r="CG98" s="16994"/>
      <c r="CH98" s="16995"/>
      <c r="CI98" s="16995"/>
      <c r="CJ98" s="16995"/>
      <c r="CK98" s="16995"/>
      <c r="CL98" s="16995"/>
      <c r="CM98" s="16996"/>
      <c r="CN98" s="23687"/>
      <c r="CO98" s="23688"/>
      <c r="CP98" s="23688"/>
      <c r="CQ98" s="23688"/>
      <c r="CR98" s="23688"/>
      <c r="CS98" s="23688"/>
      <c r="CT98" s="23689"/>
      <c r="CU98" s="16999"/>
      <c r="CV98" s="16981" t="s">
        <v>599</v>
      </c>
      <c r="CW98" s="16982"/>
      <c r="CX98" s="16983"/>
      <c r="CY98" s="16983" t="str">
        <f>IF(T98="","",T98)</f>
        <v>Наименование признака дифференциации</v>
      </c>
      <c r="CZ98" s="16983"/>
      <c r="DA98" s="16983"/>
      <c r="DB98" s="16984">
        <v>0</v>
      </c>
    </row>
    <row s="49756" customFormat="1" customHeight="1" ht="23.25">
      <c r="A99" s="16967"/>
      <c r="B99" s="16967"/>
      <c r="C99" s="16967"/>
      <c r="D99" s="16967"/>
      <c r="E99" s="16968"/>
      <c r="F99" s="16968"/>
      <c r="G99" s="16968">
        <v>1</v>
      </c>
      <c r="H99" s="16968"/>
      <c r="I99" s="17001"/>
      <c r="J99" s="16989" t="str">
        <f>I98&amp;".1"</f>
        <v>1.4.2.1.1</v>
      </c>
      <c r="K99" s="16967"/>
      <c r="L99" s="16970" t="s">
        <v>524</v>
      </c>
      <c r="M99" s="16990"/>
      <c r="N99" s="16990"/>
      <c r="O99" s="16990"/>
      <c r="P99" s="16991"/>
      <c r="Q99" s="16991">
        <v>1</v>
      </c>
      <c r="R99" s="17002"/>
      <c r="S99" s="16975" t="str">
        <f>$J99</f>
        <v>1.4.2.1.1</v>
      </c>
      <c r="T99" s="17003" t="s">
        <v>525</v>
      </c>
      <c r="U99" s="16977"/>
      <c r="V99" s="17004"/>
      <c r="W99" s="17005"/>
      <c r="X99" s="17005"/>
      <c r="Y99" s="17005"/>
      <c r="Z99" s="17005"/>
      <c r="AA99" s="17005"/>
      <c r="AB99" s="17006"/>
      <c r="AC99" s="17004" t="s">
        <v>636</v>
      </c>
      <c r="AD99" s="17005"/>
      <c r="AE99" s="17005"/>
      <c r="AF99" s="17005"/>
      <c r="AG99" s="17005"/>
      <c r="AH99" s="17005"/>
      <c r="AI99" s="17005"/>
      <c r="AJ99" s="17004"/>
      <c r="AK99" s="17005"/>
      <c r="AL99" s="17005"/>
      <c r="AM99" s="17005"/>
      <c r="AN99" s="17005"/>
      <c r="AO99" s="17005"/>
      <c r="AP99" s="17006"/>
      <c r="AQ99" s="17004"/>
      <c r="AR99" s="17005"/>
      <c r="AS99" s="17005"/>
      <c r="AT99" s="17005"/>
      <c r="AU99" s="17005"/>
      <c r="AV99" s="17005"/>
      <c r="AW99" s="17006"/>
      <c r="AX99" s="17004"/>
      <c r="AY99" s="17005"/>
      <c r="AZ99" s="17005"/>
      <c r="BA99" s="17005"/>
      <c r="BB99" s="17005"/>
      <c r="BC99" s="17005"/>
      <c r="BD99" s="17006"/>
      <c r="BE99" s="17004"/>
      <c r="BF99" s="17005"/>
      <c r="BG99" s="17005"/>
      <c r="BH99" s="17005"/>
      <c r="BI99" s="17005"/>
      <c r="BJ99" s="17005"/>
      <c r="BK99" s="17006"/>
      <c r="BL99" s="17004"/>
      <c r="BM99" s="17005"/>
      <c r="BN99" s="17005"/>
      <c r="BO99" s="17005"/>
      <c r="BP99" s="17005"/>
      <c r="BQ99" s="17005"/>
      <c r="BR99" s="17006"/>
      <c r="BS99" s="17004"/>
      <c r="BT99" s="17005"/>
      <c r="BU99" s="17005"/>
      <c r="BV99" s="17005"/>
      <c r="BW99" s="17005"/>
      <c r="BX99" s="17005"/>
      <c r="BY99" s="17006"/>
      <c r="BZ99" s="17004"/>
      <c r="CA99" s="17005"/>
      <c r="CB99" s="17005"/>
      <c r="CC99" s="17005"/>
      <c r="CD99" s="17005"/>
      <c r="CE99" s="17005"/>
      <c r="CF99" s="17006"/>
      <c r="CG99" s="17004"/>
      <c r="CH99" s="17005"/>
      <c r="CI99" s="17005"/>
      <c r="CJ99" s="17005"/>
      <c r="CK99" s="17005"/>
      <c r="CL99" s="17005"/>
      <c r="CM99" s="17006"/>
      <c r="CN99" s="23693"/>
      <c r="CO99" s="23694"/>
      <c r="CP99" s="23694"/>
      <c r="CQ99" s="23694"/>
      <c r="CR99" s="23694"/>
      <c r="CS99" s="23694"/>
      <c r="CT99" s="23695"/>
      <c r="CU99" s="17006"/>
      <c r="CV99" s="17007" t="s">
        <v>600</v>
      </c>
      <c r="CW99" s="16982"/>
      <c r="CX99" s="16983"/>
      <c r="CY99" s="16983" t="str">
        <f>IF(T99="","",T99)</f>
        <v>Группа потребителей</v>
      </c>
      <c r="CZ99" s="16983"/>
      <c r="DA99" s="16983"/>
      <c r="DB99" s="16984">
        <v>0</v>
      </c>
    </row>
    <row s="49757" customFormat="1" customHeight="1" ht="23.25">
      <c r="A100" s="16967"/>
      <c r="B100" s="16967"/>
      <c r="C100" s="16967"/>
      <c r="D100" s="16967"/>
      <c r="E100" s="16968"/>
      <c r="F100" s="16968"/>
      <c r="G100" s="16968">
        <v>1</v>
      </c>
      <c r="H100" s="16968"/>
      <c r="I100" s="17001"/>
      <c r="J100" s="17001"/>
      <c r="K100" s="16989" t="str">
        <f>J99&amp;".1"</f>
        <v>1.4.2.1.1.1</v>
      </c>
      <c r="L100" s="16970"/>
      <c r="M100" s="16990"/>
      <c r="N100" s="16990"/>
      <c r="O100" s="16990"/>
      <c r="P100" s="16991"/>
      <c r="Q100" s="16991"/>
      <c r="R100" s="17002">
        <v>1</v>
      </c>
      <c r="S100" s="16975" t="str">
        <f>$K100</f>
        <v>1.4.2.1.1.1</v>
      </c>
      <c r="T100" s="17009"/>
      <c r="U100" s="16977"/>
      <c r="V100" s="17010"/>
      <c r="W100" s="17010"/>
      <c r="X100" s="17011"/>
      <c r="Y100" s="16696"/>
      <c r="Z100" s="17012" t="s">
        <v>63</v>
      </c>
      <c r="AA100" s="16696"/>
      <c r="AB100" s="17012" t="s">
        <v>63</v>
      </c>
      <c r="AC100" s="17010">
        <v>13.21</v>
      </c>
      <c r="AD100" s="17010"/>
      <c r="AE100" s="17011"/>
      <c r="AF100" s="40552">
        <v>45292.60319444445</v>
      </c>
      <c r="AG100" s="17012" t="s">
        <v>63</v>
      </c>
      <c r="AH100" s="40553">
        <v>45473.60335648148</v>
      </c>
      <c r="AI100" s="17012" t="s">
        <v>63</v>
      </c>
      <c r="AJ100" s="17010">
        <v>17.18</v>
      </c>
      <c r="AK100" s="17010"/>
      <c r="AL100" s="17011"/>
      <c r="AM100" s="40552">
        <v>45474.60349537037</v>
      </c>
      <c r="AN100" s="17012" t="s">
        <v>63</v>
      </c>
      <c r="AO100" s="40552">
        <v>45657.603634259256</v>
      </c>
      <c r="AP100" s="17012" t="s">
        <v>63</v>
      </c>
      <c r="AQ100" s="17010">
        <v>17.18</v>
      </c>
      <c r="AR100" s="17010"/>
      <c r="AS100" s="17011"/>
      <c r="AT100" s="40552">
        <v>45658.60380787037</v>
      </c>
      <c r="AU100" s="17012" t="s">
        <v>63</v>
      </c>
      <c r="AV100" s="40552">
        <v>45838.603946759256</v>
      </c>
      <c r="AW100" s="17012" t="s">
        <v>63</v>
      </c>
      <c r="AX100" s="17010">
        <v>19.76</v>
      </c>
      <c r="AY100" s="17010"/>
      <c r="AZ100" s="17011"/>
      <c r="BA100" s="40552">
        <v>45839.60422453703</v>
      </c>
      <c r="BB100" s="17012" t="s">
        <v>63</v>
      </c>
      <c r="BC100" s="40552">
        <v>46022.60443287037</v>
      </c>
      <c r="BD100" s="17012" t="s">
        <v>63</v>
      </c>
      <c r="BE100" s="17010">
        <v>19.76</v>
      </c>
      <c r="BF100" s="17010"/>
      <c r="BG100" s="17011"/>
      <c r="BH100" s="40552">
        <v>46023.60461805556</v>
      </c>
      <c r="BI100" s="17012" t="s">
        <v>63</v>
      </c>
      <c r="BJ100" s="40552">
        <v>46203.604780092595</v>
      </c>
      <c r="BK100" s="17012" t="s">
        <v>63</v>
      </c>
      <c r="BL100" s="17010">
        <v>20.45</v>
      </c>
      <c r="BM100" s="17010"/>
      <c r="BN100" s="17011"/>
      <c r="BO100" s="40552">
        <v>46204.60508101852</v>
      </c>
      <c r="BP100" s="17012" t="s">
        <v>63</v>
      </c>
      <c r="BQ100" s="40552">
        <v>46387.60527777778</v>
      </c>
      <c r="BR100" s="17012" t="s">
        <v>63</v>
      </c>
      <c r="BS100" s="17010">
        <v>20.45</v>
      </c>
      <c r="BT100" s="17010"/>
      <c r="BU100" s="17011"/>
      <c r="BV100" s="40552">
        <v>46388.60554398148</v>
      </c>
      <c r="BW100" s="17012" t="s">
        <v>63</v>
      </c>
      <c r="BX100" s="40552">
        <v>46568.60581018519</v>
      </c>
      <c r="BY100" s="17012" t="s">
        <v>63</v>
      </c>
      <c r="BZ100" s="17010">
        <v>21.17</v>
      </c>
      <c r="CA100" s="17010"/>
      <c r="CB100" s="17011"/>
      <c r="CC100" s="40552">
        <v>46569.606041666666</v>
      </c>
      <c r="CD100" s="17012" t="s">
        <v>63</v>
      </c>
      <c r="CE100" s="40552">
        <v>46752.60638888889</v>
      </c>
      <c r="CF100" s="17012" t="s">
        <v>63</v>
      </c>
      <c r="CG100" s="17010">
        <v>21.17</v>
      </c>
      <c r="CH100" s="17010"/>
      <c r="CI100" s="17011"/>
      <c r="CJ100" s="40552">
        <v>46753.60681712963</v>
      </c>
      <c r="CK100" s="17012" t="s">
        <v>63</v>
      </c>
      <c r="CL100" s="40552">
        <v>46934.60700231481</v>
      </c>
      <c r="CM100" s="17012" t="s">
        <v>63</v>
      </c>
      <c r="CN100" s="23700">
        <v>21.37</v>
      </c>
      <c r="CO100" s="23700"/>
      <c r="CP100" s="23701"/>
      <c r="CQ100" s="40552">
        <v>46935.6072337963</v>
      </c>
      <c r="CR100" s="23703" t="s">
        <v>63</v>
      </c>
      <c r="CS100" s="40552">
        <v>47118.60747685185</v>
      </c>
      <c r="CT100" s="23703" t="s">
        <v>63</v>
      </c>
      <c r="CU100" s="17013"/>
      <c r="CV100" s="170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100" s="16982">
        <f>STRCHECKDATE(V101:CU101)</f>
      </c>
      <c r="CX100" s="16983"/>
      <c r="CY100" s="16983" t="str">
        <f>IF(T100="","",T100)</f>
        <v/>
      </c>
      <c r="CZ100" s="16983"/>
      <c r="DA100" s="16983"/>
      <c r="DB100" s="16984">
        <v>0</v>
      </c>
    </row>
    <row s="49758" customFormat="1" customHeight="1" ht="14.25">
      <c r="A101" s="16967"/>
      <c r="B101" s="16967"/>
      <c r="C101" s="16967"/>
      <c r="D101" s="16967"/>
      <c r="E101" s="16968"/>
      <c r="F101" s="16968"/>
      <c r="G101" s="16968">
        <v>1</v>
      </c>
      <c r="H101" s="16968"/>
      <c r="I101" s="17001"/>
      <c r="J101" s="17001"/>
      <c r="K101" s="16989"/>
      <c r="L101" s="16970"/>
      <c r="M101" s="16990"/>
      <c r="N101" s="16990"/>
      <c r="O101" s="16990"/>
      <c r="P101" s="16991"/>
      <c r="Q101" s="16991"/>
      <c r="R101" s="17002"/>
      <c r="S101" s="17016"/>
      <c r="T101" s="16977"/>
      <c r="U101" s="16977"/>
      <c r="V101" s="17017"/>
      <c r="W101" s="17017"/>
      <c r="X101" s="17018" t="str">
        <f>Y100&amp;"-"&amp;AA100</f>
        <v>-</v>
      </c>
      <c r="Y101" s="17019"/>
      <c r="Z101" s="17012"/>
      <c r="AA101" s="17019"/>
      <c r="AB101" s="17012"/>
      <c r="AC101" s="17017"/>
      <c r="AD101" s="17017"/>
      <c r="AE101" s="17018" t="str">
        <f>AF100&amp;"-"&amp;AH100</f>
        <v>45292.60319444445-45473.60335648148</v>
      </c>
      <c r="AF101" s="17019"/>
      <c r="AG101" s="17012"/>
      <c r="AH101" s="17020"/>
      <c r="AI101" s="17012"/>
      <c r="AJ101" s="17017"/>
      <c r="AK101" s="17017"/>
      <c r="AL101" s="17018" t="str">
        <f>AM100&amp;"-"&amp;AO100</f>
        <v>45474.60349537037-45657.603634259256</v>
      </c>
      <c r="AM101" s="17019"/>
      <c r="AN101" s="17012"/>
      <c r="AO101" s="17019"/>
      <c r="AP101" s="17012"/>
      <c r="AQ101" s="17017"/>
      <c r="AR101" s="17017"/>
      <c r="AS101" s="17018" t="str">
        <f>AT100&amp;"-"&amp;AV100</f>
        <v>45658.60380787037-45838.603946759256</v>
      </c>
      <c r="AT101" s="17019"/>
      <c r="AU101" s="17012"/>
      <c r="AV101" s="17019"/>
      <c r="AW101" s="17012"/>
      <c r="AX101" s="17017"/>
      <c r="AY101" s="17017"/>
      <c r="AZ101" s="17018" t="str">
        <f>BA100&amp;"-"&amp;BC100</f>
        <v>45839.60422453703-46022.60443287037</v>
      </c>
      <c r="BA101" s="17019"/>
      <c r="BB101" s="17012"/>
      <c r="BC101" s="17019"/>
      <c r="BD101" s="17012"/>
      <c r="BE101" s="17017"/>
      <c r="BF101" s="17017"/>
      <c r="BG101" s="17018" t="str">
        <f>BH100&amp;"-"&amp;BJ100</f>
        <v>46023.60461805556-46203.604780092595</v>
      </c>
      <c r="BH101" s="17019"/>
      <c r="BI101" s="17012"/>
      <c r="BJ101" s="17019"/>
      <c r="BK101" s="17012"/>
      <c r="BL101" s="17017"/>
      <c r="BM101" s="17017"/>
      <c r="BN101" s="17018" t="str">
        <f>BO100&amp;"-"&amp;BQ100</f>
        <v>46204.60508101852-46387.60527777778</v>
      </c>
      <c r="BO101" s="17019"/>
      <c r="BP101" s="17012"/>
      <c r="BQ101" s="17019"/>
      <c r="BR101" s="17012"/>
      <c r="BS101" s="17017"/>
      <c r="BT101" s="17017"/>
      <c r="BU101" s="17018" t="str">
        <f>BV100&amp;"-"&amp;BX100</f>
        <v>46388.60554398148-46568.60581018519</v>
      </c>
      <c r="BV101" s="17019"/>
      <c r="BW101" s="17012"/>
      <c r="BX101" s="17019"/>
      <c r="BY101" s="17012"/>
      <c r="BZ101" s="17017"/>
      <c r="CA101" s="17017"/>
      <c r="CB101" s="17018" t="str">
        <f>CC100&amp;"-"&amp;CE100</f>
        <v>46569.606041666666-46752.60638888889</v>
      </c>
      <c r="CC101" s="17019"/>
      <c r="CD101" s="17012"/>
      <c r="CE101" s="17019"/>
      <c r="CF101" s="17012"/>
      <c r="CG101" s="17017"/>
      <c r="CH101" s="17017"/>
      <c r="CI101" s="17018" t="str">
        <f>CJ100&amp;"-"&amp;CL100</f>
        <v>46753.60681712963-46934.60700231481</v>
      </c>
      <c r="CJ101" s="17019"/>
      <c r="CK101" s="17012"/>
      <c r="CL101" s="17019"/>
      <c r="CM101" s="17012"/>
      <c r="CN101" s="23708"/>
      <c r="CO101" s="23708"/>
      <c r="CP101" s="23709" t="str">
        <f>CQ100&amp;"-"&amp;CS100</f>
        <v>46935.6072337963-47118.60747685185</v>
      </c>
      <c r="CQ101" s="23710"/>
      <c r="CR101" s="23703"/>
      <c r="CS101" s="23710"/>
      <c r="CT101" s="23703"/>
      <c r="CU101" s="17021"/>
      <c r="CV101" s="17014"/>
      <c r="CW101" s="16982"/>
      <c r="CX101" s="16983"/>
      <c r="CY101" s="16983" t="str">
        <f>IF(T101="","",T101)</f>
        <v/>
      </c>
      <c r="CZ101" s="16983"/>
      <c r="DA101" s="16983"/>
      <c r="DB101" s="16984">
        <v>0</v>
      </c>
    </row>
    <row s="49759" customFormat="1" customHeight="1" ht="21">
      <c r="A102" s="16967"/>
      <c r="B102" s="16967"/>
      <c r="C102" s="16967"/>
      <c r="D102" s="16967"/>
      <c r="E102" s="16968"/>
      <c r="F102" s="16968"/>
      <c r="G102" s="16968">
        <v>1</v>
      </c>
      <c r="H102" s="16968"/>
      <c r="I102" s="17001"/>
      <c r="J102" s="16989"/>
      <c r="K102" s="16967"/>
      <c r="L102" s="16970"/>
      <c r="M102" s="16990"/>
      <c r="N102" s="16990"/>
      <c r="O102" s="16990"/>
      <c r="P102" s="16991"/>
      <c r="Q102" s="16991"/>
      <c r="R102" s="16992"/>
      <c r="S102" s="17735"/>
      <c r="T102" s="17736" t="s">
        <v>601</v>
      </c>
      <c r="U102" s="17737"/>
      <c r="V102" s="17738"/>
      <c r="W102" s="17739"/>
      <c r="X102" s="17740"/>
      <c r="Y102" s="17741"/>
      <c r="Z102" s="17742"/>
      <c r="AA102" s="17743"/>
      <c r="AB102" s="17744"/>
      <c r="AC102" s="17745"/>
      <c r="AD102" s="17746"/>
      <c r="AE102" s="17747"/>
      <c r="AF102" s="17748"/>
      <c r="AG102" s="17749"/>
      <c r="AH102" s="17750"/>
      <c r="AI102" s="17751"/>
      <c r="AJ102" s="17752"/>
      <c r="AK102" s="17753"/>
      <c r="AL102" s="17754"/>
      <c r="AM102" s="17755"/>
      <c r="AN102" s="17756"/>
      <c r="AO102" s="17757"/>
      <c r="AP102" s="17758"/>
      <c r="AQ102" s="17759"/>
      <c r="AR102" s="17760"/>
      <c r="AS102" s="17761"/>
      <c r="AT102" s="17762"/>
      <c r="AU102" s="17763"/>
      <c r="AV102" s="17764"/>
      <c r="AW102" s="17765"/>
      <c r="AX102" s="17766"/>
      <c r="AY102" s="17767"/>
      <c r="AZ102" s="17768"/>
      <c r="BA102" s="17769"/>
      <c r="BB102" s="17770"/>
      <c r="BC102" s="17771"/>
      <c r="BD102" s="17772"/>
      <c r="BE102" s="17773"/>
      <c r="BF102" s="17774"/>
      <c r="BG102" s="17775"/>
      <c r="BH102" s="17776"/>
      <c r="BI102" s="17777"/>
      <c r="BJ102" s="17778"/>
      <c r="BK102" s="17779"/>
      <c r="BL102" s="17780"/>
      <c r="BM102" s="17781"/>
      <c r="BN102" s="17782"/>
      <c r="BO102" s="17783"/>
      <c r="BP102" s="17784"/>
      <c r="BQ102" s="17785"/>
      <c r="BR102" s="17786"/>
      <c r="BS102" s="17787"/>
      <c r="BT102" s="17788"/>
      <c r="BU102" s="17789"/>
      <c r="BV102" s="17790"/>
      <c r="BW102" s="17791"/>
      <c r="BX102" s="17792"/>
      <c r="BY102" s="17793"/>
      <c r="BZ102" s="17794"/>
      <c r="CA102" s="17795"/>
      <c r="CB102" s="17796"/>
      <c r="CC102" s="17797"/>
      <c r="CD102" s="17798"/>
      <c r="CE102" s="17799"/>
      <c r="CF102" s="17800"/>
      <c r="CG102" s="17801"/>
      <c r="CH102" s="17802"/>
      <c r="CI102" s="17803"/>
      <c r="CJ102" s="17804"/>
      <c r="CK102" s="17805"/>
      <c r="CL102" s="17806"/>
      <c r="CM102" s="17807"/>
      <c r="CN102" s="25164"/>
      <c r="CO102" s="25165"/>
      <c r="CP102" s="25166"/>
      <c r="CQ102" s="25167"/>
      <c r="CR102" s="25168"/>
      <c r="CS102" s="25169"/>
      <c r="CT102" s="25170"/>
      <c r="CU102" s="17808"/>
      <c r="CV102" s="16981" t="s">
        <v>602</v>
      </c>
      <c r="CW102" s="16982"/>
      <c r="CX102" s="16983"/>
      <c r="CY102" s="16983" t="str">
        <f>IF(T102="","",T102)</f>
        <v>Добавить значение признака дифференциации</v>
      </c>
      <c r="CZ102" s="16983"/>
      <c r="DA102" s="16983"/>
      <c r="DB102" s="16984">
        <v>0</v>
      </c>
    </row>
    <row s="49841" customFormat="1" customHeight="1" ht="23.25">
      <c r="A103" s="40638"/>
      <c r="B103" s="40638"/>
      <c r="C103" s="40638"/>
      <c r="D103" s="40638"/>
      <c r="E103" s="40639"/>
      <c r="F103" s="40639"/>
      <c r="G103" s="40639"/>
      <c r="H103" s="40639"/>
      <c r="I103" s="40640"/>
      <c r="J103" s="40641" t="str">
        <f>I98&amp;".2"</f>
        <v>1.4.2.1.2</v>
      </c>
      <c r="K103" s="40638"/>
      <c r="L103" s="40642" t="s">
        <v>524</v>
      </c>
      <c r="M103" s="40643"/>
      <c r="N103" s="40643"/>
      <c r="O103" s="40643"/>
      <c r="P103" s="40644"/>
      <c r="Q103" s="40645" t="s">
        <v>106</v>
      </c>
      <c r="R103" s="40646"/>
      <c r="S103" s="40647" t="str">
        <f>$J103</f>
        <v>1.4.2.1.2</v>
      </c>
      <c r="T103" s="40648" t="s">
        <v>525</v>
      </c>
      <c r="U103" s="40649"/>
      <c r="V103" s="40650"/>
      <c r="W103" s="40651"/>
      <c r="X103" s="40651"/>
      <c r="Y103" s="40651"/>
      <c r="Z103" s="40651"/>
      <c r="AA103" s="40651"/>
      <c r="AB103" s="40652"/>
      <c r="AC103" s="40650" t="s">
        <v>637</v>
      </c>
      <c r="AD103" s="40651"/>
      <c r="AE103" s="40651"/>
      <c r="AF103" s="40651"/>
      <c r="AG103" s="40651"/>
      <c r="AH103" s="40651"/>
      <c r="AI103" s="40651"/>
      <c r="AJ103" s="40650"/>
      <c r="AK103" s="40651"/>
      <c r="AL103" s="40651"/>
      <c r="AM103" s="40651"/>
      <c r="AN103" s="40651"/>
      <c r="AO103" s="40651"/>
      <c r="AP103" s="40652"/>
      <c r="AQ103" s="40650"/>
      <c r="AR103" s="40651"/>
      <c r="AS103" s="40651"/>
      <c r="AT103" s="40651"/>
      <c r="AU103" s="40651"/>
      <c r="AV103" s="40651"/>
      <c r="AW103" s="40652"/>
      <c r="AX103" s="40650"/>
      <c r="AY103" s="40651"/>
      <c r="AZ103" s="40651"/>
      <c r="BA103" s="40651"/>
      <c r="BB103" s="40651"/>
      <c r="BC103" s="40651"/>
      <c r="BD103" s="40652"/>
      <c r="BE103" s="40650"/>
      <c r="BF103" s="40651"/>
      <c r="BG103" s="40651"/>
      <c r="BH103" s="40651"/>
      <c r="BI103" s="40651"/>
      <c r="BJ103" s="40651"/>
      <c r="BK103" s="40652"/>
      <c r="BL103" s="40650"/>
      <c r="BM103" s="40651"/>
      <c r="BN103" s="40651"/>
      <c r="BO103" s="40651"/>
      <c r="BP103" s="40651"/>
      <c r="BQ103" s="40651"/>
      <c r="BR103" s="40652"/>
      <c r="BS103" s="40650"/>
      <c r="BT103" s="40651"/>
      <c r="BU103" s="40651"/>
      <c r="BV103" s="40651"/>
      <c r="BW103" s="40651"/>
      <c r="BX103" s="40651"/>
      <c r="BY103" s="40652"/>
      <c r="BZ103" s="40650"/>
      <c r="CA103" s="40651"/>
      <c r="CB103" s="40651"/>
      <c r="CC103" s="40651"/>
      <c r="CD103" s="40651"/>
      <c r="CE103" s="40651"/>
      <c r="CF103" s="40652"/>
      <c r="CG103" s="40650"/>
      <c r="CH103" s="40651"/>
      <c r="CI103" s="40651"/>
      <c r="CJ103" s="40651"/>
      <c r="CK103" s="40651"/>
      <c r="CL103" s="40651"/>
      <c r="CM103" s="40652"/>
      <c r="CN103" s="40650"/>
      <c r="CO103" s="40651"/>
      <c r="CP103" s="40651"/>
      <c r="CQ103" s="40651"/>
      <c r="CR103" s="40651"/>
      <c r="CS103" s="40651"/>
      <c r="CT103" s="40653"/>
      <c r="CU103" s="40652"/>
      <c r="CV103" s="40654" t="s">
        <v>600</v>
      </c>
      <c r="CW103" s="40655"/>
      <c r="CX103" s="40656"/>
      <c r="CY103" s="40656" t="str">
        <f>IF(T103="","",T103)</f>
        <v>Группа потребителей</v>
      </c>
      <c r="CZ103" s="40656"/>
      <c r="DA103" s="40656"/>
      <c r="DB103" s="40657">
        <v>0</v>
      </c>
    </row>
    <row s="49842" customFormat="1" customHeight="1" ht="23.25">
      <c r="A104" s="40638"/>
      <c r="B104" s="40638"/>
      <c r="C104" s="40638"/>
      <c r="D104" s="40638"/>
      <c r="E104" s="40639"/>
      <c r="F104" s="40639"/>
      <c r="G104" s="40639"/>
      <c r="H104" s="40639"/>
      <c r="I104" s="40640"/>
      <c r="J104" s="40640" t="str">
        <f>I98&amp;".1"</f>
        <v>1.4.2.1.1</v>
      </c>
      <c r="K104" s="40641" t="str">
        <f>J103&amp;".1"</f>
        <v>1.4.2.1.2.1</v>
      </c>
      <c r="L104" s="40642"/>
      <c r="M104" s="40643"/>
      <c r="N104" s="40643"/>
      <c r="O104" s="40643"/>
      <c r="P104" s="40644"/>
      <c r="Q104" s="40644"/>
      <c r="R104" s="40646">
        <v>1</v>
      </c>
      <c r="S104" s="40647" t="str">
        <f>$K104</f>
        <v>1.4.2.1.2.1</v>
      </c>
      <c r="T104" s="40659"/>
      <c r="U104" s="40649"/>
      <c r="V104" s="40660"/>
      <c r="W104" s="40660"/>
      <c r="X104" s="40661"/>
      <c r="Y104" s="40552"/>
      <c r="Z104" s="40662" t="s">
        <v>63</v>
      </c>
      <c r="AA104" s="40552"/>
      <c r="AB104" s="40662" t="s">
        <v>63</v>
      </c>
      <c r="AC104" s="40660">
        <v>11.01</v>
      </c>
      <c r="AD104" s="40660"/>
      <c r="AE104" s="40661"/>
      <c r="AF104" s="40552">
        <v>45292.60328703704</v>
      </c>
      <c r="AG104" s="40662" t="s">
        <v>63</v>
      </c>
      <c r="AH104" s="40553">
        <v>45473.603425925925</v>
      </c>
      <c r="AI104" s="40662" t="s">
        <v>63</v>
      </c>
      <c r="AJ104" s="40660">
        <v>14.32</v>
      </c>
      <c r="AK104" s="40660"/>
      <c r="AL104" s="40661"/>
      <c r="AM104" s="40552">
        <v>45474.60356481482</v>
      </c>
      <c r="AN104" s="40662" t="s">
        <v>63</v>
      </c>
      <c r="AO104" s="40552">
        <v>45657.603680555556</v>
      </c>
      <c r="AP104" s="40662" t="s">
        <v>63</v>
      </c>
      <c r="AQ104" s="40660">
        <v>14.32</v>
      </c>
      <c r="AR104" s="40660"/>
      <c r="AS104" s="40661"/>
      <c r="AT104" s="40552">
        <v>45658.603900462964</v>
      </c>
      <c r="AU104" s="40662" t="s">
        <v>63</v>
      </c>
      <c r="AV104" s="40552">
        <v>45838.60407407407</v>
      </c>
      <c r="AW104" s="40662" t="s">
        <v>63</v>
      </c>
      <c r="AX104" s="40660">
        <v>16.47</v>
      </c>
      <c r="AY104" s="40660"/>
      <c r="AZ104" s="40661"/>
      <c r="BA104" s="40552">
        <v>45839.604317129626</v>
      </c>
      <c r="BB104" s="40662" t="s">
        <v>63</v>
      </c>
      <c r="BC104" s="40552">
        <v>46022.60450231482</v>
      </c>
      <c r="BD104" s="40662" t="s">
        <v>63</v>
      </c>
      <c r="BE104" s="40660">
        <v>16.47</v>
      </c>
      <c r="BF104" s="40660"/>
      <c r="BG104" s="40661"/>
      <c r="BH104" s="40552">
        <v>46023.60471064815</v>
      </c>
      <c r="BI104" s="40662" t="s">
        <v>63</v>
      </c>
      <c r="BJ104" s="40552">
        <v>46203.604895833334</v>
      </c>
      <c r="BK104" s="40662" t="s">
        <v>63</v>
      </c>
      <c r="BL104" s="40660">
        <v>17.04</v>
      </c>
      <c r="BM104" s="40660"/>
      <c r="BN104" s="40661"/>
      <c r="BO104" s="40552">
        <v>46204.60518518519</v>
      </c>
      <c r="BP104" s="40662" t="s">
        <v>63</v>
      </c>
      <c r="BQ104" s="40552">
        <v>46387.60534722222</v>
      </c>
      <c r="BR104" s="40662" t="s">
        <v>63</v>
      </c>
      <c r="BS104" s="40660">
        <v>17.04</v>
      </c>
      <c r="BT104" s="40660"/>
      <c r="BU104" s="40661"/>
      <c r="BV104" s="40552">
        <v>46388.605717592596</v>
      </c>
      <c r="BW104" s="40662" t="s">
        <v>63</v>
      </c>
      <c r="BX104" s="40552">
        <v>46568.60590277778</v>
      </c>
      <c r="BY104" s="40662" t="s">
        <v>63</v>
      </c>
      <c r="BZ104" s="40660">
        <v>17.64</v>
      </c>
      <c r="CA104" s="40660"/>
      <c r="CB104" s="40661"/>
      <c r="CC104" s="40552">
        <v>46569.606261574074</v>
      </c>
      <c r="CD104" s="40662" t="s">
        <v>63</v>
      </c>
      <c r="CE104" s="40552">
        <v>46752.60648148148</v>
      </c>
      <c r="CF104" s="40662" t="s">
        <v>63</v>
      </c>
      <c r="CG104" s="40660">
        <v>17.64</v>
      </c>
      <c r="CH104" s="40660"/>
      <c r="CI104" s="40661"/>
      <c r="CJ104" s="40552">
        <v>46753.6069212963</v>
      </c>
      <c r="CK104" s="40662" t="s">
        <v>63</v>
      </c>
      <c r="CL104" s="40552">
        <v>46934.60710648148</v>
      </c>
      <c r="CM104" s="40662" t="s">
        <v>63</v>
      </c>
      <c r="CN104" s="40660">
        <v>17.81</v>
      </c>
      <c r="CO104" s="40660"/>
      <c r="CP104" s="40661"/>
      <c r="CQ104" s="40552">
        <v>46935.60733796296</v>
      </c>
      <c r="CR104" s="40662" t="s">
        <v>63</v>
      </c>
      <c r="CS104" s="40552">
        <v>47118.6075462963</v>
      </c>
      <c r="CT104" s="40663" t="s">
        <v>63</v>
      </c>
      <c r="CU104" s="40664"/>
      <c r="CV104" s="406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104" s="40655">
        <f>STRCHECKDATE(V105:CU105)</f>
      </c>
      <c r="CX104" s="40656"/>
      <c r="CY104" s="40656" t="str">
        <f>IF(T104="","",T104)</f>
        <v/>
      </c>
      <c r="CZ104" s="40656"/>
      <c r="DA104" s="40656"/>
      <c r="DB104" s="40657">
        <v>0</v>
      </c>
    </row>
    <row s="49843" customFormat="1" customHeight="1" ht="14.25">
      <c r="A105" s="40638"/>
      <c r="B105" s="40638"/>
      <c r="C105" s="40638"/>
      <c r="D105" s="40638"/>
      <c r="E105" s="40639"/>
      <c r="F105" s="40639"/>
      <c r="G105" s="40639"/>
      <c r="H105" s="40639"/>
      <c r="I105" s="40640"/>
      <c r="J105" s="40640" t="str">
        <f>I98&amp;".1"</f>
        <v>1.4.2.1.1</v>
      </c>
      <c r="K105" s="40641"/>
      <c r="L105" s="40642"/>
      <c r="M105" s="40643"/>
      <c r="N105" s="40643"/>
      <c r="O105" s="40643"/>
      <c r="P105" s="40644"/>
      <c r="Q105" s="40644"/>
      <c r="R105" s="40646"/>
      <c r="S105" s="40667"/>
      <c r="T105" s="40649"/>
      <c r="U105" s="40649"/>
      <c r="V105" s="40668"/>
      <c r="W105" s="40668"/>
      <c r="X105" s="40669" t="str">
        <f>Y104&amp;"-"&amp;AA104</f>
        <v>-</v>
      </c>
      <c r="Y105" s="40670"/>
      <c r="Z105" s="40662"/>
      <c r="AA105" s="40670"/>
      <c r="AB105" s="40662"/>
      <c r="AC105" s="40668"/>
      <c r="AD105" s="40668"/>
      <c r="AE105" s="40669" t="str">
        <f>AF104&amp;"-"&amp;AH104</f>
        <v>45292.60328703704-45473.603425925925</v>
      </c>
      <c r="AF105" s="40670"/>
      <c r="AG105" s="40662"/>
      <c r="AH105" s="40671"/>
      <c r="AI105" s="40662"/>
      <c r="AJ105" s="40668"/>
      <c r="AK105" s="40668"/>
      <c r="AL105" s="40669" t="str">
        <f>AM104&amp;"-"&amp;AO104</f>
        <v>45474.60356481482-45657.603680555556</v>
      </c>
      <c r="AM105" s="40670"/>
      <c r="AN105" s="40662"/>
      <c r="AO105" s="40670"/>
      <c r="AP105" s="40662"/>
      <c r="AQ105" s="40668"/>
      <c r="AR105" s="40668"/>
      <c r="AS105" s="40669" t="str">
        <f>AT104&amp;"-"&amp;AV104</f>
        <v>45658.603900462964-45838.60407407407</v>
      </c>
      <c r="AT105" s="40670"/>
      <c r="AU105" s="40662"/>
      <c r="AV105" s="40670"/>
      <c r="AW105" s="40662"/>
      <c r="AX105" s="40668"/>
      <c r="AY105" s="40668"/>
      <c r="AZ105" s="40669" t="str">
        <f>BA104&amp;"-"&amp;BC104</f>
        <v>45839.604317129626-46022.60450231482</v>
      </c>
      <c r="BA105" s="40670"/>
      <c r="BB105" s="40662"/>
      <c r="BC105" s="40670"/>
      <c r="BD105" s="40662"/>
      <c r="BE105" s="40668"/>
      <c r="BF105" s="40668"/>
      <c r="BG105" s="40669" t="str">
        <f>BH104&amp;"-"&amp;BJ104</f>
        <v>46023.60471064815-46203.604895833334</v>
      </c>
      <c r="BH105" s="40670"/>
      <c r="BI105" s="40662"/>
      <c r="BJ105" s="40670"/>
      <c r="BK105" s="40662"/>
      <c r="BL105" s="40668"/>
      <c r="BM105" s="40668"/>
      <c r="BN105" s="40669" t="str">
        <f>BO104&amp;"-"&amp;BQ104</f>
        <v>46204.60518518519-46387.60534722222</v>
      </c>
      <c r="BO105" s="40670"/>
      <c r="BP105" s="40662"/>
      <c r="BQ105" s="40670"/>
      <c r="BR105" s="40662"/>
      <c r="BS105" s="40668"/>
      <c r="BT105" s="40668"/>
      <c r="BU105" s="40669" t="str">
        <f>BV104&amp;"-"&amp;BX104</f>
        <v>46388.605717592596-46568.60590277778</v>
      </c>
      <c r="BV105" s="40670"/>
      <c r="BW105" s="40662"/>
      <c r="BX105" s="40670"/>
      <c r="BY105" s="40662"/>
      <c r="BZ105" s="40668"/>
      <c r="CA105" s="40668"/>
      <c r="CB105" s="40669" t="str">
        <f>CC104&amp;"-"&amp;CE104</f>
        <v>46569.606261574074-46752.60648148148</v>
      </c>
      <c r="CC105" s="40670"/>
      <c r="CD105" s="40662"/>
      <c r="CE105" s="40670"/>
      <c r="CF105" s="40662"/>
      <c r="CG105" s="40668"/>
      <c r="CH105" s="40668"/>
      <c r="CI105" s="40669" t="str">
        <f>CJ104&amp;"-"&amp;CL104</f>
        <v>46753.6069212963-46934.60710648148</v>
      </c>
      <c r="CJ105" s="40670"/>
      <c r="CK105" s="40662"/>
      <c r="CL105" s="40670"/>
      <c r="CM105" s="40662"/>
      <c r="CN105" s="40668"/>
      <c r="CO105" s="40668"/>
      <c r="CP105" s="40669" t="str">
        <f>CQ104&amp;"-"&amp;CS104</f>
        <v>46935.60733796296-47118.6075462963</v>
      </c>
      <c r="CQ105" s="40670"/>
      <c r="CR105" s="40662"/>
      <c r="CS105" s="40670"/>
      <c r="CT105" s="40663"/>
      <c r="CU105" s="40672"/>
      <c r="CV105" s="40665"/>
      <c r="CW105" s="40655"/>
      <c r="CX105" s="40656"/>
      <c r="CY105" s="40656" t="str">
        <f>IF(T105="","",T105)</f>
        <v/>
      </c>
      <c r="CZ105" s="40656"/>
      <c r="DA105" s="40656"/>
      <c r="DB105" s="40657">
        <v>0</v>
      </c>
    </row>
    <row s="49844" customFormat="1" customHeight="1" ht="21">
      <c r="A106" s="40638"/>
      <c r="B106" s="40638"/>
      <c r="C106" s="40638"/>
      <c r="D106" s="40638"/>
      <c r="E106" s="40639"/>
      <c r="F106" s="40639"/>
      <c r="G106" s="40639"/>
      <c r="H106" s="40639"/>
      <c r="I106" s="40640"/>
      <c r="J106" s="40641" t="str">
        <f>I98&amp;".1"</f>
        <v>1.4.2.1.1</v>
      </c>
      <c r="K106" s="40638"/>
      <c r="L106" s="40642"/>
      <c r="M106" s="40643"/>
      <c r="N106" s="40643"/>
      <c r="O106" s="40643"/>
      <c r="P106" s="40644"/>
      <c r="Q106" s="40644"/>
      <c r="R106" s="40674"/>
      <c r="S106" s="41014"/>
      <c r="T106" s="41015" t="s">
        <v>601</v>
      </c>
      <c r="U106" s="41016"/>
      <c r="V106" s="41017"/>
      <c r="W106" s="41018"/>
      <c r="X106" s="41019"/>
      <c r="Y106" s="41020"/>
      <c r="Z106" s="41021"/>
      <c r="AA106" s="41022"/>
      <c r="AB106" s="41023"/>
      <c r="AC106" s="41024"/>
      <c r="AD106" s="41025"/>
      <c r="AE106" s="41026"/>
      <c r="AF106" s="41027"/>
      <c r="AG106" s="41028"/>
      <c r="AH106" s="41029"/>
      <c r="AI106" s="41030"/>
      <c r="AJ106" s="41031"/>
      <c r="AK106" s="41032"/>
      <c r="AL106" s="41033"/>
      <c r="AM106" s="41034"/>
      <c r="AN106" s="41035"/>
      <c r="AO106" s="41036"/>
      <c r="AP106" s="41037"/>
      <c r="AQ106" s="41038"/>
      <c r="AR106" s="41039"/>
      <c r="AS106" s="41040"/>
      <c r="AT106" s="41041"/>
      <c r="AU106" s="41042"/>
      <c r="AV106" s="41043"/>
      <c r="AW106" s="41044"/>
      <c r="AX106" s="41045"/>
      <c r="AY106" s="41046"/>
      <c r="AZ106" s="41047"/>
      <c r="BA106" s="41048"/>
      <c r="BB106" s="41049"/>
      <c r="BC106" s="41050"/>
      <c r="BD106" s="41051"/>
      <c r="BE106" s="41052"/>
      <c r="BF106" s="41053"/>
      <c r="BG106" s="41054"/>
      <c r="BH106" s="41055"/>
      <c r="BI106" s="41056"/>
      <c r="BJ106" s="41057"/>
      <c r="BK106" s="41058"/>
      <c r="BL106" s="41059"/>
      <c r="BM106" s="41060"/>
      <c r="BN106" s="41061"/>
      <c r="BO106" s="41062"/>
      <c r="BP106" s="41063"/>
      <c r="BQ106" s="41064"/>
      <c r="BR106" s="41065"/>
      <c r="BS106" s="41066"/>
      <c r="BT106" s="41067"/>
      <c r="BU106" s="41068"/>
      <c r="BV106" s="41069"/>
      <c r="BW106" s="41070"/>
      <c r="BX106" s="41071"/>
      <c r="BY106" s="41072"/>
      <c r="BZ106" s="41073"/>
      <c r="CA106" s="41074"/>
      <c r="CB106" s="41075"/>
      <c r="CC106" s="41076"/>
      <c r="CD106" s="41077"/>
      <c r="CE106" s="41078"/>
      <c r="CF106" s="41079"/>
      <c r="CG106" s="41080"/>
      <c r="CH106" s="41081"/>
      <c r="CI106" s="41082"/>
      <c r="CJ106" s="41083"/>
      <c r="CK106" s="41084"/>
      <c r="CL106" s="41085"/>
      <c r="CM106" s="41086"/>
      <c r="CN106" s="41087"/>
      <c r="CO106" s="41088"/>
      <c r="CP106" s="41089"/>
      <c r="CQ106" s="41090"/>
      <c r="CR106" s="41091"/>
      <c r="CS106" s="41092"/>
      <c r="CT106" s="41093"/>
      <c r="CU106" s="41094"/>
      <c r="CV106" s="40756" t="s">
        <v>602</v>
      </c>
      <c r="CW106" s="40655"/>
      <c r="CX106" s="40656"/>
      <c r="CY106" s="40656" t="str">
        <f>IF(T106="","",T106)</f>
        <v>Добавить значение признака дифференциации</v>
      </c>
      <c r="CZ106" s="40656"/>
      <c r="DA106" s="40656"/>
      <c r="DB106" s="40657">
        <v>0</v>
      </c>
    </row>
    <row s="49926" customFormat="1" customHeight="1" ht="21">
      <c r="A107" s="16967"/>
      <c r="B107" s="16967"/>
      <c r="C107" s="16967"/>
      <c r="D107" s="16967"/>
      <c r="E107" s="16968"/>
      <c r="F107" s="16968"/>
      <c r="G107" s="16968">
        <v>1</v>
      </c>
      <c r="H107" s="16968"/>
      <c r="I107" s="16989"/>
      <c r="J107" s="16967"/>
      <c r="K107" s="16967"/>
      <c r="L107" s="16970"/>
      <c r="M107" s="16990"/>
      <c r="N107" s="16990"/>
      <c r="O107" s="16990"/>
      <c r="P107" s="16991"/>
      <c r="Q107" s="16991"/>
      <c r="R107" s="16992"/>
      <c r="S107" s="17810"/>
      <c r="T107" s="17811" t="s">
        <v>530</v>
      </c>
      <c r="U107" s="17812"/>
      <c r="V107" s="17813"/>
      <c r="W107" s="17814"/>
      <c r="X107" s="17815"/>
      <c r="Y107" s="17816"/>
      <c r="Z107" s="17817"/>
      <c r="AA107" s="17818"/>
      <c r="AB107" s="17819"/>
      <c r="AC107" s="17820"/>
      <c r="AD107" s="17821"/>
      <c r="AE107" s="17822"/>
      <c r="AF107" s="17823"/>
      <c r="AG107" s="17824"/>
      <c r="AH107" s="17825"/>
      <c r="AI107" s="17826"/>
      <c r="AJ107" s="17827"/>
      <c r="AK107" s="17828"/>
      <c r="AL107" s="17829"/>
      <c r="AM107" s="17830"/>
      <c r="AN107" s="17831"/>
      <c r="AO107" s="17832"/>
      <c r="AP107" s="17833"/>
      <c r="AQ107" s="17834"/>
      <c r="AR107" s="17835"/>
      <c r="AS107" s="17836"/>
      <c r="AT107" s="17837"/>
      <c r="AU107" s="17838"/>
      <c r="AV107" s="17839"/>
      <c r="AW107" s="17840"/>
      <c r="AX107" s="17841"/>
      <c r="AY107" s="17842"/>
      <c r="AZ107" s="17843"/>
      <c r="BA107" s="17844"/>
      <c r="BB107" s="17845"/>
      <c r="BC107" s="17846"/>
      <c r="BD107" s="17847"/>
      <c r="BE107" s="17848"/>
      <c r="BF107" s="17849"/>
      <c r="BG107" s="17850"/>
      <c r="BH107" s="17851"/>
      <c r="BI107" s="17852"/>
      <c r="BJ107" s="17853"/>
      <c r="BK107" s="17854"/>
      <c r="BL107" s="17855"/>
      <c r="BM107" s="17856"/>
      <c r="BN107" s="17857"/>
      <c r="BO107" s="17858"/>
      <c r="BP107" s="17859"/>
      <c r="BQ107" s="17860"/>
      <c r="BR107" s="17861"/>
      <c r="BS107" s="17862"/>
      <c r="BT107" s="17863"/>
      <c r="BU107" s="17864"/>
      <c r="BV107" s="17865"/>
      <c r="BW107" s="17866"/>
      <c r="BX107" s="17867"/>
      <c r="BY107" s="17868"/>
      <c r="BZ107" s="17869"/>
      <c r="CA107" s="17870"/>
      <c r="CB107" s="17871"/>
      <c r="CC107" s="17872"/>
      <c r="CD107" s="17873"/>
      <c r="CE107" s="17874"/>
      <c r="CF107" s="17875"/>
      <c r="CG107" s="17876"/>
      <c r="CH107" s="17877"/>
      <c r="CI107" s="17878"/>
      <c r="CJ107" s="17879"/>
      <c r="CK107" s="17880"/>
      <c r="CL107" s="17881"/>
      <c r="CM107" s="17882"/>
      <c r="CN107" s="25246"/>
      <c r="CO107" s="25247"/>
      <c r="CP107" s="25248"/>
      <c r="CQ107" s="25249"/>
      <c r="CR107" s="25250"/>
      <c r="CS107" s="25251"/>
      <c r="CT107" s="25252"/>
      <c r="CU107" s="17883"/>
      <c r="CV107" s="17884"/>
      <c r="CW107" s="16982"/>
      <c r="CX107" s="16983"/>
      <c r="CY107" s="16983" t="str">
        <f>IF(T107="","",T107)</f>
        <v>Добавить группу потребителей</v>
      </c>
      <c r="CZ107" s="16983"/>
      <c r="DA107" s="16983"/>
      <c r="DB107" s="16984">
        <v>0</v>
      </c>
    </row>
    <row s="50009" customFormat="1" customHeight="1" ht="21">
      <c r="A108" s="16967"/>
      <c r="B108" s="16967"/>
      <c r="C108" s="16967"/>
      <c r="D108" s="16967"/>
      <c r="E108" s="16968"/>
      <c r="F108" s="16968"/>
      <c r="G108" s="16968">
        <v>1</v>
      </c>
      <c r="H108" s="16969"/>
      <c r="I108" s="16967"/>
      <c r="J108" s="16967"/>
      <c r="K108" s="16967"/>
      <c r="L108" s="16970"/>
      <c r="M108" s="16971"/>
      <c r="N108" s="16971"/>
      <c r="O108" s="17174"/>
      <c r="P108" s="17175"/>
      <c r="Q108" s="17176"/>
      <c r="R108" s="17177"/>
      <c r="S108" s="17886"/>
      <c r="T108" s="17887" t="s">
        <v>603</v>
      </c>
      <c r="U108" s="17888"/>
      <c r="V108" s="17889"/>
      <c r="W108" s="17890"/>
      <c r="X108" s="17891"/>
      <c r="Y108" s="17892"/>
      <c r="Z108" s="17893"/>
      <c r="AA108" s="17894"/>
      <c r="AB108" s="17895"/>
      <c r="AC108" s="17896"/>
      <c r="AD108" s="17897"/>
      <c r="AE108" s="17898"/>
      <c r="AF108" s="17899"/>
      <c r="AG108" s="17900"/>
      <c r="AH108" s="17901"/>
      <c r="AI108" s="17902"/>
      <c r="AJ108" s="17903"/>
      <c r="AK108" s="17904"/>
      <c r="AL108" s="17905"/>
      <c r="AM108" s="17906"/>
      <c r="AN108" s="17907"/>
      <c r="AO108" s="17908"/>
      <c r="AP108" s="17909"/>
      <c r="AQ108" s="17910"/>
      <c r="AR108" s="17911"/>
      <c r="AS108" s="17912"/>
      <c r="AT108" s="17913"/>
      <c r="AU108" s="17914"/>
      <c r="AV108" s="17915"/>
      <c r="AW108" s="17916"/>
      <c r="AX108" s="17917"/>
      <c r="AY108" s="17918"/>
      <c r="AZ108" s="17919"/>
      <c r="BA108" s="17920"/>
      <c r="BB108" s="17921"/>
      <c r="BC108" s="17922"/>
      <c r="BD108" s="17923"/>
      <c r="BE108" s="17924"/>
      <c r="BF108" s="17925"/>
      <c r="BG108" s="17926"/>
      <c r="BH108" s="17927"/>
      <c r="BI108" s="17928"/>
      <c r="BJ108" s="17929"/>
      <c r="BK108" s="17930"/>
      <c r="BL108" s="17931"/>
      <c r="BM108" s="17932"/>
      <c r="BN108" s="17933"/>
      <c r="BO108" s="17934"/>
      <c r="BP108" s="17935"/>
      <c r="BQ108" s="17936"/>
      <c r="BR108" s="17937"/>
      <c r="BS108" s="17938"/>
      <c r="BT108" s="17939"/>
      <c r="BU108" s="17940"/>
      <c r="BV108" s="17941"/>
      <c r="BW108" s="17942"/>
      <c r="BX108" s="17943"/>
      <c r="BY108" s="17944"/>
      <c r="BZ108" s="17945"/>
      <c r="CA108" s="17946"/>
      <c r="CB108" s="17947"/>
      <c r="CC108" s="17948"/>
      <c r="CD108" s="17949"/>
      <c r="CE108" s="17950"/>
      <c r="CF108" s="17951"/>
      <c r="CG108" s="17952"/>
      <c r="CH108" s="17953"/>
      <c r="CI108" s="17954"/>
      <c r="CJ108" s="17955"/>
      <c r="CK108" s="17956"/>
      <c r="CL108" s="17957"/>
      <c r="CM108" s="17958"/>
      <c r="CN108" s="25329"/>
      <c r="CO108" s="25330"/>
      <c r="CP108" s="25331"/>
      <c r="CQ108" s="25332"/>
      <c r="CR108" s="25333"/>
      <c r="CS108" s="25334"/>
      <c r="CT108" s="25335"/>
      <c r="CU108" s="17959"/>
      <c r="CV108" s="17960"/>
      <c r="CW108" s="16982"/>
      <c r="CX108" s="16983"/>
      <c r="CY108" s="16983" t="str">
        <f>IF(T108="","",T108)</f>
        <v>Добавить наименование признака дифференциации</v>
      </c>
      <c r="CZ108" s="16983"/>
      <c r="DA108" s="16983"/>
      <c r="DB108" s="16984">
        <v>0</v>
      </c>
    </row>
    <row s="50092" customFormat="1" customHeight="1" ht="23.25">
      <c r="A109" s="16967"/>
      <c r="B109" s="16967"/>
      <c r="C109" s="16967" t="s">
        <v>338</v>
      </c>
      <c r="D109" s="16967"/>
      <c r="E109" s="16968"/>
      <c r="F109" s="16968"/>
      <c r="G109" s="16969" t="s">
        <v>92</v>
      </c>
      <c r="H109" s="16967"/>
      <c r="I109" s="16967"/>
      <c r="J109" s="16967"/>
      <c r="K109" s="16967"/>
      <c r="L109" s="16970"/>
      <c r="M109" s="16971"/>
      <c r="N109" s="16971"/>
      <c r="O109" s="16971"/>
      <c r="P109" s="16986"/>
      <c r="Q109" s="16973"/>
      <c r="R109" s="16974"/>
      <c r="S109" s="16975" t="str">
        <f>INDEX(PT_DIFFERENTIATION_NUM_CS,MATCH(C109,PT_DIFFERENTIATION_CS_ID,0))</f>
        <v>1.4.3</v>
      </c>
      <c r="T109" s="16987" t="s">
        <v>631</v>
      </c>
      <c r="U109" s="16977"/>
      <c r="V109" s="16978"/>
      <c r="W109" s="16979"/>
      <c r="X109" s="16979"/>
      <c r="Y109" s="16979"/>
      <c r="Z109" s="16979"/>
      <c r="AA109" s="16979"/>
      <c r="AB109" s="16980"/>
      <c r="AC109" s="16978" t="str">
        <f>INDEX(PT_DIFFERENTIATION_CS,MATCH(C109,PT_DIFFERENTIATION_CS_ID,0))</f>
        <v>пгт. Краскино</v>
      </c>
      <c r="AD109" s="16979"/>
      <c r="AE109" s="16979"/>
      <c r="AF109" s="16979"/>
      <c r="AG109" s="16979"/>
      <c r="AH109" s="16979"/>
      <c r="AI109" s="16979"/>
      <c r="AJ109" s="16978"/>
      <c r="AK109" s="16979"/>
      <c r="AL109" s="16979"/>
      <c r="AM109" s="16979"/>
      <c r="AN109" s="16979"/>
      <c r="AO109" s="16979"/>
      <c r="AP109" s="16980"/>
      <c r="AQ109" s="16978"/>
      <c r="AR109" s="16979"/>
      <c r="AS109" s="16979"/>
      <c r="AT109" s="16979"/>
      <c r="AU109" s="16979"/>
      <c r="AV109" s="16979"/>
      <c r="AW109" s="16980"/>
      <c r="AX109" s="16978"/>
      <c r="AY109" s="16979"/>
      <c r="AZ109" s="16979"/>
      <c r="BA109" s="16979"/>
      <c r="BB109" s="16979"/>
      <c r="BC109" s="16979"/>
      <c r="BD109" s="16980"/>
      <c r="BE109" s="16978"/>
      <c r="BF109" s="16979"/>
      <c r="BG109" s="16979"/>
      <c r="BH109" s="16979"/>
      <c r="BI109" s="16979"/>
      <c r="BJ109" s="16979"/>
      <c r="BK109" s="16980"/>
      <c r="BL109" s="16978"/>
      <c r="BM109" s="16979"/>
      <c r="BN109" s="16979"/>
      <c r="BO109" s="16979"/>
      <c r="BP109" s="16979"/>
      <c r="BQ109" s="16979"/>
      <c r="BR109" s="16980"/>
      <c r="BS109" s="16978"/>
      <c r="BT109" s="16979"/>
      <c r="BU109" s="16979"/>
      <c r="BV109" s="16979"/>
      <c r="BW109" s="16979"/>
      <c r="BX109" s="16979"/>
      <c r="BY109" s="16980"/>
      <c r="BZ109" s="16978"/>
      <c r="CA109" s="16979"/>
      <c r="CB109" s="16979"/>
      <c r="CC109" s="16979"/>
      <c r="CD109" s="16979"/>
      <c r="CE109" s="16979"/>
      <c r="CF109" s="16980"/>
      <c r="CG109" s="16978"/>
      <c r="CH109" s="16979"/>
      <c r="CI109" s="16979"/>
      <c r="CJ109" s="16979"/>
      <c r="CK109" s="16979"/>
      <c r="CL109" s="16979"/>
      <c r="CM109" s="16980"/>
      <c r="CN109" s="23679"/>
      <c r="CO109" s="23680"/>
      <c r="CP109" s="23680"/>
      <c r="CQ109" s="23680"/>
      <c r="CR109" s="23680"/>
      <c r="CS109" s="23680"/>
      <c r="CT109" s="23681"/>
      <c r="CU109" s="16980"/>
      <c r="CV109" s="16981" t="s">
        <v>632</v>
      </c>
      <c r="CW109" s="16982"/>
      <c r="CX109" s="16983"/>
      <c r="CY109" s="16983" t="str">
        <f>IF(T109="","",T109)</f>
        <v>Наименование централизованной системы водоотведения</v>
      </c>
      <c r="CZ109" s="16983"/>
      <c r="DA109" s="16983"/>
      <c r="DB109" s="16984">
        <v>0</v>
      </c>
    </row>
    <row s="50093" customFormat="1" customHeight="1" ht="23.25">
      <c r="A110" s="16967"/>
      <c r="B110" s="16967"/>
      <c r="C110" s="16967"/>
      <c r="D110" s="16967"/>
      <c r="E110" s="16968"/>
      <c r="F110" s="16968"/>
      <c r="G110" s="16968" t="s">
        <v>105</v>
      </c>
      <c r="H110" s="16968"/>
      <c r="I110" s="16989" t="str">
        <f>S109&amp;".1"</f>
        <v>1.4.3.1</v>
      </c>
      <c r="J110" s="16967"/>
      <c r="K110" s="16967"/>
      <c r="L110" s="16970"/>
      <c r="M110" s="16990"/>
      <c r="N110" s="16990"/>
      <c r="O110" s="16990"/>
      <c r="P110" s="16991">
        <v>1</v>
      </c>
      <c r="Q110" s="16991"/>
      <c r="R110" s="16992"/>
      <c r="S110" s="16975" t="str">
        <f>$I110</f>
        <v>1.4.3.1</v>
      </c>
      <c r="T110" s="16993" t="s">
        <v>598</v>
      </c>
      <c r="U110" s="16977"/>
      <c r="V110" s="16994"/>
      <c r="W110" s="16995"/>
      <c r="X110" s="16995"/>
      <c r="Y110" s="16995"/>
      <c r="Z110" s="16995"/>
      <c r="AA110" s="16995"/>
      <c r="AB110" s="16996"/>
      <c r="AC110" s="16997"/>
      <c r="AD110" s="16998"/>
      <c r="AE110" s="16998"/>
      <c r="AF110" s="16998"/>
      <c r="AG110" s="16998"/>
      <c r="AH110" s="16998"/>
      <c r="AI110" s="16998"/>
      <c r="AJ110" s="16994"/>
      <c r="AK110" s="16995"/>
      <c r="AL110" s="16995"/>
      <c r="AM110" s="16995"/>
      <c r="AN110" s="16995"/>
      <c r="AO110" s="16995"/>
      <c r="AP110" s="16996"/>
      <c r="AQ110" s="16994"/>
      <c r="AR110" s="16995"/>
      <c r="AS110" s="16995"/>
      <c r="AT110" s="16995"/>
      <c r="AU110" s="16995"/>
      <c r="AV110" s="16995"/>
      <c r="AW110" s="16996"/>
      <c r="AX110" s="16994"/>
      <c r="AY110" s="16995"/>
      <c r="AZ110" s="16995"/>
      <c r="BA110" s="16995"/>
      <c r="BB110" s="16995"/>
      <c r="BC110" s="16995"/>
      <c r="BD110" s="16996"/>
      <c r="BE110" s="16994"/>
      <c r="BF110" s="16995"/>
      <c r="BG110" s="16995"/>
      <c r="BH110" s="16995"/>
      <c r="BI110" s="16995"/>
      <c r="BJ110" s="16995"/>
      <c r="BK110" s="16996"/>
      <c r="BL110" s="16994"/>
      <c r="BM110" s="16995"/>
      <c r="BN110" s="16995"/>
      <c r="BO110" s="16995"/>
      <c r="BP110" s="16995"/>
      <c r="BQ110" s="16995"/>
      <c r="BR110" s="16996"/>
      <c r="BS110" s="16994"/>
      <c r="BT110" s="16995"/>
      <c r="BU110" s="16995"/>
      <c r="BV110" s="16995"/>
      <c r="BW110" s="16995"/>
      <c r="BX110" s="16995"/>
      <c r="BY110" s="16996"/>
      <c r="BZ110" s="16994"/>
      <c r="CA110" s="16995"/>
      <c r="CB110" s="16995"/>
      <c r="CC110" s="16995"/>
      <c r="CD110" s="16995"/>
      <c r="CE110" s="16995"/>
      <c r="CF110" s="16996"/>
      <c r="CG110" s="16994"/>
      <c r="CH110" s="16995"/>
      <c r="CI110" s="16995"/>
      <c r="CJ110" s="16995"/>
      <c r="CK110" s="16995"/>
      <c r="CL110" s="16995"/>
      <c r="CM110" s="16996"/>
      <c r="CN110" s="23687"/>
      <c r="CO110" s="23688"/>
      <c r="CP110" s="23688"/>
      <c r="CQ110" s="23688"/>
      <c r="CR110" s="23688"/>
      <c r="CS110" s="23688"/>
      <c r="CT110" s="23689"/>
      <c r="CU110" s="16999"/>
      <c r="CV110" s="16981" t="s">
        <v>599</v>
      </c>
      <c r="CW110" s="16982"/>
      <c r="CX110" s="16983"/>
      <c r="CY110" s="16983" t="str">
        <f>IF(T110="","",T110)</f>
        <v>Наименование признака дифференциации</v>
      </c>
      <c r="CZ110" s="16983"/>
      <c r="DA110" s="16983"/>
      <c r="DB110" s="16984">
        <v>0</v>
      </c>
    </row>
    <row s="50094" customFormat="1" customHeight="1" ht="23.25">
      <c r="A111" s="16967"/>
      <c r="B111" s="16967"/>
      <c r="C111" s="16967"/>
      <c r="D111" s="16967"/>
      <c r="E111" s="16968"/>
      <c r="F111" s="16968"/>
      <c r="G111" s="16968" t="s">
        <v>105</v>
      </c>
      <c r="H111" s="16968"/>
      <c r="I111" s="17001"/>
      <c r="J111" s="16989" t="str">
        <f>I110&amp;".1"</f>
        <v>1.4.3.1.1</v>
      </c>
      <c r="K111" s="16967"/>
      <c r="L111" s="16970" t="s">
        <v>524</v>
      </c>
      <c r="M111" s="16990"/>
      <c r="N111" s="16990"/>
      <c r="O111" s="16990"/>
      <c r="P111" s="16991"/>
      <c r="Q111" s="16991">
        <v>1</v>
      </c>
      <c r="R111" s="17002"/>
      <c r="S111" s="16975" t="str">
        <f>$J111</f>
        <v>1.4.3.1.1</v>
      </c>
      <c r="T111" s="17003" t="s">
        <v>525</v>
      </c>
      <c r="U111" s="16977"/>
      <c r="V111" s="17004"/>
      <c r="W111" s="17005"/>
      <c r="X111" s="17005"/>
      <c r="Y111" s="17005"/>
      <c r="Z111" s="17005"/>
      <c r="AA111" s="17005"/>
      <c r="AB111" s="17006"/>
      <c r="AC111" s="17004" t="s">
        <v>636</v>
      </c>
      <c r="AD111" s="17005"/>
      <c r="AE111" s="17005"/>
      <c r="AF111" s="17005"/>
      <c r="AG111" s="17005"/>
      <c r="AH111" s="17005"/>
      <c r="AI111" s="17005"/>
      <c r="AJ111" s="17004"/>
      <c r="AK111" s="17005"/>
      <c r="AL111" s="17005"/>
      <c r="AM111" s="17005"/>
      <c r="AN111" s="17005"/>
      <c r="AO111" s="17005"/>
      <c r="AP111" s="17006"/>
      <c r="AQ111" s="17004"/>
      <c r="AR111" s="17005"/>
      <c r="AS111" s="17005"/>
      <c r="AT111" s="17005"/>
      <c r="AU111" s="17005"/>
      <c r="AV111" s="17005"/>
      <c r="AW111" s="17006"/>
      <c r="AX111" s="17004"/>
      <c r="AY111" s="17005"/>
      <c r="AZ111" s="17005"/>
      <c r="BA111" s="17005"/>
      <c r="BB111" s="17005"/>
      <c r="BC111" s="17005"/>
      <c r="BD111" s="17006"/>
      <c r="BE111" s="17004"/>
      <c r="BF111" s="17005"/>
      <c r="BG111" s="17005"/>
      <c r="BH111" s="17005"/>
      <c r="BI111" s="17005"/>
      <c r="BJ111" s="17005"/>
      <c r="BK111" s="17006"/>
      <c r="BL111" s="17004"/>
      <c r="BM111" s="17005"/>
      <c r="BN111" s="17005"/>
      <c r="BO111" s="17005"/>
      <c r="BP111" s="17005"/>
      <c r="BQ111" s="17005"/>
      <c r="BR111" s="17006"/>
      <c r="BS111" s="17004"/>
      <c r="BT111" s="17005"/>
      <c r="BU111" s="17005"/>
      <c r="BV111" s="17005"/>
      <c r="BW111" s="17005"/>
      <c r="BX111" s="17005"/>
      <c r="BY111" s="17006"/>
      <c r="BZ111" s="17004"/>
      <c r="CA111" s="17005"/>
      <c r="CB111" s="17005"/>
      <c r="CC111" s="17005"/>
      <c r="CD111" s="17005"/>
      <c r="CE111" s="17005"/>
      <c r="CF111" s="17006"/>
      <c r="CG111" s="17004"/>
      <c r="CH111" s="17005"/>
      <c r="CI111" s="17005"/>
      <c r="CJ111" s="17005"/>
      <c r="CK111" s="17005"/>
      <c r="CL111" s="17005"/>
      <c r="CM111" s="17006"/>
      <c r="CN111" s="23693"/>
      <c r="CO111" s="23694"/>
      <c r="CP111" s="23694"/>
      <c r="CQ111" s="23694"/>
      <c r="CR111" s="23694"/>
      <c r="CS111" s="23694"/>
      <c r="CT111" s="23695"/>
      <c r="CU111" s="17006"/>
      <c r="CV111" s="17007" t="s">
        <v>600</v>
      </c>
      <c r="CW111" s="16982"/>
      <c r="CX111" s="16983"/>
      <c r="CY111" s="16983" t="str">
        <f>IF(T111="","",T111)</f>
        <v>Группа потребителей</v>
      </c>
      <c r="CZ111" s="16983"/>
      <c r="DA111" s="16983"/>
      <c r="DB111" s="16984">
        <v>0</v>
      </c>
    </row>
    <row s="50095" customFormat="1" customHeight="1" ht="23.25">
      <c r="A112" s="16967"/>
      <c r="B112" s="16967"/>
      <c r="C112" s="16967"/>
      <c r="D112" s="16967"/>
      <c r="E112" s="16968"/>
      <c r="F112" s="16968"/>
      <c r="G112" s="16968" t="s">
        <v>105</v>
      </c>
      <c r="H112" s="16968"/>
      <c r="I112" s="17001"/>
      <c r="J112" s="17001"/>
      <c r="K112" s="16989" t="str">
        <f>J111&amp;".1"</f>
        <v>1.4.3.1.1.1</v>
      </c>
      <c r="L112" s="16970"/>
      <c r="M112" s="16990"/>
      <c r="N112" s="16990"/>
      <c r="O112" s="16990"/>
      <c r="P112" s="16991"/>
      <c r="Q112" s="16991"/>
      <c r="R112" s="17002">
        <v>1</v>
      </c>
      <c r="S112" s="16975" t="str">
        <f>$K112</f>
        <v>1.4.3.1.1.1</v>
      </c>
      <c r="T112" s="17009"/>
      <c r="U112" s="16977"/>
      <c r="V112" s="17010"/>
      <c r="W112" s="17010"/>
      <c r="X112" s="17011"/>
      <c r="Y112" s="16696"/>
      <c r="Z112" s="17012" t="s">
        <v>63</v>
      </c>
      <c r="AA112" s="16696"/>
      <c r="AB112" s="17012" t="s">
        <v>63</v>
      </c>
      <c r="AC112" s="17010">
        <v>10.19</v>
      </c>
      <c r="AD112" s="17010"/>
      <c r="AE112" s="17011"/>
      <c r="AF112" s="40552">
        <v>45292.62703703704</v>
      </c>
      <c r="AG112" s="17012" t="s">
        <v>63</v>
      </c>
      <c r="AH112" s="40553">
        <v>45473.62726851852</v>
      </c>
      <c r="AI112" s="17012" t="s">
        <v>63</v>
      </c>
      <c r="AJ112" s="17010">
        <v>13.25</v>
      </c>
      <c r="AK112" s="17010"/>
      <c r="AL112" s="17011"/>
      <c r="AM112" s="40552">
        <v>45474.62755787037</v>
      </c>
      <c r="AN112" s="17012" t="s">
        <v>63</v>
      </c>
      <c r="AO112" s="40552">
        <v>45657.627858796295</v>
      </c>
      <c r="AP112" s="17012" t="s">
        <v>63</v>
      </c>
      <c r="AQ112" s="17010">
        <v>13.25</v>
      </c>
      <c r="AR112" s="17010"/>
      <c r="AS112" s="17011"/>
      <c r="AT112" s="40552">
        <v>45658.6280787037</v>
      </c>
      <c r="AU112" s="17012" t="s">
        <v>63</v>
      </c>
      <c r="AV112" s="40552">
        <v>45838.62826388889</v>
      </c>
      <c r="AW112" s="17012" t="s">
        <v>63</v>
      </c>
      <c r="AX112" s="17010">
        <v>15.76</v>
      </c>
      <c r="AY112" s="17010"/>
      <c r="AZ112" s="17011"/>
      <c r="BA112" s="40552">
        <v>45839.62863425926</v>
      </c>
      <c r="BB112" s="17012" t="s">
        <v>63</v>
      </c>
      <c r="BC112" s="40552">
        <v>46022.62886574074</v>
      </c>
      <c r="BD112" s="17012" t="s">
        <v>63</v>
      </c>
      <c r="BE112" s="17010">
        <v>15.76</v>
      </c>
      <c r="BF112" s="17010"/>
      <c r="BG112" s="17011"/>
      <c r="BH112" s="40552">
        <v>46023.629166666666</v>
      </c>
      <c r="BI112" s="17012" t="s">
        <v>63</v>
      </c>
      <c r="BJ112" s="40552">
        <v>46203.6294212963</v>
      </c>
      <c r="BK112" s="17012" t="s">
        <v>63</v>
      </c>
      <c r="BL112" s="17010">
        <v>16.55</v>
      </c>
      <c r="BM112" s="17010"/>
      <c r="BN112" s="17011"/>
      <c r="BO112" s="40552">
        <v>46204.62978009259</v>
      </c>
      <c r="BP112" s="17012" t="s">
        <v>63</v>
      </c>
      <c r="BQ112" s="40552">
        <v>46387.62998842593</v>
      </c>
      <c r="BR112" s="17012" t="s">
        <v>63</v>
      </c>
      <c r="BS112" s="17010">
        <v>16.55</v>
      </c>
      <c r="BT112" s="17010"/>
      <c r="BU112" s="17011"/>
      <c r="BV112" s="40552">
        <v>46388.63033564815</v>
      </c>
      <c r="BW112" s="17012" t="s">
        <v>63</v>
      </c>
      <c r="BX112" s="40552">
        <v>46568.63048611111</v>
      </c>
      <c r="BY112" s="17012" t="s">
        <v>63</v>
      </c>
      <c r="BZ112" s="17010">
        <v>17.21</v>
      </c>
      <c r="CA112" s="17010"/>
      <c r="CB112" s="17011"/>
      <c r="CC112" s="40552">
        <v>46569.630833333336</v>
      </c>
      <c r="CD112" s="17012" t="s">
        <v>63</v>
      </c>
      <c r="CE112" s="40552">
        <v>46752.63172453704</v>
      </c>
      <c r="CF112" s="17012" t="s">
        <v>63</v>
      </c>
      <c r="CG112" s="17010">
        <v>17.21</v>
      </c>
      <c r="CH112" s="17010"/>
      <c r="CI112" s="17011"/>
      <c r="CJ112" s="40552">
        <v>46753.63209490741</v>
      </c>
      <c r="CK112" s="17012" t="s">
        <v>63</v>
      </c>
      <c r="CL112" s="40552">
        <v>46934.63229166667</v>
      </c>
      <c r="CM112" s="17012" t="s">
        <v>63</v>
      </c>
      <c r="CN112" s="23700">
        <v>17.91</v>
      </c>
      <c r="CO112" s="23700"/>
      <c r="CP112" s="23701"/>
      <c r="CQ112" s="40552">
        <v>46935.63263888889</v>
      </c>
      <c r="CR112" s="23703" t="s">
        <v>63</v>
      </c>
      <c r="CS112" s="40552">
        <v>47118.632835648146</v>
      </c>
      <c r="CT112" s="23703" t="s">
        <v>63</v>
      </c>
      <c r="CU112" s="17013"/>
      <c r="CV112" s="170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112" s="16982">
        <f>STRCHECKDATE(V113:CU113)</f>
      </c>
      <c r="CX112" s="16983"/>
      <c r="CY112" s="16983" t="str">
        <f>IF(T112="","",T112)</f>
        <v/>
      </c>
      <c r="CZ112" s="16983"/>
      <c r="DA112" s="16983"/>
      <c r="DB112" s="16984">
        <v>0</v>
      </c>
    </row>
    <row s="50096" customFormat="1" customHeight="1" ht="14.25">
      <c r="A113" s="16967"/>
      <c r="B113" s="16967"/>
      <c r="C113" s="16967"/>
      <c r="D113" s="16967"/>
      <c r="E113" s="16968"/>
      <c r="F113" s="16968"/>
      <c r="G113" s="16968" t="s">
        <v>105</v>
      </c>
      <c r="H113" s="16968"/>
      <c r="I113" s="17001"/>
      <c r="J113" s="17001"/>
      <c r="K113" s="16989"/>
      <c r="L113" s="16970"/>
      <c r="M113" s="16990"/>
      <c r="N113" s="16990"/>
      <c r="O113" s="16990"/>
      <c r="P113" s="16991"/>
      <c r="Q113" s="16991"/>
      <c r="R113" s="17002"/>
      <c r="S113" s="17016"/>
      <c r="T113" s="16977"/>
      <c r="U113" s="16977"/>
      <c r="V113" s="17017"/>
      <c r="W113" s="17017"/>
      <c r="X113" s="17018" t="str">
        <f>Y112&amp;"-"&amp;AA112</f>
        <v>-</v>
      </c>
      <c r="Y113" s="17019"/>
      <c r="Z113" s="17012"/>
      <c r="AA113" s="17019"/>
      <c r="AB113" s="17012"/>
      <c r="AC113" s="17017"/>
      <c r="AD113" s="17017"/>
      <c r="AE113" s="17018" t="str">
        <f>AF112&amp;"-"&amp;AH112</f>
        <v>45292.62703703704-45473.62726851852</v>
      </c>
      <c r="AF113" s="17019"/>
      <c r="AG113" s="17012"/>
      <c r="AH113" s="17020"/>
      <c r="AI113" s="17012"/>
      <c r="AJ113" s="17017"/>
      <c r="AK113" s="17017"/>
      <c r="AL113" s="17018" t="str">
        <f>AM112&amp;"-"&amp;AO112</f>
        <v>45474.62755787037-45657.627858796295</v>
      </c>
      <c r="AM113" s="17019"/>
      <c r="AN113" s="17012"/>
      <c r="AO113" s="17019"/>
      <c r="AP113" s="17012"/>
      <c r="AQ113" s="17017"/>
      <c r="AR113" s="17017"/>
      <c r="AS113" s="17018" t="str">
        <f>AT112&amp;"-"&amp;AV112</f>
        <v>45658.6280787037-45838.62826388889</v>
      </c>
      <c r="AT113" s="17019"/>
      <c r="AU113" s="17012"/>
      <c r="AV113" s="17019"/>
      <c r="AW113" s="17012"/>
      <c r="AX113" s="17017"/>
      <c r="AY113" s="17017"/>
      <c r="AZ113" s="17018" t="str">
        <f>BA112&amp;"-"&amp;BC112</f>
        <v>45839.62863425926-46022.62886574074</v>
      </c>
      <c r="BA113" s="17019"/>
      <c r="BB113" s="17012"/>
      <c r="BC113" s="17019"/>
      <c r="BD113" s="17012"/>
      <c r="BE113" s="17017"/>
      <c r="BF113" s="17017"/>
      <c r="BG113" s="17018" t="str">
        <f>BH112&amp;"-"&amp;BJ112</f>
        <v>46023.629166666666-46203.6294212963</v>
      </c>
      <c r="BH113" s="17019"/>
      <c r="BI113" s="17012"/>
      <c r="BJ113" s="17019"/>
      <c r="BK113" s="17012"/>
      <c r="BL113" s="17017"/>
      <c r="BM113" s="17017"/>
      <c r="BN113" s="17018" t="str">
        <f>BO112&amp;"-"&amp;BQ112</f>
        <v>46204.62978009259-46387.62998842593</v>
      </c>
      <c r="BO113" s="17019"/>
      <c r="BP113" s="17012"/>
      <c r="BQ113" s="17019"/>
      <c r="BR113" s="17012"/>
      <c r="BS113" s="17017"/>
      <c r="BT113" s="17017"/>
      <c r="BU113" s="17018" t="str">
        <f>BV112&amp;"-"&amp;BX112</f>
        <v>46388.63033564815-46568.63048611111</v>
      </c>
      <c r="BV113" s="17019"/>
      <c r="BW113" s="17012"/>
      <c r="BX113" s="17019"/>
      <c r="BY113" s="17012"/>
      <c r="BZ113" s="17017"/>
      <c r="CA113" s="17017"/>
      <c r="CB113" s="17018" t="str">
        <f>CC112&amp;"-"&amp;CE112</f>
        <v>46569.630833333336-46752.63172453704</v>
      </c>
      <c r="CC113" s="17019"/>
      <c r="CD113" s="17012"/>
      <c r="CE113" s="17019"/>
      <c r="CF113" s="17012"/>
      <c r="CG113" s="17017"/>
      <c r="CH113" s="17017"/>
      <c r="CI113" s="17018" t="str">
        <f>CJ112&amp;"-"&amp;CL112</f>
        <v>46753.63209490741-46934.63229166667</v>
      </c>
      <c r="CJ113" s="17019"/>
      <c r="CK113" s="17012"/>
      <c r="CL113" s="17019"/>
      <c r="CM113" s="17012"/>
      <c r="CN113" s="23708"/>
      <c r="CO113" s="23708"/>
      <c r="CP113" s="23709" t="str">
        <f>CQ112&amp;"-"&amp;CS112</f>
        <v>46935.63263888889-47118.632835648146</v>
      </c>
      <c r="CQ113" s="23710"/>
      <c r="CR113" s="23703"/>
      <c r="CS113" s="23710"/>
      <c r="CT113" s="23703"/>
      <c r="CU113" s="17021"/>
      <c r="CV113" s="17014"/>
      <c r="CW113" s="16982"/>
      <c r="CX113" s="16983"/>
      <c r="CY113" s="16983" t="str">
        <f>IF(T113="","",T113)</f>
        <v/>
      </c>
      <c r="CZ113" s="16983"/>
      <c r="DA113" s="16983"/>
      <c r="DB113" s="16984">
        <v>0</v>
      </c>
    </row>
    <row s="50097" customFormat="1" customHeight="1" ht="21">
      <c r="A114" s="16967"/>
      <c r="B114" s="16967"/>
      <c r="C114" s="16967"/>
      <c r="D114" s="16967"/>
      <c r="E114" s="16968"/>
      <c r="F114" s="16968"/>
      <c r="G114" s="16968" t="s">
        <v>105</v>
      </c>
      <c r="H114" s="16968"/>
      <c r="I114" s="17001"/>
      <c r="J114" s="16989"/>
      <c r="K114" s="16967"/>
      <c r="L114" s="16970"/>
      <c r="M114" s="16990"/>
      <c r="N114" s="16990"/>
      <c r="O114" s="16990"/>
      <c r="P114" s="16991"/>
      <c r="Q114" s="16991"/>
      <c r="R114" s="16992"/>
      <c r="S114" s="17967"/>
      <c r="T114" s="17968" t="s">
        <v>601</v>
      </c>
      <c r="U114" s="17969"/>
      <c r="V114" s="17970"/>
      <c r="W114" s="17971"/>
      <c r="X114" s="17972"/>
      <c r="Y114" s="17973"/>
      <c r="Z114" s="17974"/>
      <c r="AA114" s="17975"/>
      <c r="AB114" s="17976"/>
      <c r="AC114" s="17977"/>
      <c r="AD114" s="17978"/>
      <c r="AE114" s="17979"/>
      <c r="AF114" s="17980"/>
      <c r="AG114" s="17981"/>
      <c r="AH114" s="17982"/>
      <c r="AI114" s="17983"/>
      <c r="AJ114" s="17984"/>
      <c r="AK114" s="17985"/>
      <c r="AL114" s="17986"/>
      <c r="AM114" s="17987"/>
      <c r="AN114" s="17988"/>
      <c r="AO114" s="17989"/>
      <c r="AP114" s="17990"/>
      <c r="AQ114" s="17991"/>
      <c r="AR114" s="17992"/>
      <c r="AS114" s="17993"/>
      <c r="AT114" s="17994"/>
      <c r="AU114" s="17995"/>
      <c r="AV114" s="17996"/>
      <c r="AW114" s="17997"/>
      <c r="AX114" s="17998"/>
      <c r="AY114" s="17999"/>
      <c r="AZ114" s="18000"/>
      <c r="BA114" s="18001"/>
      <c r="BB114" s="18002"/>
      <c r="BC114" s="18003"/>
      <c r="BD114" s="18004"/>
      <c r="BE114" s="18005"/>
      <c r="BF114" s="18006"/>
      <c r="BG114" s="18007"/>
      <c r="BH114" s="18008"/>
      <c r="BI114" s="18009"/>
      <c r="BJ114" s="18010"/>
      <c r="BK114" s="18011"/>
      <c r="BL114" s="18012"/>
      <c r="BM114" s="18013"/>
      <c r="BN114" s="18014"/>
      <c r="BO114" s="18015"/>
      <c r="BP114" s="18016"/>
      <c r="BQ114" s="18017"/>
      <c r="BR114" s="18018"/>
      <c r="BS114" s="18019"/>
      <c r="BT114" s="18020"/>
      <c r="BU114" s="18021"/>
      <c r="BV114" s="18022"/>
      <c r="BW114" s="18023"/>
      <c r="BX114" s="18024"/>
      <c r="BY114" s="18025"/>
      <c r="BZ114" s="18026"/>
      <c r="CA114" s="18027"/>
      <c r="CB114" s="18028"/>
      <c r="CC114" s="18029"/>
      <c r="CD114" s="18030"/>
      <c r="CE114" s="18031"/>
      <c r="CF114" s="18032"/>
      <c r="CG114" s="18033"/>
      <c r="CH114" s="18034"/>
      <c r="CI114" s="18035"/>
      <c r="CJ114" s="18036"/>
      <c r="CK114" s="18037"/>
      <c r="CL114" s="18038"/>
      <c r="CM114" s="18039"/>
      <c r="CN114" s="25417"/>
      <c r="CO114" s="25418"/>
      <c r="CP114" s="25419"/>
      <c r="CQ114" s="25420"/>
      <c r="CR114" s="25421"/>
      <c r="CS114" s="25422"/>
      <c r="CT114" s="25423"/>
      <c r="CU114" s="18040"/>
      <c r="CV114" s="16981" t="s">
        <v>602</v>
      </c>
      <c r="CW114" s="16982"/>
      <c r="CX114" s="16983"/>
      <c r="CY114" s="16983" t="str">
        <f>IF(T114="","",T114)</f>
        <v>Добавить значение признака дифференциации</v>
      </c>
      <c r="CZ114" s="16983"/>
      <c r="DA114" s="16983"/>
      <c r="DB114" s="16984">
        <v>0</v>
      </c>
    </row>
    <row s="50179" customFormat="1" customHeight="1" ht="23.25">
      <c r="A115" s="40638"/>
      <c r="B115" s="40638"/>
      <c r="C115" s="40638"/>
      <c r="D115" s="40638"/>
      <c r="E115" s="40639"/>
      <c r="F115" s="40639"/>
      <c r="G115" s="40639"/>
      <c r="H115" s="40639"/>
      <c r="I115" s="40640"/>
      <c r="J115" s="40641" t="str">
        <f>I110&amp;".2"</f>
        <v>1.4.3.1.2</v>
      </c>
      <c r="K115" s="40638"/>
      <c r="L115" s="40642" t="s">
        <v>524</v>
      </c>
      <c r="M115" s="40643"/>
      <c r="N115" s="40643"/>
      <c r="O115" s="40643"/>
      <c r="P115" s="40644"/>
      <c r="Q115" s="40645" t="s">
        <v>106</v>
      </c>
      <c r="R115" s="40646"/>
      <c r="S115" s="40647" t="str">
        <f>$J115</f>
        <v>1.4.3.1.2</v>
      </c>
      <c r="T115" s="40648" t="s">
        <v>525</v>
      </c>
      <c r="U115" s="40649"/>
      <c r="V115" s="40650"/>
      <c r="W115" s="40651"/>
      <c r="X115" s="40651"/>
      <c r="Y115" s="40651"/>
      <c r="Z115" s="40651"/>
      <c r="AA115" s="40651"/>
      <c r="AB115" s="40652"/>
      <c r="AC115" s="40650" t="s">
        <v>637</v>
      </c>
      <c r="AD115" s="40651"/>
      <c r="AE115" s="40651"/>
      <c r="AF115" s="40651"/>
      <c r="AG115" s="40651"/>
      <c r="AH115" s="40651"/>
      <c r="AI115" s="40651"/>
      <c r="AJ115" s="40650"/>
      <c r="AK115" s="40651"/>
      <c r="AL115" s="40651"/>
      <c r="AM115" s="40651"/>
      <c r="AN115" s="40651"/>
      <c r="AO115" s="40651"/>
      <c r="AP115" s="40652"/>
      <c r="AQ115" s="40650"/>
      <c r="AR115" s="40651"/>
      <c r="AS115" s="40651"/>
      <c r="AT115" s="40651"/>
      <c r="AU115" s="40651"/>
      <c r="AV115" s="40651"/>
      <c r="AW115" s="40652"/>
      <c r="AX115" s="40650"/>
      <c r="AY115" s="40651"/>
      <c r="AZ115" s="40651"/>
      <c r="BA115" s="40651"/>
      <c r="BB115" s="40651"/>
      <c r="BC115" s="40651"/>
      <c r="BD115" s="40652"/>
      <c r="BE115" s="40650"/>
      <c r="BF115" s="40651"/>
      <c r="BG115" s="40651"/>
      <c r="BH115" s="40651"/>
      <c r="BI115" s="40651"/>
      <c r="BJ115" s="40651"/>
      <c r="BK115" s="40652"/>
      <c r="BL115" s="40650"/>
      <c r="BM115" s="40651"/>
      <c r="BN115" s="40651"/>
      <c r="BO115" s="40651"/>
      <c r="BP115" s="40651"/>
      <c r="BQ115" s="40651"/>
      <c r="BR115" s="40652"/>
      <c r="BS115" s="40650"/>
      <c r="BT115" s="40651"/>
      <c r="BU115" s="40651"/>
      <c r="BV115" s="40651"/>
      <c r="BW115" s="40651"/>
      <c r="BX115" s="40651"/>
      <c r="BY115" s="40652"/>
      <c r="BZ115" s="40650"/>
      <c r="CA115" s="40651"/>
      <c r="CB115" s="40651"/>
      <c r="CC115" s="40651"/>
      <c r="CD115" s="40651"/>
      <c r="CE115" s="40651"/>
      <c r="CF115" s="40652"/>
      <c r="CG115" s="40650"/>
      <c r="CH115" s="40651"/>
      <c r="CI115" s="40651"/>
      <c r="CJ115" s="40651"/>
      <c r="CK115" s="40651"/>
      <c r="CL115" s="40651"/>
      <c r="CM115" s="40652"/>
      <c r="CN115" s="40650"/>
      <c r="CO115" s="40651"/>
      <c r="CP115" s="40651"/>
      <c r="CQ115" s="40651"/>
      <c r="CR115" s="40651"/>
      <c r="CS115" s="40651"/>
      <c r="CT115" s="40653"/>
      <c r="CU115" s="40652"/>
      <c r="CV115" s="40654" t="s">
        <v>600</v>
      </c>
      <c r="CW115" s="40655"/>
      <c r="CX115" s="40656"/>
      <c r="CY115" s="40656" t="str">
        <f>IF(T115="","",T115)</f>
        <v>Группа потребителей</v>
      </c>
      <c r="CZ115" s="40656"/>
      <c r="DA115" s="40656"/>
      <c r="DB115" s="40657">
        <v>0</v>
      </c>
    </row>
    <row s="50180" customFormat="1" customHeight="1" ht="23.25">
      <c r="A116" s="40638"/>
      <c r="B116" s="40638"/>
      <c r="C116" s="40638"/>
      <c r="D116" s="40638"/>
      <c r="E116" s="40639"/>
      <c r="F116" s="40639"/>
      <c r="G116" s="40639"/>
      <c r="H116" s="40639"/>
      <c r="I116" s="40640"/>
      <c r="J116" s="40640" t="str">
        <f>I110&amp;".1"</f>
        <v>1.4.3.1.1</v>
      </c>
      <c r="K116" s="40641" t="str">
        <f>J115&amp;".1"</f>
        <v>1.4.3.1.2.1</v>
      </c>
      <c r="L116" s="40642"/>
      <c r="M116" s="40643"/>
      <c r="N116" s="40643"/>
      <c r="O116" s="40643"/>
      <c r="P116" s="40644"/>
      <c r="Q116" s="40644"/>
      <c r="R116" s="40646">
        <v>1</v>
      </c>
      <c r="S116" s="40647" t="str">
        <f>$K116</f>
        <v>1.4.3.1.2.1</v>
      </c>
      <c r="T116" s="40659"/>
      <c r="U116" s="40649"/>
      <c r="V116" s="40660"/>
      <c r="W116" s="40660"/>
      <c r="X116" s="40661"/>
      <c r="Y116" s="40552"/>
      <c r="Z116" s="40662" t="s">
        <v>63</v>
      </c>
      <c r="AA116" s="40552"/>
      <c r="AB116" s="40662" t="s">
        <v>63</v>
      </c>
      <c r="AC116" s="40660">
        <v>8.49</v>
      </c>
      <c r="AD116" s="40660"/>
      <c r="AE116" s="40661"/>
      <c r="AF116" s="40552">
        <v>45292.6271412037</v>
      </c>
      <c r="AG116" s="40662" t="s">
        <v>63</v>
      </c>
      <c r="AH116" s="40553">
        <v>45473.62746527778</v>
      </c>
      <c r="AI116" s="40662" t="s">
        <v>63</v>
      </c>
      <c r="AJ116" s="40660">
        <v>11.04</v>
      </c>
      <c r="AK116" s="40660"/>
      <c r="AL116" s="40661"/>
      <c r="AM116" s="40552">
        <v>45474.62763888889</v>
      </c>
      <c r="AN116" s="40662" t="s">
        <v>63</v>
      </c>
      <c r="AO116" s="40552">
        <v>45657.62792824074</v>
      </c>
      <c r="AP116" s="40662" t="s">
        <v>63</v>
      </c>
      <c r="AQ116" s="40660">
        <v>11.04</v>
      </c>
      <c r="AR116" s="40660"/>
      <c r="AS116" s="40661"/>
      <c r="AT116" s="40552">
        <v>45658.62819444444</v>
      </c>
      <c r="AU116" s="40662" t="s">
        <v>63</v>
      </c>
      <c r="AV116" s="40552">
        <v>45838.62835648148</v>
      </c>
      <c r="AW116" s="40662" t="s">
        <v>63</v>
      </c>
      <c r="AX116" s="40660">
        <v>13.13</v>
      </c>
      <c r="AY116" s="40660"/>
      <c r="AZ116" s="40661"/>
      <c r="BA116" s="40552">
        <v>45839.62875</v>
      </c>
      <c r="BB116" s="40662" t="s">
        <v>63</v>
      </c>
      <c r="BC116" s="40552">
        <v>46022.62893518519</v>
      </c>
      <c r="BD116" s="40662" t="s">
        <v>63</v>
      </c>
      <c r="BE116" s="40660">
        <v>13.13</v>
      </c>
      <c r="BF116" s="40660"/>
      <c r="BG116" s="40661"/>
      <c r="BH116" s="40552">
        <v>46023.629328703704</v>
      </c>
      <c r="BI116" s="40662" t="s">
        <v>63</v>
      </c>
      <c r="BJ116" s="40552">
        <v>46203.629537037035</v>
      </c>
      <c r="BK116" s="40662" t="s">
        <v>63</v>
      </c>
      <c r="BL116" s="40660">
        <v>13.79</v>
      </c>
      <c r="BM116" s="40660"/>
      <c r="BN116" s="40661"/>
      <c r="BO116" s="40552">
        <v>46204.629895833335</v>
      </c>
      <c r="BP116" s="40662" t="s">
        <v>63</v>
      </c>
      <c r="BQ116" s="40552">
        <v>46387.63006944444</v>
      </c>
      <c r="BR116" s="40662" t="s">
        <v>63</v>
      </c>
      <c r="BS116" s="40660">
        <v>13.79</v>
      </c>
      <c r="BT116" s="40660"/>
      <c r="BU116" s="40661"/>
      <c r="BV116" s="40552">
        <v>46388.63041666667</v>
      </c>
      <c r="BW116" s="40662" t="s">
        <v>63</v>
      </c>
      <c r="BX116" s="40552">
        <v>46568.63061342593</v>
      </c>
      <c r="BY116" s="40662" t="s">
        <v>63</v>
      </c>
      <c r="BZ116" s="40660">
        <v>14.34</v>
      </c>
      <c r="CA116" s="40660"/>
      <c r="CB116" s="40661"/>
      <c r="CC116" s="40552">
        <v>46569.631585648145</v>
      </c>
      <c r="CD116" s="40662" t="s">
        <v>63</v>
      </c>
      <c r="CE116" s="40552">
        <v>46752.63180555555</v>
      </c>
      <c r="CF116" s="40662" t="s">
        <v>63</v>
      </c>
      <c r="CG116" s="40660">
        <v>14.34</v>
      </c>
      <c r="CH116" s="40660"/>
      <c r="CI116" s="40661"/>
      <c r="CJ116" s="40552">
        <v>46753.632199074076</v>
      </c>
      <c r="CK116" s="40662" t="s">
        <v>63</v>
      </c>
      <c r="CL116" s="40552">
        <v>46934.63239583333</v>
      </c>
      <c r="CM116" s="40662" t="s">
        <v>63</v>
      </c>
      <c r="CN116" s="40660">
        <v>14.93</v>
      </c>
      <c r="CO116" s="40660"/>
      <c r="CP116" s="40661"/>
      <c r="CQ116" s="40552">
        <v>46935.632743055554</v>
      </c>
      <c r="CR116" s="40662" t="s">
        <v>63</v>
      </c>
      <c r="CS116" s="40552">
        <v>47118.63292824074</v>
      </c>
      <c r="CT116" s="40663" t="s">
        <v>63</v>
      </c>
      <c r="CU116" s="40664"/>
      <c r="CV116" s="406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116" s="40655">
        <f>STRCHECKDATE(V117:CU117)</f>
      </c>
      <c r="CX116" s="40656"/>
      <c r="CY116" s="40656" t="str">
        <f>IF(T116="","",T116)</f>
        <v/>
      </c>
      <c r="CZ116" s="40656"/>
      <c r="DA116" s="40656"/>
      <c r="DB116" s="40657">
        <v>0</v>
      </c>
    </row>
    <row s="50181" customFormat="1" customHeight="1" ht="14.25">
      <c r="A117" s="40638"/>
      <c r="B117" s="40638"/>
      <c r="C117" s="40638"/>
      <c r="D117" s="40638"/>
      <c r="E117" s="40639"/>
      <c r="F117" s="40639"/>
      <c r="G117" s="40639"/>
      <c r="H117" s="40639"/>
      <c r="I117" s="40640"/>
      <c r="J117" s="40640" t="str">
        <f>I110&amp;".1"</f>
        <v>1.4.3.1.1</v>
      </c>
      <c r="K117" s="40641"/>
      <c r="L117" s="40642"/>
      <c r="M117" s="40643"/>
      <c r="N117" s="40643"/>
      <c r="O117" s="40643"/>
      <c r="P117" s="40644"/>
      <c r="Q117" s="40644"/>
      <c r="R117" s="40646"/>
      <c r="S117" s="40667"/>
      <c r="T117" s="40649"/>
      <c r="U117" s="40649"/>
      <c r="V117" s="40668"/>
      <c r="W117" s="40668"/>
      <c r="X117" s="40669" t="str">
        <f>Y116&amp;"-"&amp;AA116</f>
        <v>-</v>
      </c>
      <c r="Y117" s="40670"/>
      <c r="Z117" s="40662"/>
      <c r="AA117" s="40670"/>
      <c r="AB117" s="40662"/>
      <c r="AC117" s="40668"/>
      <c r="AD117" s="40668"/>
      <c r="AE117" s="40669" t="str">
        <f>AF116&amp;"-"&amp;AH116</f>
        <v>45292.6271412037-45473.62746527778</v>
      </c>
      <c r="AF117" s="40670"/>
      <c r="AG117" s="40662"/>
      <c r="AH117" s="40671"/>
      <c r="AI117" s="40662"/>
      <c r="AJ117" s="40668"/>
      <c r="AK117" s="40668"/>
      <c r="AL117" s="40669" t="str">
        <f>AM116&amp;"-"&amp;AO116</f>
        <v>45474.62763888889-45657.62792824074</v>
      </c>
      <c r="AM117" s="40670"/>
      <c r="AN117" s="40662"/>
      <c r="AO117" s="40670"/>
      <c r="AP117" s="40662"/>
      <c r="AQ117" s="40668"/>
      <c r="AR117" s="40668"/>
      <c r="AS117" s="40669" t="str">
        <f>AT116&amp;"-"&amp;AV116</f>
        <v>45658.62819444444-45838.62835648148</v>
      </c>
      <c r="AT117" s="40670"/>
      <c r="AU117" s="40662"/>
      <c r="AV117" s="40670"/>
      <c r="AW117" s="40662"/>
      <c r="AX117" s="40668"/>
      <c r="AY117" s="40668"/>
      <c r="AZ117" s="40669" t="str">
        <f>BA116&amp;"-"&amp;BC116</f>
        <v>45839.62875-46022.62893518519</v>
      </c>
      <c r="BA117" s="40670"/>
      <c r="BB117" s="40662"/>
      <c r="BC117" s="40670"/>
      <c r="BD117" s="40662"/>
      <c r="BE117" s="40668"/>
      <c r="BF117" s="40668"/>
      <c r="BG117" s="40669" t="str">
        <f>BH116&amp;"-"&amp;BJ116</f>
        <v>46023.629328703704-46203.629537037035</v>
      </c>
      <c r="BH117" s="40670"/>
      <c r="BI117" s="40662"/>
      <c r="BJ117" s="40670"/>
      <c r="BK117" s="40662"/>
      <c r="BL117" s="40668"/>
      <c r="BM117" s="40668"/>
      <c r="BN117" s="40669" t="str">
        <f>BO116&amp;"-"&amp;BQ116</f>
        <v>46204.629895833335-46387.63006944444</v>
      </c>
      <c r="BO117" s="40670"/>
      <c r="BP117" s="40662"/>
      <c r="BQ117" s="40670"/>
      <c r="BR117" s="40662"/>
      <c r="BS117" s="40668"/>
      <c r="BT117" s="40668"/>
      <c r="BU117" s="40669" t="str">
        <f>BV116&amp;"-"&amp;BX116</f>
        <v>46388.63041666667-46568.63061342593</v>
      </c>
      <c r="BV117" s="40670"/>
      <c r="BW117" s="40662"/>
      <c r="BX117" s="40670"/>
      <c r="BY117" s="40662"/>
      <c r="BZ117" s="40668"/>
      <c r="CA117" s="40668"/>
      <c r="CB117" s="40669" t="str">
        <f>CC116&amp;"-"&amp;CE116</f>
        <v>46569.631585648145-46752.63180555555</v>
      </c>
      <c r="CC117" s="40670"/>
      <c r="CD117" s="40662"/>
      <c r="CE117" s="40670"/>
      <c r="CF117" s="40662"/>
      <c r="CG117" s="40668"/>
      <c r="CH117" s="40668"/>
      <c r="CI117" s="40669" t="str">
        <f>CJ116&amp;"-"&amp;CL116</f>
        <v>46753.632199074076-46934.63239583333</v>
      </c>
      <c r="CJ117" s="40670"/>
      <c r="CK117" s="40662"/>
      <c r="CL117" s="40670"/>
      <c r="CM117" s="40662"/>
      <c r="CN117" s="40668"/>
      <c r="CO117" s="40668"/>
      <c r="CP117" s="40669" t="str">
        <f>CQ116&amp;"-"&amp;CS116</f>
        <v>46935.632743055554-47118.63292824074</v>
      </c>
      <c r="CQ117" s="40670"/>
      <c r="CR117" s="40662"/>
      <c r="CS117" s="40670"/>
      <c r="CT117" s="40663"/>
      <c r="CU117" s="40672"/>
      <c r="CV117" s="40665"/>
      <c r="CW117" s="40655"/>
      <c r="CX117" s="40656"/>
      <c r="CY117" s="40656" t="str">
        <f>IF(T117="","",T117)</f>
        <v/>
      </c>
      <c r="CZ117" s="40656"/>
      <c r="DA117" s="40656"/>
      <c r="DB117" s="40657">
        <v>0</v>
      </c>
    </row>
    <row s="50182" customFormat="1" customHeight="1" ht="21">
      <c r="A118" s="40638"/>
      <c r="B118" s="40638"/>
      <c r="C118" s="40638"/>
      <c r="D118" s="40638"/>
      <c r="E118" s="40639"/>
      <c r="F118" s="40639"/>
      <c r="G118" s="40639"/>
      <c r="H118" s="40639"/>
      <c r="I118" s="40640"/>
      <c r="J118" s="40641" t="str">
        <f>I110&amp;".1"</f>
        <v>1.4.3.1.1</v>
      </c>
      <c r="K118" s="40638"/>
      <c r="L118" s="40642"/>
      <c r="M118" s="40643"/>
      <c r="N118" s="40643"/>
      <c r="O118" s="40643"/>
      <c r="P118" s="40644"/>
      <c r="Q118" s="40644"/>
      <c r="R118" s="40674"/>
      <c r="S118" s="41352"/>
      <c r="T118" s="41353" t="s">
        <v>601</v>
      </c>
      <c r="U118" s="41354"/>
      <c r="V118" s="41355"/>
      <c r="W118" s="41356"/>
      <c r="X118" s="41357"/>
      <c r="Y118" s="41358"/>
      <c r="Z118" s="41359"/>
      <c r="AA118" s="41360"/>
      <c r="AB118" s="41361"/>
      <c r="AC118" s="41362"/>
      <c r="AD118" s="41363"/>
      <c r="AE118" s="41364"/>
      <c r="AF118" s="41365"/>
      <c r="AG118" s="41366"/>
      <c r="AH118" s="41367"/>
      <c r="AI118" s="41368"/>
      <c r="AJ118" s="41369"/>
      <c r="AK118" s="41370"/>
      <c r="AL118" s="41371"/>
      <c r="AM118" s="41372"/>
      <c r="AN118" s="41373"/>
      <c r="AO118" s="41374"/>
      <c r="AP118" s="41375"/>
      <c r="AQ118" s="41376"/>
      <c r="AR118" s="41377"/>
      <c r="AS118" s="41378"/>
      <c r="AT118" s="41379"/>
      <c r="AU118" s="41380"/>
      <c r="AV118" s="41381"/>
      <c r="AW118" s="41382"/>
      <c r="AX118" s="41383"/>
      <c r="AY118" s="41384"/>
      <c r="AZ118" s="41385"/>
      <c r="BA118" s="41386"/>
      <c r="BB118" s="41387"/>
      <c r="BC118" s="41388"/>
      <c r="BD118" s="41389"/>
      <c r="BE118" s="41390"/>
      <c r="BF118" s="41391"/>
      <c r="BG118" s="41392"/>
      <c r="BH118" s="41393"/>
      <c r="BI118" s="41394"/>
      <c r="BJ118" s="41395"/>
      <c r="BK118" s="41396"/>
      <c r="BL118" s="41397"/>
      <c r="BM118" s="41398"/>
      <c r="BN118" s="41399"/>
      <c r="BO118" s="41400"/>
      <c r="BP118" s="41401"/>
      <c r="BQ118" s="41402"/>
      <c r="BR118" s="41403"/>
      <c r="BS118" s="41404"/>
      <c r="BT118" s="41405"/>
      <c r="BU118" s="41406"/>
      <c r="BV118" s="41407"/>
      <c r="BW118" s="41408"/>
      <c r="BX118" s="41409"/>
      <c r="BY118" s="41410"/>
      <c r="BZ118" s="41411"/>
      <c r="CA118" s="41412"/>
      <c r="CB118" s="41413"/>
      <c r="CC118" s="41414"/>
      <c r="CD118" s="41415"/>
      <c r="CE118" s="41416"/>
      <c r="CF118" s="41417"/>
      <c r="CG118" s="41418"/>
      <c r="CH118" s="41419"/>
      <c r="CI118" s="41420"/>
      <c r="CJ118" s="41421"/>
      <c r="CK118" s="41422"/>
      <c r="CL118" s="41423"/>
      <c r="CM118" s="41424"/>
      <c r="CN118" s="41425"/>
      <c r="CO118" s="41426"/>
      <c r="CP118" s="41427"/>
      <c r="CQ118" s="41428"/>
      <c r="CR118" s="41429"/>
      <c r="CS118" s="41430"/>
      <c r="CT118" s="41431"/>
      <c r="CU118" s="41432"/>
      <c r="CV118" s="40756" t="s">
        <v>602</v>
      </c>
      <c r="CW118" s="40655"/>
      <c r="CX118" s="40656"/>
      <c r="CY118" s="40656" t="str">
        <f>IF(T118="","",T118)</f>
        <v>Добавить значение признака дифференциации</v>
      </c>
      <c r="CZ118" s="40656"/>
      <c r="DA118" s="40656"/>
      <c r="DB118" s="40657">
        <v>0</v>
      </c>
    </row>
    <row s="50264" customFormat="1" customHeight="1" ht="21">
      <c r="A119" s="16967"/>
      <c r="B119" s="16967"/>
      <c r="C119" s="16967"/>
      <c r="D119" s="16967"/>
      <c r="E119" s="16968"/>
      <c r="F119" s="16968"/>
      <c r="G119" s="16968" t="s">
        <v>105</v>
      </c>
      <c r="H119" s="16968"/>
      <c r="I119" s="16989"/>
      <c r="J119" s="16967"/>
      <c r="K119" s="16967"/>
      <c r="L119" s="16970"/>
      <c r="M119" s="16990"/>
      <c r="N119" s="16990"/>
      <c r="O119" s="16990"/>
      <c r="P119" s="16991"/>
      <c r="Q119" s="16991"/>
      <c r="R119" s="16992"/>
      <c r="S119" s="18042"/>
      <c r="T119" s="18043" t="s">
        <v>530</v>
      </c>
      <c r="U119" s="18044"/>
      <c r="V119" s="18045"/>
      <c r="W119" s="18046"/>
      <c r="X119" s="18047"/>
      <c r="Y119" s="18048"/>
      <c r="Z119" s="18049"/>
      <c r="AA119" s="18050"/>
      <c r="AB119" s="18051"/>
      <c r="AC119" s="18052"/>
      <c r="AD119" s="18053"/>
      <c r="AE119" s="18054"/>
      <c r="AF119" s="18055"/>
      <c r="AG119" s="18056"/>
      <c r="AH119" s="18057"/>
      <c r="AI119" s="18058"/>
      <c r="AJ119" s="18059"/>
      <c r="AK119" s="18060"/>
      <c r="AL119" s="18061"/>
      <c r="AM119" s="18062"/>
      <c r="AN119" s="18063"/>
      <c r="AO119" s="18064"/>
      <c r="AP119" s="18065"/>
      <c r="AQ119" s="18066"/>
      <c r="AR119" s="18067"/>
      <c r="AS119" s="18068"/>
      <c r="AT119" s="18069"/>
      <c r="AU119" s="18070"/>
      <c r="AV119" s="18071"/>
      <c r="AW119" s="18072"/>
      <c r="AX119" s="18073"/>
      <c r="AY119" s="18074"/>
      <c r="AZ119" s="18075"/>
      <c r="BA119" s="18076"/>
      <c r="BB119" s="18077"/>
      <c r="BC119" s="18078"/>
      <c r="BD119" s="18079"/>
      <c r="BE119" s="18080"/>
      <c r="BF119" s="18081"/>
      <c r="BG119" s="18082"/>
      <c r="BH119" s="18083"/>
      <c r="BI119" s="18084"/>
      <c r="BJ119" s="18085"/>
      <c r="BK119" s="18086"/>
      <c r="BL119" s="18087"/>
      <c r="BM119" s="18088"/>
      <c r="BN119" s="18089"/>
      <c r="BO119" s="18090"/>
      <c r="BP119" s="18091"/>
      <c r="BQ119" s="18092"/>
      <c r="BR119" s="18093"/>
      <c r="BS119" s="18094"/>
      <c r="BT119" s="18095"/>
      <c r="BU119" s="18096"/>
      <c r="BV119" s="18097"/>
      <c r="BW119" s="18098"/>
      <c r="BX119" s="18099"/>
      <c r="BY119" s="18100"/>
      <c r="BZ119" s="18101"/>
      <c r="CA119" s="18102"/>
      <c r="CB119" s="18103"/>
      <c r="CC119" s="18104"/>
      <c r="CD119" s="18105"/>
      <c r="CE119" s="18106"/>
      <c r="CF119" s="18107"/>
      <c r="CG119" s="18108"/>
      <c r="CH119" s="18109"/>
      <c r="CI119" s="18110"/>
      <c r="CJ119" s="18111"/>
      <c r="CK119" s="18112"/>
      <c r="CL119" s="18113"/>
      <c r="CM119" s="18114"/>
      <c r="CN119" s="25499"/>
      <c r="CO119" s="25500"/>
      <c r="CP119" s="25501"/>
      <c r="CQ119" s="25502"/>
      <c r="CR119" s="25503"/>
      <c r="CS119" s="25504"/>
      <c r="CT119" s="25505"/>
      <c r="CU119" s="18115"/>
      <c r="CV119" s="18116"/>
      <c r="CW119" s="16982"/>
      <c r="CX119" s="16983"/>
      <c r="CY119" s="16983" t="str">
        <f>IF(T119="","",T119)</f>
        <v>Добавить группу потребителей</v>
      </c>
      <c r="CZ119" s="16983"/>
      <c r="DA119" s="16983"/>
      <c r="DB119" s="16984">
        <v>0</v>
      </c>
    </row>
    <row s="50347" customFormat="1" customHeight="1" ht="21">
      <c r="A120" s="16967"/>
      <c r="B120" s="16967"/>
      <c r="C120" s="16967"/>
      <c r="D120" s="16967"/>
      <c r="E120" s="16968"/>
      <c r="F120" s="16968"/>
      <c r="G120" s="16968" t="s">
        <v>105</v>
      </c>
      <c r="H120" s="16969"/>
      <c r="I120" s="16967"/>
      <c r="J120" s="16967"/>
      <c r="K120" s="16967"/>
      <c r="L120" s="16970"/>
      <c r="M120" s="16971"/>
      <c r="N120" s="16971"/>
      <c r="O120" s="17174"/>
      <c r="P120" s="17175"/>
      <c r="Q120" s="17176"/>
      <c r="R120" s="17177"/>
      <c r="S120" s="18118"/>
      <c r="T120" s="18119" t="s">
        <v>603</v>
      </c>
      <c r="U120" s="18120"/>
      <c r="V120" s="18121"/>
      <c r="W120" s="18122"/>
      <c r="X120" s="18123"/>
      <c r="Y120" s="18124"/>
      <c r="Z120" s="18125"/>
      <c r="AA120" s="18126"/>
      <c r="AB120" s="18127"/>
      <c r="AC120" s="18128"/>
      <c r="AD120" s="18129"/>
      <c r="AE120" s="18130"/>
      <c r="AF120" s="18131"/>
      <c r="AG120" s="18132"/>
      <c r="AH120" s="18133"/>
      <c r="AI120" s="18134"/>
      <c r="AJ120" s="18135"/>
      <c r="AK120" s="18136"/>
      <c r="AL120" s="18137"/>
      <c r="AM120" s="18138"/>
      <c r="AN120" s="18139"/>
      <c r="AO120" s="18140"/>
      <c r="AP120" s="18141"/>
      <c r="AQ120" s="18142"/>
      <c r="AR120" s="18143"/>
      <c r="AS120" s="18144"/>
      <c r="AT120" s="18145"/>
      <c r="AU120" s="18146"/>
      <c r="AV120" s="18147"/>
      <c r="AW120" s="18148"/>
      <c r="AX120" s="18149"/>
      <c r="AY120" s="18150"/>
      <c r="AZ120" s="18151"/>
      <c r="BA120" s="18152"/>
      <c r="BB120" s="18153"/>
      <c r="BC120" s="18154"/>
      <c r="BD120" s="18155"/>
      <c r="BE120" s="18156"/>
      <c r="BF120" s="18157"/>
      <c r="BG120" s="18158"/>
      <c r="BH120" s="18159"/>
      <c r="BI120" s="18160"/>
      <c r="BJ120" s="18161"/>
      <c r="BK120" s="18162"/>
      <c r="BL120" s="18163"/>
      <c r="BM120" s="18164"/>
      <c r="BN120" s="18165"/>
      <c r="BO120" s="18166"/>
      <c r="BP120" s="18167"/>
      <c r="BQ120" s="18168"/>
      <c r="BR120" s="18169"/>
      <c r="BS120" s="18170"/>
      <c r="BT120" s="18171"/>
      <c r="BU120" s="18172"/>
      <c r="BV120" s="18173"/>
      <c r="BW120" s="18174"/>
      <c r="BX120" s="18175"/>
      <c r="BY120" s="18176"/>
      <c r="BZ120" s="18177"/>
      <c r="CA120" s="18178"/>
      <c r="CB120" s="18179"/>
      <c r="CC120" s="18180"/>
      <c r="CD120" s="18181"/>
      <c r="CE120" s="18182"/>
      <c r="CF120" s="18183"/>
      <c r="CG120" s="18184"/>
      <c r="CH120" s="18185"/>
      <c r="CI120" s="18186"/>
      <c r="CJ120" s="18187"/>
      <c r="CK120" s="18188"/>
      <c r="CL120" s="18189"/>
      <c r="CM120" s="18190"/>
      <c r="CN120" s="25582"/>
      <c r="CO120" s="25583"/>
      <c r="CP120" s="25584"/>
      <c r="CQ120" s="25585"/>
      <c r="CR120" s="25586"/>
      <c r="CS120" s="25587"/>
      <c r="CT120" s="25588"/>
      <c r="CU120" s="18191"/>
      <c r="CV120" s="18192"/>
      <c r="CW120" s="16982"/>
      <c r="CX120" s="16983"/>
      <c r="CY120" s="16983" t="str">
        <f>IF(T120="","",T120)</f>
        <v>Добавить наименование признака дифференциации</v>
      </c>
      <c r="CZ120" s="16983"/>
      <c r="DA120" s="16983"/>
      <c r="DB120" s="16984">
        <v>0</v>
      </c>
    </row>
    <row s="50430" customFormat="1" customHeight="1" ht="23.25">
      <c r="A121" s="16967"/>
      <c r="B121" s="16967"/>
      <c r="C121" s="16967" t="s">
        <v>341</v>
      </c>
      <c r="D121" s="16967"/>
      <c r="E121" s="16968"/>
      <c r="F121" s="16968"/>
      <c r="G121" s="16969" t="s">
        <v>93</v>
      </c>
      <c r="H121" s="16967"/>
      <c r="I121" s="16967"/>
      <c r="J121" s="16967"/>
      <c r="K121" s="16967"/>
      <c r="L121" s="16970"/>
      <c r="M121" s="16971"/>
      <c r="N121" s="16971"/>
      <c r="O121" s="16971"/>
      <c r="P121" s="16986"/>
      <c r="Q121" s="16973"/>
      <c r="R121" s="16974"/>
      <c r="S121" s="16975" t="str">
        <f>INDEX(PT_DIFFERENTIATION_NUM_CS,MATCH(C121,PT_DIFFERENTIATION_CS_ID,0))</f>
        <v>1.4.4</v>
      </c>
      <c r="T121" s="16987" t="s">
        <v>631</v>
      </c>
      <c r="U121" s="16977"/>
      <c r="V121" s="16978"/>
      <c r="W121" s="16979"/>
      <c r="X121" s="16979"/>
      <c r="Y121" s="16979"/>
      <c r="Z121" s="16979"/>
      <c r="AA121" s="16979"/>
      <c r="AB121" s="16980"/>
      <c r="AC121" s="16978" t="str">
        <f>INDEX(PT_DIFFERENTIATION_CS,MATCH(C121,PT_DIFFERENTIATION_CS_ID,0))</f>
        <v>пгт. Посьет</v>
      </c>
      <c r="AD121" s="16979"/>
      <c r="AE121" s="16979"/>
      <c r="AF121" s="16979"/>
      <c r="AG121" s="16979"/>
      <c r="AH121" s="16979"/>
      <c r="AI121" s="16979"/>
      <c r="AJ121" s="16978"/>
      <c r="AK121" s="16979"/>
      <c r="AL121" s="16979"/>
      <c r="AM121" s="16979"/>
      <c r="AN121" s="16979"/>
      <c r="AO121" s="16979"/>
      <c r="AP121" s="16980"/>
      <c r="AQ121" s="16978"/>
      <c r="AR121" s="16979"/>
      <c r="AS121" s="16979"/>
      <c r="AT121" s="16979"/>
      <c r="AU121" s="16979"/>
      <c r="AV121" s="16979"/>
      <c r="AW121" s="16980"/>
      <c r="AX121" s="16978"/>
      <c r="AY121" s="16979"/>
      <c r="AZ121" s="16979"/>
      <c r="BA121" s="16979"/>
      <c r="BB121" s="16979"/>
      <c r="BC121" s="16979"/>
      <c r="BD121" s="16980"/>
      <c r="BE121" s="16978"/>
      <c r="BF121" s="16979"/>
      <c r="BG121" s="16979"/>
      <c r="BH121" s="16979"/>
      <c r="BI121" s="16979"/>
      <c r="BJ121" s="16979"/>
      <c r="BK121" s="16980"/>
      <c r="BL121" s="16978"/>
      <c r="BM121" s="16979"/>
      <c r="BN121" s="16979"/>
      <c r="BO121" s="16979"/>
      <c r="BP121" s="16979"/>
      <c r="BQ121" s="16979"/>
      <c r="BR121" s="16980"/>
      <c r="BS121" s="16978"/>
      <c r="BT121" s="16979"/>
      <c r="BU121" s="16979"/>
      <c r="BV121" s="16979"/>
      <c r="BW121" s="16979"/>
      <c r="BX121" s="16979"/>
      <c r="BY121" s="16980"/>
      <c r="BZ121" s="16978"/>
      <c r="CA121" s="16979"/>
      <c r="CB121" s="16979"/>
      <c r="CC121" s="16979"/>
      <c r="CD121" s="16979"/>
      <c r="CE121" s="16979"/>
      <c r="CF121" s="16980"/>
      <c r="CG121" s="16978"/>
      <c r="CH121" s="16979"/>
      <c r="CI121" s="16979"/>
      <c r="CJ121" s="16979"/>
      <c r="CK121" s="16979"/>
      <c r="CL121" s="16979"/>
      <c r="CM121" s="16980"/>
      <c r="CN121" s="23679"/>
      <c r="CO121" s="23680"/>
      <c r="CP121" s="23680"/>
      <c r="CQ121" s="23680"/>
      <c r="CR121" s="23680"/>
      <c r="CS121" s="23680"/>
      <c r="CT121" s="23681"/>
      <c r="CU121" s="16980"/>
      <c r="CV121" s="16981" t="s">
        <v>632</v>
      </c>
      <c r="CW121" s="16982"/>
      <c r="CX121" s="16983"/>
      <c r="CY121" s="16983" t="str">
        <f>IF(T121="","",T121)</f>
        <v>Наименование централизованной системы водоотведения</v>
      </c>
      <c r="CZ121" s="16983"/>
      <c r="DA121" s="16983"/>
      <c r="DB121" s="16984">
        <v>0</v>
      </c>
    </row>
    <row s="50431" customFormat="1" customHeight="1" ht="23.25">
      <c r="A122" s="16967"/>
      <c r="B122" s="16967"/>
      <c r="C122" s="16967"/>
      <c r="D122" s="16967"/>
      <c r="E122" s="16968"/>
      <c r="F122" s="16968"/>
      <c r="G122" s="16968" t="s">
        <v>92</v>
      </c>
      <c r="H122" s="16968"/>
      <c r="I122" s="16989" t="str">
        <f>S121&amp;".1"</f>
        <v>1.4.4.1</v>
      </c>
      <c r="J122" s="16967"/>
      <c r="K122" s="16967"/>
      <c r="L122" s="16970"/>
      <c r="M122" s="16990"/>
      <c r="N122" s="16990"/>
      <c r="O122" s="16990"/>
      <c r="P122" s="16991">
        <v>1</v>
      </c>
      <c r="Q122" s="16991"/>
      <c r="R122" s="16992"/>
      <c r="S122" s="16975" t="str">
        <f>$I122</f>
        <v>1.4.4.1</v>
      </c>
      <c r="T122" s="16993" t="s">
        <v>598</v>
      </c>
      <c r="U122" s="16977"/>
      <c r="V122" s="16994"/>
      <c r="W122" s="16995"/>
      <c r="X122" s="16995"/>
      <c r="Y122" s="16995"/>
      <c r="Z122" s="16995"/>
      <c r="AA122" s="16995"/>
      <c r="AB122" s="16996"/>
      <c r="AC122" s="16997"/>
      <c r="AD122" s="16998"/>
      <c r="AE122" s="16998"/>
      <c r="AF122" s="16998"/>
      <c r="AG122" s="16998"/>
      <c r="AH122" s="16998"/>
      <c r="AI122" s="16998"/>
      <c r="AJ122" s="16994"/>
      <c r="AK122" s="16995"/>
      <c r="AL122" s="16995"/>
      <c r="AM122" s="16995"/>
      <c r="AN122" s="16995"/>
      <c r="AO122" s="16995"/>
      <c r="AP122" s="16996"/>
      <c r="AQ122" s="16994"/>
      <c r="AR122" s="16995"/>
      <c r="AS122" s="16995"/>
      <c r="AT122" s="16995"/>
      <c r="AU122" s="16995"/>
      <c r="AV122" s="16995"/>
      <c r="AW122" s="16996"/>
      <c r="AX122" s="16994"/>
      <c r="AY122" s="16995"/>
      <c r="AZ122" s="16995"/>
      <c r="BA122" s="16995"/>
      <c r="BB122" s="16995"/>
      <c r="BC122" s="16995"/>
      <c r="BD122" s="16996"/>
      <c r="BE122" s="16994"/>
      <c r="BF122" s="16995"/>
      <c r="BG122" s="16995"/>
      <c r="BH122" s="16995"/>
      <c r="BI122" s="16995"/>
      <c r="BJ122" s="16995"/>
      <c r="BK122" s="16996"/>
      <c r="BL122" s="16994"/>
      <c r="BM122" s="16995"/>
      <c r="BN122" s="16995"/>
      <c r="BO122" s="16995"/>
      <c r="BP122" s="16995"/>
      <c r="BQ122" s="16995"/>
      <c r="BR122" s="16996"/>
      <c r="BS122" s="16994"/>
      <c r="BT122" s="16995"/>
      <c r="BU122" s="16995"/>
      <c r="BV122" s="16995"/>
      <c r="BW122" s="16995"/>
      <c r="BX122" s="16995"/>
      <c r="BY122" s="16996"/>
      <c r="BZ122" s="16994"/>
      <c r="CA122" s="16995"/>
      <c r="CB122" s="16995"/>
      <c r="CC122" s="16995"/>
      <c r="CD122" s="16995"/>
      <c r="CE122" s="16995"/>
      <c r="CF122" s="16996"/>
      <c r="CG122" s="16994"/>
      <c r="CH122" s="16995"/>
      <c r="CI122" s="16995"/>
      <c r="CJ122" s="16995"/>
      <c r="CK122" s="16995"/>
      <c r="CL122" s="16995"/>
      <c r="CM122" s="16996"/>
      <c r="CN122" s="23687"/>
      <c r="CO122" s="23688"/>
      <c r="CP122" s="23688"/>
      <c r="CQ122" s="23688"/>
      <c r="CR122" s="23688"/>
      <c r="CS122" s="23688"/>
      <c r="CT122" s="23689"/>
      <c r="CU122" s="16999"/>
      <c r="CV122" s="16981" t="s">
        <v>599</v>
      </c>
      <c r="CW122" s="16982"/>
      <c r="CX122" s="16983"/>
      <c r="CY122" s="16983" t="str">
        <f>IF(T122="","",T122)</f>
        <v>Наименование признака дифференциации</v>
      </c>
      <c r="CZ122" s="16983"/>
      <c r="DA122" s="16983"/>
      <c r="DB122" s="16984">
        <v>0</v>
      </c>
    </row>
    <row s="50432" customFormat="1" customHeight="1" ht="23.25">
      <c r="A123" s="16967"/>
      <c r="B123" s="16967"/>
      <c r="C123" s="16967"/>
      <c r="D123" s="16967"/>
      <c r="E123" s="16968"/>
      <c r="F123" s="16968"/>
      <c r="G123" s="16968" t="s">
        <v>92</v>
      </c>
      <c r="H123" s="16968"/>
      <c r="I123" s="17001"/>
      <c r="J123" s="16989" t="str">
        <f>I122&amp;".1"</f>
        <v>1.4.4.1.1</v>
      </c>
      <c r="K123" s="16967"/>
      <c r="L123" s="16970" t="s">
        <v>524</v>
      </c>
      <c r="M123" s="16990"/>
      <c r="N123" s="16990"/>
      <c r="O123" s="16990"/>
      <c r="P123" s="16991"/>
      <c r="Q123" s="16991">
        <v>1</v>
      </c>
      <c r="R123" s="17002"/>
      <c r="S123" s="16975" t="str">
        <f>$J123</f>
        <v>1.4.4.1.1</v>
      </c>
      <c r="T123" s="17003" t="s">
        <v>525</v>
      </c>
      <c r="U123" s="16977"/>
      <c r="V123" s="17004"/>
      <c r="W123" s="17005"/>
      <c r="X123" s="17005"/>
      <c r="Y123" s="17005"/>
      <c r="Z123" s="17005"/>
      <c r="AA123" s="17005"/>
      <c r="AB123" s="17006"/>
      <c r="AC123" s="17004" t="s">
        <v>636</v>
      </c>
      <c r="AD123" s="17005"/>
      <c r="AE123" s="17005"/>
      <c r="AF123" s="17005"/>
      <c r="AG123" s="17005"/>
      <c r="AH123" s="17005"/>
      <c r="AI123" s="17005"/>
      <c r="AJ123" s="17004"/>
      <c r="AK123" s="17005"/>
      <c r="AL123" s="17005"/>
      <c r="AM123" s="17005"/>
      <c r="AN123" s="17005"/>
      <c r="AO123" s="17005"/>
      <c r="AP123" s="17006"/>
      <c r="AQ123" s="17004"/>
      <c r="AR123" s="17005"/>
      <c r="AS123" s="17005"/>
      <c r="AT123" s="17005"/>
      <c r="AU123" s="17005"/>
      <c r="AV123" s="17005"/>
      <c r="AW123" s="17006"/>
      <c r="AX123" s="17004"/>
      <c r="AY123" s="17005"/>
      <c r="AZ123" s="17005"/>
      <c r="BA123" s="17005"/>
      <c r="BB123" s="17005"/>
      <c r="BC123" s="17005"/>
      <c r="BD123" s="17006"/>
      <c r="BE123" s="17004"/>
      <c r="BF123" s="17005"/>
      <c r="BG123" s="17005"/>
      <c r="BH123" s="17005"/>
      <c r="BI123" s="17005"/>
      <c r="BJ123" s="17005"/>
      <c r="BK123" s="17006"/>
      <c r="BL123" s="17004"/>
      <c r="BM123" s="17005"/>
      <c r="BN123" s="17005"/>
      <c r="BO123" s="17005"/>
      <c r="BP123" s="17005"/>
      <c r="BQ123" s="17005"/>
      <c r="BR123" s="17006"/>
      <c r="BS123" s="17004"/>
      <c r="BT123" s="17005"/>
      <c r="BU123" s="17005"/>
      <c r="BV123" s="17005"/>
      <c r="BW123" s="17005"/>
      <c r="BX123" s="17005"/>
      <c r="BY123" s="17006"/>
      <c r="BZ123" s="17004"/>
      <c r="CA123" s="17005"/>
      <c r="CB123" s="17005"/>
      <c r="CC123" s="17005"/>
      <c r="CD123" s="17005"/>
      <c r="CE123" s="17005"/>
      <c r="CF123" s="17006"/>
      <c r="CG123" s="17004"/>
      <c r="CH123" s="17005"/>
      <c r="CI123" s="17005"/>
      <c r="CJ123" s="17005"/>
      <c r="CK123" s="17005"/>
      <c r="CL123" s="17005"/>
      <c r="CM123" s="17006"/>
      <c r="CN123" s="23693"/>
      <c r="CO123" s="23694"/>
      <c r="CP123" s="23694"/>
      <c r="CQ123" s="23694"/>
      <c r="CR123" s="23694"/>
      <c r="CS123" s="23694"/>
      <c r="CT123" s="23695"/>
      <c r="CU123" s="17006"/>
      <c r="CV123" s="17007" t="s">
        <v>600</v>
      </c>
      <c r="CW123" s="16982"/>
      <c r="CX123" s="16983"/>
      <c r="CY123" s="16983" t="str">
        <f>IF(T123="","",T123)</f>
        <v>Группа потребителей</v>
      </c>
      <c r="CZ123" s="16983"/>
      <c r="DA123" s="16983"/>
      <c r="DB123" s="16984">
        <v>0</v>
      </c>
    </row>
    <row s="50433" customFormat="1" customHeight="1" ht="23.25">
      <c r="A124" s="16967"/>
      <c r="B124" s="16967"/>
      <c r="C124" s="16967"/>
      <c r="D124" s="16967"/>
      <c r="E124" s="16968"/>
      <c r="F124" s="16968"/>
      <c r="G124" s="16968" t="s">
        <v>92</v>
      </c>
      <c r="H124" s="16968"/>
      <c r="I124" s="17001"/>
      <c r="J124" s="17001"/>
      <c r="K124" s="16989" t="str">
        <f>J123&amp;".1"</f>
        <v>1.4.4.1.1.1</v>
      </c>
      <c r="L124" s="16970"/>
      <c r="M124" s="16990"/>
      <c r="N124" s="16990"/>
      <c r="O124" s="16990"/>
      <c r="P124" s="16991"/>
      <c r="Q124" s="16991"/>
      <c r="R124" s="17002">
        <v>1</v>
      </c>
      <c r="S124" s="16975" t="str">
        <f>$K124</f>
        <v>1.4.4.1.1.1</v>
      </c>
      <c r="T124" s="17009"/>
      <c r="U124" s="16977"/>
      <c r="V124" s="17010"/>
      <c r="W124" s="17010"/>
      <c r="X124" s="17011"/>
      <c r="Y124" s="16696"/>
      <c r="Z124" s="17012" t="s">
        <v>63</v>
      </c>
      <c r="AA124" s="16696"/>
      <c r="AB124" s="17012" t="s">
        <v>63</v>
      </c>
      <c r="AC124" s="17010">
        <v>10.51</v>
      </c>
      <c r="AD124" s="17010"/>
      <c r="AE124" s="17011"/>
      <c r="AF124" s="40552">
        <v>45292.63858796296</v>
      </c>
      <c r="AG124" s="17012" t="s">
        <v>63</v>
      </c>
      <c r="AH124" s="40553">
        <v>45473.638761574075</v>
      </c>
      <c r="AI124" s="17012" t="s">
        <v>63</v>
      </c>
      <c r="AJ124" s="17010">
        <v>13.67</v>
      </c>
      <c r="AK124" s="17010"/>
      <c r="AL124" s="17011"/>
      <c r="AM124" s="40552">
        <v>45474.63895833334</v>
      </c>
      <c r="AN124" s="17012" t="s">
        <v>63</v>
      </c>
      <c r="AO124" s="40552">
        <v>45657.639074074075</v>
      </c>
      <c r="AP124" s="17012" t="s">
        <v>63</v>
      </c>
      <c r="AQ124" s="17010">
        <v>13.67</v>
      </c>
      <c r="AR124" s="17010"/>
      <c r="AS124" s="17011"/>
      <c r="AT124" s="40552">
        <v>45658.63940972222</v>
      </c>
      <c r="AU124" s="17012" t="s">
        <v>63</v>
      </c>
      <c r="AV124" s="40552">
        <v>45838.63957175926</v>
      </c>
      <c r="AW124" s="17012" t="s">
        <v>63</v>
      </c>
      <c r="AX124" s="17010">
        <v>16.88</v>
      </c>
      <c r="AY124" s="17010"/>
      <c r="AZ124" s="17011"/>
      <c r="BA124" s="40552">
        <v>45839.64005787037</v>
      </c>
      <c r="BB124" s="17012" t="s">
        <v>63</v>
      </c>
      <c r="BC124" s="40552">
        <v>46022.640335648146</v>
      </c>
      <c r="BD124" s="17012" t="s">
        <v>63</v>
      </c>
      <c r="BE124" s="17010">
        <v>16.88</v>
      </c>
      <c r="BF124" s="17010"/>
      <c r="BG124" s="17011"/>
      <c r="BH124" s="40552">
        <v>46023.64061342592</v>
      </c>
      <c r="BI124" s="17012" t="s">
        <v>63</v>
      </c>
      <c r="BJ124" s="40552">
        <v>46203.64082175926</v>
      </c>
      <c r="BK124" s="17012" t="s">
        <v>63</v>
      </c>
      <c r="BL124" s="17010">
        <v>16.93</v>
      </c>
      <c r="BM124" s="17010"/>
      <c r="BN124" s="17011"/>
      <c r="BO124" s="40552">
        <v>46204.64148148148</v>
      </c>
      <c r="BP124" s="17012" t="s">
        <v>63</v>
      </c>
      <c r="BQ124" s="40552">
        <v>46387.64179398148</v>
      </c>
      <c r="BR124" s="17012" t="s">
        <v>63</v>
      </c>
      <c r="BS124" s="17010">
        <v>16.93</v>
      </c>
      <c r="BT124" s="17010"/>
      <c r="BU124" s="17011"/>
      <c r="BV124" s="40552">
        <v>46388.642916666664</v>
      </c>
      <c r="BW124" s="17012" t="s">
        <v>63</v>
      </c>
      <c r="BX124" s="40552">
        <v>46568.64329861111</v>
      </c>
      <c r="BY124" s="17012" t="s">
        <v>63</v>
      </c>
      <c r="BZ124" s="17010">
        <v>17.02</v>
      </c>
      <c r="CA124" s="17010"/>
      <c r="CB124" s="17011"/>
      <c r="CC124" s="40552">
        <v>46569.64368055556</v>
      </c>
      <c r="CD124" s="17012" t="s">
        <v>63</v>
      </c>
      <c r="CE124" s="40552">
        <v>46752.643912037034</v>
      </c>
      <c r="CF124" s="17012" t="s">
        <v>63</v>
      </c>
      <c r="CG124" s="17010">
        <v>17.02</v>
      </c>
      <c r="CH124" s="17010"/>
      <c r="CI124" s="17011"/>
      <c r="CJ124" s="40552">
        <v>46753.644328703704</v>
      </c>
      <c r="CK124" s="17012" t="s">
        <v>63</v>
      </c>
      <c r="CL124" s="40552">
        <v>46934.64460648148</v>
      </c>
      <c r="CM124" s="17012" t="s">
        <v>63</v>
      </c>
      <c r="CN124" s="23700">
        <v>17.12</v>
      </c>
      <c r="CO124" s="23700"/>
      <c r="CP124" s="23701"/>
      <c r="CQ124" s="40552">
        <v>46935.64488425926</v>
      </c>
      <c r="CR124" s="23703" t="s">
        <v>63</v>
      </c>
      <c r="CS124" s="40552">
        <v>47118.64523148148</v>
      </c>
      <c r="CT124" s="23703" t="s">
        <v>63</v>
      </c>
      <c r="CU124" s="17013"/>
      <c r="CV124" s="170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124" s="16982">
        <f>STRCHECKDATE(V125:CU125)</f>
      </c>
      <c r="CX124" s="16983"/>
      <c r="CY124" s="16983" t="str">
        <f>IF(T124="","",T124)</f>
        <v/>
      </c>
      <c r="CZ124" s="16983"/>
      <c r="DA124" s="16983"/>
      <c r="DB124" s="16984">
        <v>0</v>
      </c>
    </row>
    <row s="50434" customFormat="1" customHeight="1" ht="14.25">
      <c r="A125" s="16967"/>
      <c r="B125" s="16967"/>
      <c r="C125" s="16967"/>
      <c r="D125" s="16967"/>
      <c r="E125" s="16968"/>
      <c r="F125" s="16968"/>
      <c r="G125" s="16968" t="s">
        <v>92</v>
      </c>
      <c r="H125" s="16968"/>
      <c r="I125" s="17001"/>
      <c r="J125" s="17001"/>
      <c r="K125" s="16989"/>
      <c r="L125" s="16970"/>
      <c r="M125" s="16990"/>
      <c r="N125" s="16990"/>
      <c r="O125" s="16990"/>
      <c r="P125" s="16991"/>
      <c r="Q125" s="16991"/>
      <c r="R125" s="17002"/>
      <c r="S125" s="17016"/>
      <c r="T125" s="16977"/>
      <c r="U125" s="16977"/>
      <c r="V125" s="17017"/>
      <c r="W125" s="17017"/>
      <c r="X125" s="17018" t="str">
        <f>Y124&amp;"-"&amp;AA124</f>
        <v>-</v>
      </c>
      <c r="Y125" s="17019"/>
      <c r="Z125" s="17012"/>
      <c r="AA125" s="17019"/>
      <c r="AB125" s="17012"/>
      <c r="AC125" s="17017"/>
      <c r="AD125" s="17017"/>
      <c r="AE125" s="17018" t="str">
        <f>AF124&amp;"-"&amp;AH124</f>
        <v>45292.63858796296-45473.638761574075</v>
      </c>
      <c r="AF125" s="17019"/>
      <c r="AG125" s="17012"/>
      <c r="AH125" s="17020"/>
      <c r="AI125" s="17012"/>
      <c r="AJ125" s="17017"/>
      <c r="AK125" s="17017"/>
      <c r="AL125" s="17018" t="str">
        <f>AM124&amp;"-"&amp;AO124</f>
        <v>45474.63895833334-45657.639074074075</v>
      </c>
      <c r="AM125" s="17019"/>
      <c r="AN125" s="17012"/>
      <c r="AO125" s="17019"/>
      <c r="AP125" s="17012"/>
      <c r="AQ125" s="17017"/>
      <c r="AR125" s="17017"/>
      <c r="AS125" s="17018" t="str">
        <f>AT124&amp;"-"&amp;AV124</f>
        <v>45658.63940972222-45838.63957175926</v>
      </c>
      <c r="AT125" s="17019"/>
      <c r="AU125" s="17012"/>
      <c r="AV125" s="17019"/>
      <c r="AW125" s="17012"/>
      <c r="AX125" s="17017"/>
      <c r="AY125" s="17017"/>
      <c r="AZ125" s="17018" t="str">
        <f>BA124&amp;"-"&amp;BC124</f>
        <v>45839.64005787037-46022.640335648146</v>
      </c>
      <c r="BA125" s="17019"/>
      <c r="BB125" s="17012"/>
      <c r="BC125" s="17019"/>
      <c r="BD125" s="17012"/>
      <c r="BE125" s="17017"/>
      <c r="BF125" s="17017"/>
      <c r="BG125" s="17018" t="str">
        <f>BH124&amp;"-"&amp;BJ124</f>
        <v>46023.64061342592-46203.64082175926</v>
      </c>
      <c r="BH125" s="17019"/>
      <c r="BI125" s="17012"/>
      <c r="BJ125" s="17019"/>
      <c r="BK125" s="17012"/>
      <c r="BL125" s="17017"/>
      <c r="BM125" s="17017"/>
      <c r="BN125" s="17018" t="str">
        <f>BO124&amp;"-"&amp;BQ124</f>
        <v>46204.64148148148-46387.64179398148</v>
      </c>
      <c r="BO125" s="17019"/>
      <c r="BP125" s="17012"/>
      <c r="BQ125" s="17019"/>
      <c r="BR125" s="17012"/>
      <c r="BS125" s="17017"/>
      <c r="BT125" s="17017"/>
      <c r="BU125" s="17018" t="str">
        <f>BV124&amp;"-"&amp;BX124</f>
        <v>46388.642916666664-46568.64329861111</v>
      </c>
      <c r="BV125" s="17019"/>
      <c r="BW125" s="17012"/>
      <c r="BX125" s="17019"/>
      <c r="BY125" s="17012"/>
      <c r="BZ125" s="17017"/>
      <c r="CA125" s="17017"/>
      <c r="CB125" s="17018" t="str">
        <f>CC124&amp;"-"&amp;CE124</f>
        <v>46569.64368055556-46752.643912037034</v>
      </c>
      <c r="CC125" s="17019"/>
      <c r="CD125" s="17012"/>
      <c r="CE125" s="17019"/>
      <c r="CF125" s="17012"/>
      <c r="CG125" s="17017"/>
      <c r="CH125" s="17017"/>
      <c r="CI125" s="17018" t="str">
        <f>CJ124&amp;"-"&amp;CL124</f>
        <v>46753.644328703704-46934.64460648148</v>
      </c>
      <c r="CJ125" s="17019"/>
      <c r="CK125" s="17012"/>
      <c r="CL125" s="17019"/>
      <c r="CM125" s="17012"/>
      <c r="CN125" s="23708"/>
      <c r="CO125" s="23708"/>
      <c r="CP125" s="23709" t="str">
        <f>CQ124&amp;"-"&amp;CS124</f>
        <v>46935.64488425926-47118.64523148148</v>
      </c>
      <c r="CQ125" s="23710"/>
      <c r="CR125" s="23703"/>
      <c r="CS125" s="23710"/>
      <c r="CT125" s="23703"/>
      <c r="CU125" s="17021"/>
      <c r="CV125" s="17014"/>
      <c r="CW125" s="16982"/>
      <c r="CX125" s="16983"/>
      <c r="CY125" s="16983" t="str">
        <f>IF(T125="","",T125)</f>
        <v/>
      </c>
      <c r="CZ125" s="16983"/>
      <c r="DA125" s="16983"/>
      <c r="DB125" s="16984">
        <v>0</v>
      </c>
    </row>
    <row s="50435" customFormat="1" customHeight="1" ht="21">
      <c r="A126" s="16967"/>
      <c r="B126" s="16967"/>
      <c r="C126" s="16967"/>
      <c r="D126" s="16967"/>
      <c r="E126" s="16968"/>
      <c r="F126" s="16968"/>
      <c r="G126" s="16968" t="s">
        <v>92</v>
      </c>
      <c r="H126" s="16968"/>
      <c r="I126" s="17001"/>
      <c r="J126" s="16989"/>
      <c r="K126" s="16967"/>
      <c r="L126" s="16970"/>
      <c r="M126" s="16990"/>
      <c r="N126" s="16990"/>
      <c r="O126" s="16990"/>
      <c r="P126" s="16991"/>
      <c r="Q126" s="16991"/>
      <c r="R126" s="16992"/>
      <c r="S126" s="18199"/>
      <c r="T126" s="18200" t="s">
        <v>601</v>
      </c>
      <c r="U126" s="18201"/>
      <c r="V126" s="18202"/>
      <c r="W126" s="18203"/>
      <c r="X126" s="18204"/>
      <c r="Y126" s="18205"/>
      <c r="Z126" s="18206"/>
      <c r="AA126" s="18207"/>
      <c r="AB126" s="18208"/>
      <c r="AC126" s="18209"/>
      <c r="AD126" s="18210"/>
      <c r="AE126" s="18211"/>
      <c r="AF126" s="18212"/>
      <c r="AG126" s="18213"/>
      <c r="AH126" s="18214"/>
      <c r="AI126" s="18215"/>
      <c r="AJ126" s="18216"/>
      <c r="AK126" s="18217"/>
      <c r="AL126" s="18218"/>
      <c r="AM126" s="18219"/>
      <c r="AN126" s="18220"/>
      <c r="AO126" s="18221"/>
      <c r="AP126" s="18222"/>
      <c r="AQ126" s="18223"/>
      <c r="AR126" s="18224"/>
      <c r="AS126" s="18225"/>
      <c r="AT126" s="18226"/>
      <c r="AU126" s="18227"/>
      <c r="AV126" s="18228"/>
      <c r="AW126" s="18229"/>
      <c r="AX126" s="18230"/>
      <c r="AY126" s="18231"/>
      <c r="AZ126" s="18232"/>
      <c r="BA126" s="18233"/>
      <c r="BB126" s="18234"/>
      <c r="BC126" s="18235"/>
      <c r="BD126" s="18236"/>
      <c r="BE126" s="18237"/>
      <c r="BF126" s="18238"/>
      <c r="BG126" s="18239"/>
      <c r="BH126" s="18240"/>
      <c r="BI126" s="18241"/>
      <c r="BJ126" s="18242"/>
      <c r="BK126" s="18243"/>
      <c r="BL126" s="18244"/>
      <c r="BM126" s="18245"/>
      <c r="BN126" s="18246"/>
      <c r="BO126" s="18247"/>
      <c r="BP126" s="18248"/>
      <c r="BQ126" s="18249"/>
      <c r="BR126" s="18250"/>
      <c r="BS126" s="18251"/>
      <c r="BT126" s="18252"/>
      <c r="BU126" s="18253"/>
      <c r="BV126" s="18254"/>
      <c r="BW126" s="18255"/>
      <c r="BX126" s="18256"/>
      <c r="BY126" s="18257"/>
      <c r="BZ126" s="18258"/>
      <c r="CA126" s="18259"/>
      <c r="CB126" s="18260"/>
      <c r="CC126" s="18261"/>
      <c r="CD126" s="18262"/>
      <c r="CE126" s="18263"/>
      <c r="CF126" s="18264"/>
      <c r="CG126" s="18265"/>
      <c r="CH126" s="18266"/>
      <c r="CI126" s="18267"/>
      <c r="CJ126" s="18268"/>
      <c r="CK126" s="18269"/>
      <c r="CL126" s="18270"/>
      <c r="CM126" s="18271"/>
      <c r="CN126" s="25670"/>
      <c r="CO126" s="25671"/>
      <c r="CP126" s="25672"/>
      <c r="CQ126" s="25673"/>
      <c r="CR126" s="25674"/>
      <c r="CS126" s="25675"/>
      <c r="CT126" s="25676"/>
      <c r="CU126" s="18272"/>
      <c r="CV126" s="16981" t="s">
        <v>602</v>
      </c>
      <c r="CW126" s="16982"/>
      <c r="CX126" s="16983"/>
      <c r="CY126" s="16983" t="str">
        <f>IF(T126="","",T126)</f>
        <v>Добавить значение признака дифференциации</v>
      </c>
      <c r="CZ126" s="16983"/>
      <c r="DA126" s="16983"/>
      <c r="DB126" s="16984">
        <v>0</v>
      </c>
    </row>
    <row s="50517" customFormat="1" customHeight="1" ht="23.25">
      <c r="A127" s="40638"/>
      <c r="B127" s="40638"/>
      <c r="C127" s="40638"/>
      <c r="D127" s="40638"/>
      <c r="E127" s="40639"/>
      <c r="F127" s="40639"/>
      <c r="G127" s="40639"/>
      <c r="H127" s="40639"/>
      <c r="I127" s="40640"/>
      <c r="J127" s="40641" t="str">
        <f>I122&amp;".2"</f>
        <v>1.4.4.1.2</v>
      </c>
      <c r="K127" s="40638"/>
      <c r="L127" s="40642" t="s">
        <v>524</v>
      </c>
      <c r="M127" s="40643"/>
      <c r="N127" s="40643"/>
      <c r="O127" s="40643"/>
      <c r="P127" s="40644"/>
      <c r="Q127" s="40645" t="s">
        <v>106</v>
      </c>
      <c r="R127" s="40646"/>
      <c r="S127" s="40647" t="str">
        <f>$J127</f>
        <v>1.4.4.1.2</v>
      </c>
      <c r="T127" s="40648" t="s">
        <v>525</v>
      </c>
      <c r="U127" s="40649"/>
      <c r="V127" s="40650"/>
      <c r="W127" s="40651"/>
      <c r="X127" s="40651"/>
      <c r="Y127" s="40651"/>
      <c r="Z127" s="40651"/>
      <c r="AA127" s="40651"/>
      <c r="AB127" s="40652"/>
      <c r="AC127" s="40650" t="s">
        <v>637</v>
      </c>
      <c r="AD127" s="40651"/>
      <c r="AE127" s="40651"/>
      <c r="AF127" s="40651"/>
      <c r="AG127" s="40651"/>
      <c r="AH127" s="40651"/>
      <c r="AI127" s="40651"/>
      <c r="AJ127" s="40650"/>
      <c r="AK127" s="40651"/>
      <c r="AL127" s="40651"/>
      <c r="AM127" s="40651"/>
      <c r="AN127" s="40651"/>
      <c r="AO127" s="40651"/>
      <c r="AP127" s="40652"/>
      <c r="AQ127" s="40650"/>
      <c r="AR127" s="40651"/>
      <c r="AS127" s="40651"/>
      <c r="AT127" s="40651"/>
      <c r="AU127" s="40651"/>
      <c r="AV127" s="40651"/>
      <c r="AW127" s="40652"/>
      <c r="AX127" s="40650"/>
      <c r="AY127" s="40651"/>
      <c r="AZ127" s="40651"/>
      <c r="BA127" s="40651"/>
      <c r="BB127" s="40651"/>
      <c r="BC127" s="40651"/>
      <c r="BD127" s="40652"/>
      <c r="BE127" s="40650"/>
      <c r="BF127" s="40651"/>
      <c r="BG127" s="40651"/>
      <c r="BH127" s="40651"/>
      <c r="BI127" s="40651"/>
      <c r="BJ127" s="40651"/>
      <c r="BK127" s="40652"/>
      <c r="BL127" s="40650"/>
      <c r="BM127" s="40651"/>
      <c r="BN127" s="40651"/>
      <c r="BO127" s="40651"/>
      <c r="BP127" s="40651"/>
      <c r="BQ127" s="40651"/>
      <c r="BR127" s="40652"/>
      <c r="BS127" s="40650"/>
      <c r="BT127" s="40651"/>
      <c r="BU127" s="40651"/>
      <c r="BV127" s="40651"/>
      <c r="BW127" s="40651"/>
      <c r="BX127" s="40651"/>
      <c r="BY127" s="40652"/>
      <c r="BZ127" s="40650"/>
      <c r="CA127" s="40651"/>
      <c r="CB127" s="40651"/>
      <c r="CC127" s="40651"/>
      <c r="CD127" s="40651"/>
      <c r="CE127" s="40651"/>
      <c r="CF127" s="40652"/>
      <c r="CG127" s="40650"/>
      <c r="CH127" s="40651"/>
      <c r="CI127" s="40651"/>
      <c r="CJ127" s="40651"/>
      <c r="CK127" s="40651"/>
      <c r="CL127" s="40651"/>
      <c r="CM127" s="40652"/>
      <c r="CN127" s="40650"/>
      <c r="CO127" s="40651"/>
      <c r="CP127" s="40651"/>
      <c r="CQ127" s="40651"/>
      <c r="CR127" s="40651"/>
      <c r="CS127" s="40651"/>
      <c r="CT127" s="40653"/>
      <c r="CU127" s="40652"/>
      <c r="CV127" s="40654" t="s">
        <v>600</v>
      </c>
      <c r="CW127" s="40655"/>
      <c r="CX127" s="40656"/>
      <c r="CY127" s="40656" t="str">
        <f>IF(T127="","",T127)</f>
        <v>Группа потребителей</v>
      </c>
      <c r="CZ127" s="40656"/>
      <c r="DA127" s="40656"/>
      <c r="DB127" s="40657">
        <v>0</v>
      </c>
    </row>
    <row s="50518" customFormat="1" customHeight="1" ht="23.25">
      <c r="A128" s="40638"/>
      <c r="B128" s="40638"/>
      <c r="C128" s="40638"/>
      <c r="D128" s="40638"/>
      <c r="E128" s="40639"/>
      <c r="F128" s="40639"/>
      <c r="G128" s="40639"/>
      <c r="H128" s="40639"/>
      <c r="I128" s="40640"/>
      <c r="J128" s="40640" t="str">
        <f>I122&amp;".1"</f>
        <v>1.4.4.1.1</v>
      </c>
      <c r="K128" s="40641" t="str">
        <f>J127&amp;".1"</f>
        <v>1.4.4.1.2.1</v>
      </c>
      <c r="L128" s="40642"/>
      <c r="M128" s="40643"/>
      <c r="N128" s="40643"/>
      <c r="O128" s="40643"/>
      <c r="P128" s="40644"/>
      <c r="Q128" s="40644"/>
      <c r="R128" s="40646">
        <v>1</v>
      </c>
      <c r="S128" s="40647" t="str">
        <f>$K128</f>
        <v>1.4.4.1.2.1</v>
      </c>
      <c r="T128" s="40659"/>
      <c r="U128" s="40649"/>
      <c r="V128" s="40660"/>
      <c r="W128" s="40660"/>
      <c r="X128" s="40661"/>
      <c r="Y128" s="40552"/>
      <c r="Z128" s="40662" t="s">
        <v>63</v>
      </c>
      <c r="AA128" s="40552"/>
      <c r="AB128" s="40662" t="s">
        <v>63</v>
      </c>
      <c r="AC128" s="40660">
        <v>8.76</v>
      </c>
      <c r="AD128" s="40660"/>
      <c r="AE128" s="40661"/>
      <c r="AF128" s="40552">
        <v>45292.63869212963</v>
      </c>
      <c r="AG128" s="40662" t="s">
        <v>63</v>
      </c>
      <c r="AH128" s="40553">
        <v>45473.63883101852</v>
      </c>
      <c r="AI128" s="40662" t="s">
        <v>63</v>
      </c>
      <c r="AJ128" s="40660">
        <v>11.39</v>
      </c>
      <c r="AK128" s="40660"/>
      <c r="AL128" s="40661"/>
      <c r="AM128" s="40552">
        <v>45474.639027777775</v>
      </c>
      <c r="AN128" s="40662" t="s">
        <v>63</v>
      </c>
      <c r="AO128" s="40552">
        <v>45657.63912037037</v>
      </c>
      <c r="AP128" s="40662" t="s">
        <v>63</v>
      </c>
      <c r="AQ128" s="40660">
        <v>11.39</v>
      </c>
      <c r="AR128" s="40660"/>
      <c r="AS128" s="40661"/>
      <c r="AT128" s="40552">
        <v>45658.63952546296</v>
      </c>
      <c r="AU128" s="40662" t="s">
        <v>63</v>
      </c>
      <c r="AV128" s="40552">
        <v>45838.639699074076</v>
      </c>
      <c r="AW128" s="40662" t="s">
        <v>63</v>
      </c>
      <c r="AX128" s="40660">
        <v>14.07</v>
      </c>
      <c r="AY128" s="40660"/>
      <c r="AZ128" s="40661"/>
      <c r="BA128" s="40552">
        <v>45839.64019675926</v>
      </c>
      <c r="BB128" s="40662" t="s">
        <v>63</v>
      </c>
      <c r="BC128" s="40552">
        <v>46022.640439814815</v>
      </c>
      <c r="BD128" s="40662" t="s">
        <v>63</v>
      </c>
      <c r="BE128" s="40660">
        <v>14.07</v>
      </c>
      <c r="BF128" s="40660"/>
      <c r="BG128" s="40661"/>
      <c r="BH128" s="40552">
        <v>46023.640752314815</v>
      </c>
      <c r="BI128" s="40662" t="s">
        <v>63</v>
      </c>
      <c r="BJ128" s="40552">
        <v>46203.64096064815</v>
      </c>
      <c r="BK128" s="40662" t="s">
        <v>63</v>
      </c>
      <c r="BL128" s="40660">
        <v>14.11</v>
      </c>
      <c r="BM128" s="40660"/>
      <c r="BN128" s="40661"/>
      <c r="BO128" s="40552">
        <v>46204.64166666667</v>
      </c>
      <c r="BP128" s="40662" t="s">
        <v>63</v>
      </c>
      <c r="BQ128" s="40552">
        <v>46387.641875</v>
      </c>
      <c r="BR128" s="40662" t="s">
        <v>63</v>
      </c>
      <c r="BS128" s="40660">
        <v>14.11</v>
      </c>
      <c r="BT128" s="40660"/>
      <c r="BU128" s="40661"/>
      <c r="BV128" s="40552">
        <v>46388.643159722225</v>
      </c>
      <c r="BW128" s="40662" t="s">
        <v>63</v>
      </c>
      <c r="BX128" s="40552">
        <v>46568.6434375</v>
      </c>
      <c r="BY128" s="40662" t="s">
        <v>63</v>
      </c>
      <c r="BZ128" s="40660">
        <v>14.18</v>
      </c>
      <c r="CA128" s="40660"/>
      <c r="CB128" s="40661"/>
      <c r="CC128" s="40552">
        <v>46569.643796296295</v>
      </c>
      <c r="CD128" s="40662" t="s">
        <v>63</v>
      </c>
      <c r="CE128" s="40552">
        <v>46752.6440162037</v>
      </c>
      <c r="CF128" s="40662" t="s">
        <v>63</v>
      </c>
      <c r="CG128" s="40660">
        <v>14.18</v>
      </c>
      <c r="CH128" s="40660"/>
      <c r="CI128" s="40661"/>
      <c r="CJ128" s="40552">
        <v>46753.64449074074</v>
      </c>
      <c r="CK128" s="40662" t="s">
        <v>63</v>
      </c>
      <c r="CL128" s="40552">
        <v>46934.64472222222</v>
      </c>
      <c r="CM128" s="40662" t="s">
        <v>63</v>
      </c>
      <c r="CN128" s="40660">
        <v>14.27</v>
      </c>
      <c r="CO128" s="40660"/>
      <c r="CP128" s="40661"/>
      <c r="CQ128" s="40552">
        <v>46935.64505787037</v>
      </c>
      <c r="CR128" s="40662" t="s">
        <v>63</v>
      </c>
      <c r="CS128" s="40552">
        <v>47118.645324074074</v>
      </c>
      <c r="CT128" s="40663" t="s">
        <v>63</v>
      </c>
      <c r="CU128" s="40664"/>
      <c r="CV128" s="406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128" s="40655">
        <f>STRCHECKDATE(V129:CU129)</f>
      </c>
      <c r="CX128" s="40656"/>
      <c r="CY128" s="40656" t="str">
        <f>IF(T128="","",T128)</f>
        <v/>
      </c>
      <c r="CZ128" s="40656"/>
      <c r="DA128" s="40656"/>
      <c r="DB128" s="40657">
        <v>0</v>
      </c>
    </row>
    <row s="50519" customFormat="1" customHeight="1" ht="14.25">
      <c r="A129" s="40638"/>
      <c r="B129" s="40638"/>
      <c r="C129" s="40638"/>
      <c r="D129" s="40638"/>
      <c r="E129" s="40639"/>
      <c r="F129" s="40639"/>
      <c r="G129" s="40639"/>
      <c r="H129" s="40639"/>
      <c r="I129" s="40640"/>
      <c r="J129" s="40640" t="str">
        <f>I122&amp;".1"</f>
        <v>1.4.4.1.1</v>
      </c>
      <c r="K129" s="40641"/>
      <c r="L129" s="40642"/>
      <c r="M129" s="40643"/>
      <c r="N129" s="40643"/>
      <c r="O129" s="40643"/>
      <c r="P129" s="40644"/>
      <c r="Q129" s="40644"/>
      <c r="R129" s="40646"/>
      <c r="S129" s="40667"/>
      <c r="T129" s="40649"/>
      <c r="U129" s="40649"/>
      <c r="V129" s="40668"/>
      <c r="W129" s="40668"/>
      <c r="X129" s="40669" t="str">
        <f>Y128&amp;"-"&amp;AA128</f>
        <v>-</v>
      </c>
      <c r="Y129" s="40670"/>
      <c r="Z129" s="40662"/>
      <c r="AA129" s="40670"/>
      <c r="AB129" s="40662"/>
      <c r="AC129" s="40668"/>
      <c r="AD129" s="40668"/>
      <c r="AE129" s="40669" t="str">
        <f>AF128&amp;"-"&amp;AH128</f>
        <v>45292.63869212963-45473.63883101852</v>
      </c>
      <c r="AF129" s="40670"/>
      <c r="AG129" s="40662"/>
      <c r="AH129" s="40671"/>
      <c r="AI129" s="40662"/>
      <c r="AJ129" s="40668"/>
      <c r="AK129" s="40668"/>
      <c r="AL129" s="40669" t="str">
        <f>AM128&amp;"-"&amp;AO128</f>
        <v>45474.639027777775-45657.63912037037</v>
      </c>
      <c r="AM129" s="40670"/>
      <c r="AN129" s="40662"/>
      <c r="AO129" s="40670"/>
      <c r="AP129" s="40662"/>
      <c r="AQ129" s="40668"/>
      <c r="AR129" s="40668"/>
      <c r="AS129" s="40669" t="str">
        <f>AT128&amp;"-"&amp;AV128</f>
        <v>45658.63952546296-45838.639699074076</v>
      </c>
      <c r="AT129" s="40670"/>
      <c r="AU129" s="40662"/>
      <c r="AV129" s="40670"/>
      <c r="AW129" s="40662"/>
      <c r="AX129" s="40668"/>
      <c r="AY129" s="40668"/>
      <c r="AZ129" s="40669" t="str">
        <f>BA128&amp;"-"&amp;BC128</f>
        <v>45839.64019675926-46022.640439814815</v>
      </c>
      <c r="BA129" s="40670"/>
      <c r="BB129" s="40662"/>
      <c r="BC129" s="40670"/>
      <c r="BD129" s="40662"/>
      <c r="BE129" s="40668"/>
      <c r="BF129" s="40668"/>
      <c r="BG129" s="40669" t="str">
        <f>BH128&amp;"-"&amp;BJ128</f>
        <v>46023.640752314815-46203.64096064815</v>
      </c>
      <c r="BH129" s="40670"/>
      <c r="BI129" s="40662"/>
      <c r="BJ129" s="40670"/>
      <c r="BK129" s="40662"/>
      <c r="BL129" s="40668"/>
      <c r="BM129" s="40668"/>
      <c r="BN129" s="40669" t="str">
        <f>BO128&amp;"-"&amp;BQ128</f>
        <v>46204.64166666667-46387.641875</v>
      </c>
      <c r="BO129" s="40670"/>
      <c r="BP129" s="40662"/>
      <c r="BQ129" s="40670"/>
      <c r="BR129" s="40662"/>
      <c r="BS129" s="40668"/>
      <c r="BT129" s="40668"/>
      <c r="BU129" s="40669" t="str">
        <f>BV128&amp;"-"&amp;BX128</f>
        <v>46388.643159722225-46568.6434375</v>
      </c>
      <c r="BV129" s="40670"/>
      <c r="BW129" s="40662"/>
      <c r="BX129" s="40670"/>
      <c r="BY129" s="40662"/>
      <c r="BZ129" s="40668"/>
      <c r="CA129" s="40668"/>
      <c r="CB129" s="40669" t="str">
        <f>CC128&amp;"-"&amp;CE128</f>
        <v>46569.643796296295-46752.6440162037</v>
      </c>
      <c r="CC129" s="40670"/>
      <c r="CD129" s="40662"/>
      <c r="CE129" s="40670"/>
      <c r="CF129" s="40662"/>
      <c r="CG129" s="40668"/>
      <c r="CH129" s="40668"/>
      <c r="CI129" s="40669" t="str">
        <f>CJ128&amp;"-"&amp;CL128</f>
        <v>46753.64449074074-46934.64472222222</v>
      </c>
      <c r="CJ129" s="40670"/>
      <c r="CK129" s="40662"/>
      <c r="CL129" s="40670"/>
      <c r="CM129" s="40662"/>
      <c r="CN129" s="40668"/>
      <c r="CO129" s="40668"/>
      <c r="CP129" s="40669" t="str">
        <f>CQ128&amp;"-"&amp;CS128</f>
        <v>46935.64505787037-47118.645324074074</v>
      </c>
      <c r="CQ129" s="40670"/>
      <c r="CR129" s="40662"/>
      <c r="CS129" s="40670"/>
      <c r="CT129" s="40663"/>
      <c r="CU129" s="40672"/>
      <c r="CV129" s="40665"/>
      <c r="CW129" s="40655"/>
      <c r="CX129" s="40656"/>
      <c r="CY129" s="40656" t="str">
        <f>IF(T129="","",T129)</f>
        <v/>
      </c>
      <c r="CZ129" s="40656"/>
      <c r="DA129" s="40656"/>
      <c r="DB129" s="40657">
        <v>0</v>
      </c>
    </row>
    <row s="50520" customFormat="1" customHeight="1" ht="21">
      <c r="A130" s="40638"/>
      <c r="B130" s="40638"/>
      <c r="C130" s="40638"/>
      <c r="D130" s="40638"/>
      <c r="E130" s="40639"/>
      <c r="F130" s="40639"/>
      <c r="G130" s="40639"/>
      <c r="H130" s="40639"/>
      <c r="I130" s="40640"/>
      <c r="J130" s="40641" t="str">
        <f>I122&amp;".1"</f>
        <v>1.4.4.1.1</v>
      </c>
      <c r="K130" s="40638"/>
      <c r="L130" s="40642"/>
      <c r="M130" s="40643"/>
      <c r="N130" s="40643"/>
      <c r="O130" s="40643"/>
      <c r="P130" s="40644"/>
      <c r="Q130" s="40644"/>
      <c r="R130" s="40674"/>
      <c r="S130" s="41690"/>
      <c r="T130" s="41691" t="s">
        <v>601</v>
      </c>
      <c r="U130" s="41692"/>
      <c r="V130" s="41693"/>
      <c r="W130" s="41694"/>
      <c r="X130" s="41695"/>
      <c r="Y130" s="41696"/>
      <c r="Z130" s="41697"/>
      <c r="AA130" s="41698"/>
      <c r="AB130" s="41699"/>
      <c r="AC130" s="41700"/>
      <c r="AD130" s="41701"/>
      <c r="AE130" s="41702"/>
      <c r="AF130" s="41703"/>
      <c r="AG130" s="41704"/>
      <c r="AH130" s="41705"/>
      <c r="AI130" s="41706"/>
      <c r="AJ130" s="41707"/>
      <c r="AK130" s="41708"/>
      <c r="AL130" s="41709"/>
      <c r="AM130" s="41710"/>
      <c r="AN130" s="41711"/>
      <c r="AO130" s="41712"/>
      <c r="AP130" s="41713"/>
      <c r="AQ130" s="41714"/>
      <c r="AR130" s="41715"/>
      <c r="AS130" s="41716"/>
      <c r="AT130" s="41717"/>
      <c r="AU130" s="41718"/>
      <c r="AV130" s="41719"/>
      <c r="AW130" s="41720"/>
      <c r="AX130" s="41721"/>
      <c r="AY130" s="41722"/>
      <c r="AZ130" s="41723"/>
      <c r="BA130" s="41724"/>
      <c r="BB130" s="41725"/>
      <c r="BC130" s="41726"/>
      <c r="BD130" s="41727"/>
      <c r="BE130" s="41728"/>
      <c r="BF130" s="41729"/>
      <c r="BG130" s="41730"/>
      <c r="BH130" s="41731"/>
      <c r="BI130" s="41732"/>
      <c r="BJ130" s="41733"/>
      <c r="BK130" s="41734"/>
      <c r="BL130" s="41735"/>
      <c r="BM130" s="41736"/>
      <c r="BN130" s="41737"/>
      <c r="BO130" s="41738"/>
      <c r="BP130" s="41739"/>
      <c r="BQ130" s="41740"/>
      <c r="BR130" s="41741"/>
      <c r="BS130" s="41742"/>
      <c r="BT130" s="41743"/>
      <c r="BU130" s="41744"/>
      <c r="BV130" s="41745"/>
      <c r="BW130" s="41746"/>
      <c r="BX130" s="41747"/>
      <c r="BY130" s="41748"/>
      <c r="BZ130" s="41749"/>
      <c r="CA130" s="41750"/>
      <c r="CB130" s="41751"/>
      <c r="CC130" s="41752"/>
      <c r="CD130" s="41753"/>
      <c r="CE130" s="41754"/>
      <c r="CF130" s="41755"/>
      <c r="CG130" s="41756"/>
      <c r="CH130" s="41757"/>
      <c r="CI130" s="41758"/>
      <c r="CJ130" s="41759"/>
      <c r="CK130" s="41760"/>
      <c r="CL130" s="41761"/>
      <c r="CM130" s="41762"/>
      <c r="CN130" s="41763"/>
      <c r="CO130" s="41764"/>
      <c r="CP130" s="41765"/>
      <c r="CQ130" s="41766"/>
      <c r="CR130" s="41767"/>
      <c r="CS130" s="41768"/>
      <c r="CT130" s="41769"/>
      <c r="CU130" s="41770"/>
      <c r="CV130" s="40756" t="s">
        <v>602</v>
      </c>
      <c r="CW130" s="40655"/>
      <c r="CX130" s="40656"/>
      <c r="CY130" s="40656" t="str">
        <f>IF(T130="","",T130)</f>
        <v>Добавить значение признака дифференциации</v>
      </c>
      <c r="CZ130" s="40656"/>
      <c r="DA130" s="40656"/>
      <c r="DB130" s="40657">
        <v>0</v>
      </c>
    </row>
    <row s="50602" customFormat="1" customHeight="1" ht="21">
      <c r="A131" s="16967"/>
      <c r="B131" s="16967"/>
      <c r="C131" s="16967"/>
      <c r="D131" s="16967"/>
      <c r="E131" s="16968"/>
      <c r="F131" s="16968"/>
      <c r="G131" s="16968" t="s">
        <v>92</v>
      </c>
      <c r="H131" s="16968"/>
      <c r="I131" s="16989"/>
      <c r="J131" s="16967"/>
      <c r="K131" s="16967"/>
      <c r="L131" s="16970"/>
      <c r="M131" s="16990"/>
      <c r="N131" s="16990"/>
      <c r="O131" s="16990"/>
      <c r="P131" s="16991"/>
      <c r="Q131" s="16991"/>
      <c r="R131" s="16992"/>
      <c r="S131" s="18274"/>
      <c r="T131" s="18275" t="s">
        <v>530</v>
      </c>
      <c r="U131" s="18276"/>
      <c r="V131" s="18277"/>
      <c r="W131" s="18278"/>
      <c r="X131" s="18279"/>
      <c r="Y131" s="18280"/>
      <c r="Z131" s="18281"/>
      <c r="AA131" s="18282"/>
      <c r="AB131" s="18283"/>
      <c r="AC131" s="18284"/>
      <c r="AD131" s="18285"/>
      <c r="AE131" s="18286"/>
      <c r="AF131" s="18287"/>
      <c r="AG131" s="18288"/>
      <c r="AH131" s="18289"/>
      <c r="AI131" s="18290"/>
      <c r="AJ131" s="18291"/>
      <c r="AK131" s="18292"/>
      <c r="AL131" s="18293"/>
      <c r="AM131" s="18294"/>
      <c r="AN131" s="18295"/>
      <c r="AO131" s="18296"/>
      <c r="AP131" s="18297"/>
      <c r="AQ131" s="18298"/>
      <c r="AR131" s="18299"/>
      <c r="AS131" s="18300"/>
      <c r="AT131" s="18301"/>
      <c r="AU131" s="18302"/>
      <c r="AV131" s="18303"/>
      <c r="AW131" s="18304"/>
      <c r="AX131" s="18305"/>
      <c r="AY131" s="18306"/>
      <c r="AZ131" s="18307"/>
      <c r="BA131" s="18308"/>
      <c r="BB131" s="18309"/>
      <c r="BC131" s="18310"/>
      <c r="BD131" s="18311"/>
      <c r="BE131" s="18312"/>
      <c r="BF131" s="18313"/>
      <c r="BG131" s="18314"/>
      <c r="BH131" s="18315"/>
      <c r="BI131" s="18316"/>
      <c r="BJ131" s="18317"/>
      <c r="BK131" s="18318"/>
      <c r="BL131" s="18319"/>
      <c r="BM131" s="18320"/>
      <c r="BN131" s="18321"/>
      <c r="BO131" s="18322"/>
      <c r="BP131" s="18323"/>
      <c r="BQ131" s="18324"/>
      <c r="BR131" s="18325"/>
      <c r="BS131" s="18326"/>
      <c r="BT131" s="18327"/>
      <c r="BU131" s="18328"/>
      <c r="BV131" s="18329"/>
      <c r="BW131" s="18330"/>
      <c r="BX131" s="18331"/>
      <c r="BY131" s="18332"/>
      <c r="BZ131" s="18333"/>
      <c r="CA131" s="18334"/>
      <c r="CB131" s="18335"/>
      <c r="CC131" s="18336"/>
      <c r="CD131" s="18337"/>
      <c r="CE131" s="18338"/>
      <c r="CF131" s="18339"/>
      <c r="CG131" s="18340"/>
      <c r="CH131" s="18341"/>
      <c r="CI131" s="18342"/>
      <c r="CJ131" s="18343"/>
      <c r="CK131" s="18344"/>
      <c r="CL131" s="18345"/>
      <c r="CM131" s="18346"/>
      <c r="CN131" s="25752"/>
      <c r="CO131" s="25753"/>
      <c r="CP131" s="25754"/>
      <c r="CQ131" s="25755"/>
      <c r="CR131" s="25756"/>
      <c r="CS131" s="25757"/>
      <c r="CT131" s="25758"/>
      <c r="CU131" s="18347"/>
      <c r="CV131" s="18348"/>
      <c r="CW131" s="16982"/>
      <c r="CX131" s="16983"/>
      <c r="CY131" s="16983" t="str">
        <f>IF(T131="","",T131)</f>
        <v>Добавить группу потребителей</v>
      </c>
      <c r="CZ131" s="16983"/>
      <c r="DA131" s="16983"/>
      <c r="DB131" s="16984">
        <v>0</v>
      </c>
    </row>
    <row s="50685" customFormat="1" customHeight="1" ht="21">
      <c r="A132" s="16967"/>
      <c r="B132" s="16967"/>
      <c r="C132" s="16967"/>
      <c r="D132" s="16967"/>
      <c r="E132" s="16968"/>
      <c r="F132" s="16968"/>
      <c r="G132" s="16968" t="s">
        <v>92</v>
      </c>
      <c r="H132" s="16969"/>
      <c r="I132" s="16967"/>
      <c r="J132" s="16967"/>
      <c r="K132" s="16967"/>
      <c r="L132" s="16970"/>
      <c r="M132" s="16971"/>
      <c r="N132" s="16971"/>
      <c r="O132" s="17174"/>
      <c r="P132" s="17175"/>
      <c r="Q132" s="17176"/>
      <c r="R132" s="17177"/>
      <c r="S132" s="18350"/>
      <c r="T132" s="18351" t="s">
        <v>603</v>
      </c>
      <c r="U132" s="18352"/>
      <c r="V132" s="18353"/>
      <c r="W132" s="18354"/>
      <c r="X132" s="18355"/>
      <c r="Y132" s="18356"/>
      <c r="Z132" s="18357"/>
      <c r="AA132" s="18358"/>
      <c r="AB132" s="18359"/>
      <c r="AC132" s="18360"/>
      <c r="AD132" s="18361"/>
      <c r="AE132" s="18362"/>
      <c r="AF132" s="18363"/>
      <c r="AG132" s="18364"/>
      <c r="AH132" s="18365"/>
      <c r="AI132" s="18366"/>
      <c r="AJ132" s="18367"/>
      <c r="AK132" s="18368"/>
      <c r="AL132" s="18369"/>
      <c r="AM132" s="18370"/>
      <c r="AN132" s="18371"/>
      <c r="AO132" s="18372"/>
      <c r="AP132" s="18373"/>
      <c r="AQ132" s="18374"/>
      <c r="AR132" s="18375"/>
      <c r="AS132" s="18376"/>
      <c r="AT132" s="18377"/>
      <c r="AU132" s="18378"/>
      <c r="AV132" s="18379"/>
      <c r="AW132" s="18380"/>
      <c r="AX132" s="18381"/>
      <c r="AY132" s="18382"/>
      <c r="AZ132" s="18383"/>
      <c r="BA132" s="18384"/>
      <c r="BB132" s="18385"/>
      <c r="BC132" s="18386"/>
      <c r="BD132" s="18387"/>
      <c r="BE132" s="18388"/>
      <c r="BF132" s="18389"/>
      <c r="BG132" s="18390"/>
      <c r="BH132" s="18391"/>
      <c r="BI132" s="18392"/>
      <c r="BJ132" s="18393"/>
      <c r="BK132" s="18394"/>
      <c r="BL132" s="18395"/>
      <c r="BM132" s="18396"/>
      <c r="BN132" s="18397"/>
      <c r="BO132" s="18398"/>
      <c r="BP132" s="18399"/>
      <c r="BQ132" s="18400"/>
      <c r="BR132" s="18401"/>
      <c r="BS132" s="18402"/>
      <c r="BT132" s="18403"/>
      <c r="BU132" s="18404"/>
      <c r="BV132" s="18405"/>
      <c r="BW132" s="18406"/>
      <c r="BX132" s="18407"/>
      <c r="BY132" s="18408"/>
      <c r="BZ132" s="18409"/>
      <c r="CA132" s="18410"/>
      <c r="CB132" s="18411"/>
      <c r="CC132" s="18412"/>
      <c r="CD132" s="18413"/>
      <c r="CE132" s="18414"/>
      <c r="CF132" s="18415"/>
      <c r="CG132" s="18416"/>
      <c r="CH132" s="18417"/>
      <c r="CI132" s="18418"/>
      <c r="CJ132" s="18419"/>
      <c r="CK132" s="18420"/>
      <c r="CL132" s="18421"/>
      <c r="CM132" s="18422"/>
      <c r="CN132" s="25835"/>
      <c r="CO132" s="25836"/>
      <c r="CP132" s="25837"/>
      <c r="CQ132" s="25838"/>
      <c r="CR132" s="25839"/>
      <c r="CS132" s="25840"/>
      <c r="CT132" s="25841"/>
      <c r="CU132" s="18423"/>
      <c r="CV132" s="18424"/>
      <c r="CW132" s="16982"/>
      <c r="CX132" s="16983"/>
      <c r="CY132" s="16983" t="str">
        <f>IF(T132="","",T132)</f>
        <v>Добавить наименование признака дифференциации</v>
      </c>
      <c r="CZ132" s="16983"/>
      <c r="DA132" s="16983"/>
      <c r="DB132" s="16984">
        <v>0</v>
      </c>
    </row>
    <row s="50768" customFormat="1" customHeight="1" ht="23.25">
      <c r="A133" s="16967"/>
      <c r="B133" s="16967"/>
      <c r="C133" s="16967" t="s">
        <v>344</v>
      </c>
      <c r="D133" s="16967"/>
      <c r="E133" s="16968"/>
      <c r="F133" s="16968"/>
      <c r="G133" s="16969" t="s">
        <v>120</v>
      </c>
      <c r="H133" s="16967"/>
      <c r="I133" s="16967"/>
      <c r="J133" s="16967"/>
      <c r="K133" s="16967"/>
      <c r="L133" s="16970"/>
      <c r="M133" s="16971"/>
      <c r="N133" s="16971"/>
      <c r="O133" s="16971"/>
      <c r="P133" s="16986"/>
      <c r="Q133" s="16973"/>
      <c r="R133" s="16974"/>
      <c r="S133" s="16975" t="str">
        <f>INDEX(PT_DIFFERENTIATION_NUM_CS,MATCH(C133,PT_DIFFERENTIATION_CS_ID,0))</f>
        <v>1.4.5</v>
      </c>
      <c r="T133" s="16987" t="s">
        <v>631</v>
      </c>
      <c r="U133" s="16977"/>
      <c r="V133" s="16978"/>
      <c r="W133" s="16979"/>
      <c r="X133" s="16979"/>
      <c r="Y133" s="16979"/>
      <c r="Z133" s="16979"/>
      <c r="AA133" s="16979"/>
      <c r="AB133" s="16980"/>
      <c r="AC133" s="16978" t="str">
        <f>INDEX(PT_DIFFERENTIATION_CS,MATCH(C133,PT_DIFFERENTIATION_CS_ID,0))</f>
        <v>пгт. Приморский</v>
      </c>
      <c r="AD133" s="16979"/>
      <c r="AE133" s="16979"/>
      <c r="AF133" s="16979"/>
      <c r="AG133" s="16979"/>
      <c r="AH133" s="16979"/>
      <c r="AI133" s="16979"/>
      <c r="AJ133" s="16978"/>
      <c r="AK133" s="16979"/>
      <c r="AL133" s="16979"/>
      <c r="AM133" s="16979"/>
      <c r="AN133" s="16979"/>
      <c r="AO133" s="16979"/>
      <c r="AP133" s="16980"/>
      <c r="AQ133" s="16978"/>
      <c r="AR133" s="16979"/>
      <c r="AS133" s="16979"/>
      <c r="AT133" s="16979"/>
      <c r="AU133" s="16979"/>
      <c r="AV133" s="16979"/>
      <c r="AW133" s="16980"/>
      <c r="AX133" s="16978"/>
      <c r="AY133" s="16979"/>
      <c r="AZ133" s="16979"/>
      <c r="BA133" s="16979"/>
      <c r="BB133" s="16979"/>
      <c r="BC133" s="16979"/>
      <c r="BD133" s="16980"/>
      <c r="BE133" s="16978"/>
      <c r="BF133" s="16979"/>
      <c r="BG133" s="16979"/>
      <c r="BH133" s="16979"/>
      <c r="BI133" s="16979"/>
      <c r="BJ133" s="16979"/>
      <c r="BK133" s="16980"/>
      <c r="BL133" s="16978"/>
      <c r="BM133" s="16979"/>
      <c r="BN133" s="16979"/>
      <c r="BO133" s="16979"/>
      <c r="BP133" s="16979"/>
      <c r="BQ133" s="16979"/>
      <c r="BR133" s="16980"/>
      <c r="BS133" s="16978"/>
      <c r="BT133" s="16979"/>
      <c r="BU133" s="16979"/>
      <c r="BV133" s="16979"/>
      <c r="BW133" s="16979"/>
      <c r="BX133" s="16979"/>
      <c r="BY133" s="16980"/>
      <c r="BZ133" s="16978"/>
      <c r="CA133" s="16979"/>
      <c r="CB133" s="16979"/>
      <c r="CC133" s="16979"/>
      <c r="CD133" s="16979"/>
      <c r="CE133" s="16979"/>
      <c r="CF133" s="16980"/>
      <c r="CG133" s="16978"/>
      <c r="CH133" s="16979"/>
      <c r="CI133" s="16979"/>
      <c r="CJ133" s="16979"/>
      <c r="CK133" s="16979"/>
      <c r="CL133" s="16979"/>
      <c r="CM133" s="16980"/>
      <c r="CN133" s="23679"/>
      <c r="CO133" s="23680"/>
      <c r="CP133" s="23680"/>
      <c r="CQ133" s="23680"/>
      <c r="CR133" s="23680"/>
      <c r="CS133" s="23680"/>
      <c r="CT133" s="23681"/>
      <c r="CU133" s="16980"/>
      <c r="CV133" s="16981" t="s">
        <v>632</v>
      </c>
      <c r="CW133" s="16982"/>
      <c r="CX133" s="16983"/>
      <c r="CY133" s="16983" t="str">
        <f>IF(T133="","",T133)</f>
        <v>Наименование централизованной системы водоотведения</v>
      </c>
      <c r="CZ133" s="16983"/>
      <c r="DA133" s="16983"/>
      <c r="DB133" s="16984">
        <v>0</v>
      </c>
    </row>
    <row s="50769" customFormat="1" customHeight="1" ht="23.25">
      <c r="A134" s="16967"/>
      <c r="B134" s="16967"/>
      <c r="C134" s="16967"/>
      <c r="D134" s="16967"/>
      <c r="E134" s="16968"/>
      <c r="F134" s="16968"/>
      <c r="G134" s="16968" t="s">
        <v>93</v>
      </c>
      <c r="H134" s="16968"/>
      <c r="I134" s="16989" t="str">
        <f>S133&amp;".1"</f>
        <v>1.4.5.1</v>
      </c>
      <c r="J134" s="16967"/>
      <c r="K134" s="16967"/>
      <c r="L134" s="16970"/>
      <c r="M134" s="16990"/>
      <c r="N134" s="16990"/>
      <c r="O134" s="16990"/>
      <c r="P134" s="16991">
        <v>1</v>
      </c>
      <c r="Q134" s="16991"/>
      <c r="R134" s="16992"/>
      <c r="S134" s="16975" t="str">
        <f>$I134</f>
        <v>1.4.5.1</v>
      </c>
      <c r="T134" s="16993" t="s">
        <v>598</v>
      </c>
      <c r="U134" s="16977"/>
      <c r="V134" s="16994"/>
      <c r="W134" s="16995"/>
      <c r="X134" s="16995"/>
      <c r="Y134" s="16995"/>
      <c r="Z134" s="16995"/>
      <c r="AA134" s="16995"/>
      <c r="AB134" s="16996"/>
      <c r="AC134" s="16997"/>
      <c r="AD134" s="16998"/>
      <c r="AE134" s="16998"/>
      <c r="AF134" s="16998"/>
      <c r="AG134" s="16998"/>
      <c r="AH134" s="16998"/>
      <c r="AI134" s="16998"/>
      <c r="AJ134" s="16994"/>
      <c r="AK134" s="16995"/>
      <c r="AL134" s="16995"/>
      <c r="AM134" s="16995"/>
      <c r="AN134" s="16995"/>
      <c r="AO134" s="16995"/>
      <c r="AP134" s="16996"/>
      <c r="AQ134" s="16994"/>
      <c r="AR134" s="16995"/>
      <c r="AS134" s="16995"/>
      <c r="AT134" s="16995"/>
      <c r="AU134" s="16995"/>
      <c r="AV134" s="16995"/>
      <c r="AW134" s="16996"/>
      <c r="AX134" s="16994"/>
      <c r="AY134" s="16995"/>
      <c r="AZ134" s="16995"/>
      <c r="BA134" s="16995"/>
      <c r="BB134" s="16995"/>
      <c r="BC134" s="16995"/>
      <c r="BD134" s="16996"/>
      <c r="BE134" s="16994"/>
      <c r="BF134" s="16995"/>
      <c r="BG134" s="16995"/>
      <c r="BH134" s="16995"/>
      <c r="BI134" s="16995"/>
      <c r="BJ134" s="16995"/>
      <c r="BK134" s="16996"/>
      <c r="BL134" s="16994"/>
      <c r="BM134" s="16995"/>
      <c r="BN134" s="16995"/>
      <c r="BO134" s="16995"/>
      <c r="BP134" s="16995"/>
      <c r="BQ134" s="16995"/>
      <c r="BR134" s="16996"/>
      <c r="BS134" s="16994"/>
      <c r="BT134" s="16995"/>
      <c r="BU134" s="16995"/>
      <c r="BV134" s="16995"/>
      <c r="BW134" s="16995"/>
      <c r="BX134" s="16995"/>
      <c r="BY134" s="16996"/>
      <c r="BZ134" s="16994"/>
      <c r="CA134" s="16995"/>
      <c r="CB134" s="16995"/>
      <c r="CC134" s="16995"/>
      <c r="CD134" s="16995"/>
      <c r="CE134" s="16995"/>
      <c r="CF134" s="16996"/>
      <c r="CG134" s="16994"/>
      <c r="CH134" s="16995"/>
      <c r="CI134" s="16995"/>
      <c r="CJ134" s="16995"/>
      <c r="CK134" s="16995"/>
      <c r="CL134" s="16995"/>
      <c r="CM134" s="16996"/>
      <c r="CN134" s="23687"/>
      <c r="CO134" s="23688"/>
      <c r="CP134" s="23688"/>
      <c r="CQ134" s="23688"/>
      <c r="CR134" s="23688"/>
      <c r="CS134" s="23688"/>
      <c r="CT134" s="23689"/>
      <c r="CU134" s="16999"/>
      <c r="CV134" s="16981" t="s">
        <v>599</v>
      </c>
      <c r="CW134" s="16982"/>
      <c r="CX134" s="16983"/>
      <c r="CY134" s="16983" t="str">
        <f>IF(T134="","",T134)</f>
        <v>Наименование признака дифференциации</v>
      </c>
      <c r="CZ134" s="16983"/>
      <c r="DA134" s="16983"/>
      <c r="DB134" s="16984">
        <v>0</v>
      </c>
    </row>
    <row s="50770" customFormat="1" customHeight="1" ht="23.25">
      <c r="A135" s="16967"/>
      <c r="B135" s="16967"/>
      <c r="C135" s="16967"/>
      <c r="D135" s="16967"/>
      <c r="E135" s="16968"/>
      <c r="F135" s="16968"/>
      <c r="G135" s="16968" t="s">
        <v>93</v>
      </c>
      <c r="H135" s="16968"/>
      <c r="I135" s="17001"/>
      <c r="J135" s="16989" t="str">
        <f>I134&amp;".1"</f>
        <v>1.4.5.1.1</v>
      </c>
      <c r="K135" s="16967"/>
      <c r="L135" s="16970" t="s">
        <v>524</v>
      </c>
      <c r="M135" s="16990"/>
      <c r="N135" s="16990"/>
      <c r="O135" s="16990"/>
      <c r="P135" s="16991"/>
      <c r="Q135" s="16991">
        <v>1</v>
      </c>
      <c r="R135" s="17002"/>
      <c r="S135" s="16975" t="str">
        <f>$J135</f>
        <v>1.4.5.1.1</v>
      </c>
      <c r="T135" s="17003" t="s">
        <v>525</v>
      </c>
      <c r="U135" s="16977"/>
      <c r="V135" s="17004"/>
      <c r="W135" s="17005"/>
      <c r="X135" s="17005"/>
      <c r="Y135" s="17005"/>
      <c r="Z135" s="17005"/>
      <c r="AA135" s="17005"/>
      <c r="AB135" s="17006"/>
      <c r="AC135" s="17004" t="s">
        <v>636</v>
      </c>
      <c r="AD135" s="17005"/>
      <c r="AE135" s="17005"/>
      <c r="AF135" s="17005"/>
      <c r="AG135" s="17005"/>
      <c r="AH135" s="17005"/>
      <c r="AI135" s="17005"/>
      <c r="AJ135" s="17004"/>
      <c r="AK135" s="17005"/>
      <c r="AL135" s="17005"/>
      <c r="AM135" s="17005"/>
      <c r="AN135" s="17005"/>
      <c r="AO135" s="17005"/>
      <c r="AP135" s="17006"/>
      <c r="AQ135" s="17004"/>
      <c r="AR135" s="17005"/>
      <c r="AS135" s="17005"/>
      <c r="AT135" s="17005"/>
      <c r="AU135" s="17005"/>
      <c r="AV135" s="17005"/>
      <c r="AW135" s="17006"/>
      <c r="AX135" s="17004"/>
      <c r="AY135" s="17005"/>
      <c r="AZ135" s="17005"/>
      <c r="BA135" s="17005"/>
      <c r="BB135" s="17005"/>
      <c r="BC135" s="17005"/>
      <c r="BD135" s="17006"/>
      <c r="BE135" s="17004"/>
      <c r="BF135" s="17005"/>
      <c r="BG135" s="17005"/>
      <c r="BH135" s="17005"/>
      <c r="BI135" s="17005"/>
      <c r="BJ135" s="17005"/>
      <c r="BK135" s="17006"/>
      <c r="BL135" s="17004"/>
      <c r="BM135" s="17005"/>
      <c r="BN135" s="17005"/>
      <c r="BO135" s="17005"/>
      <c r="BP135" s="17005"/>
      <c r="BQ135" s="17005"/>
      <c r="BR135" s="17006"/>
      <c r="BS135" s="17004"/>
      <c r="BT135" s="17005"/>
      <c r="BU135" s="17005"/>
      <c r="BV135" s="17005"/>
      <c r="BW135" s="17005"/>
      <c r="BX135" s="17005"/>
      <c r="BY135" s="17006"/>
      <c r="BZ135" s="17004"/>
      <c r="CA135" s="17005"/>
      <c r="CB135" s="17005"/>
      <c r="CC135" s="17005"/>
      <c r="CD135" s="17005"/>
      <c r="CE135" s="17005"/>
      <c r="CF135" s="17006"/>
      <c r="CG135" s="17004"/>
      <c r="CH135" s="17005"/>
      <c r="CI135" s="17005"/>
      <c r="CJ135" s="17005"/>
      <c r="CK135" s="17005"/>
      <c r="CL135" s="17005"/>
      <c r="CM135" s="17006"/>
      <c r="CN135" s="23693"/>
      <c r="CO135" s="23694"/>
      <c r="CP135" s="23694"/>
      <c r="CQ135" s="23694"/>
      <c r="CR135" s="23694"/>
      <c r="CS135" s="23694"/>
      <c r="CT135" s="23695"/>
      <c r="CU135" s="17006"/>
      <c r="CV135" s="17007" t="s">
        <v>600</v>
      </c>
      <c r="CW135" s="16982"/>
      <c r="CX135" s="16983"/>
      <c r="CY135" s="16983" t="str">
        <f>IF(T135="","",T135)</f>
        <v>Группа потребителей</v>
      </c>
      <c r="CZ135" s="16983"/>
      <c r="DA135" s="16983"/>
      <c r="DB135" s="16984">
        <v>0</v>
      </c>
    </row>
    <row s="50771" customFormat="1" customHeight="1" ht="23.25">
      <c r="A136" s="16967"/>
      <c r="B136" s="16967"/>
      <c r="C136" s="16967"/>
      <c r="D136" s="16967"/>
      <c r="E136" s="16968"/>
      <c r="F136" s="16968"/>
      <c r="G136" s="16968" t="s">
        <v>93</v>
      </c>
      <c r="H136" s="16968"/>
      <c r="I136" s="17001"/>
      <c r="J136" s="17001"/>
      <c r="K136" s="16989" t="str">
        <f>J135&amp;".1"</f>
        <v>1.4.5.1.1.1</v>
      </c>
      <c r="L136" s="16970"/>
      <c r="M136" s="16990"/>
      <c r="N136" s="16990"/>
      <c r="O136" s="16990"/>
      <c r="P136" s="16991"/>
      <c r="Q136" s="16991"/>
      <c r="R136" s="17002">
        <v>1</v>
      </c>
      <c r="S136" s="16975" t="str">
        <f>$K136</f>
        <v>1.4.5.1.1.1</v>
      </c>
      <c r="T136" s="17009"/>
      <c r="U136" s="16977"/>
      <c r="V136" s="17010"/>
      <c r="W136" s="17010"/>
      <c r="X136" s="17011"/>
      <c r="Y136" s="16696"/>
      <c r="Z136" s="17012" t="s">
        <v>63</v>
      </c>
      <c r="AA136" s="16696"/>
      <c r="AB136" s="17012" t="s">
        <v>63</v>
      </c>
      <c r="AC136" s="17010">
        <v>12.6</v>
      </c>
      <c r="AD136" s="17010"/>
      <c r="AE136" s="17011"/>
      <c r="AF136" s="40552">
        <v>45292.66675925926</v>
      </c>
      <c r="AG136" s="17012" t="s">
        <v>63</v>
      </c>
      <c r="AH136" s="40553">
        <v>45473.6671875</v>
      </c>
      <c r="AI136" s="17012" t="s">
        <v>63</v>
      </c>
      <c r="AJ136" s="17010">
        <v>16.38</v>
      </c>
      <c r="AK136" s="17010"/>
      <c r="AL136" s="17011"/>
      <c r="AM136" s="40552">
        <v>45474.66763888889</v>
      </c>
      <c r="AN136" s="17012" t="s">
        <v>63</v>
      </c>
      <c r="AO136" s="40552">
        <v>45657.66782407407</v>
      </c>
      <c r="AP136" s="17012" t="s">
        <v>63</v>
      </c>
      <c r="AQ136" s="17010">
        <v>16.38</v>
      </c>
      <c r="AR136" s="17010"/>
      <c r="AS136" s="17011"/>
      <c r="AT136" s="40552">
        <v>45658.66818287037</v>
      </c>
      <c r="AU136" s="17012" t="s">
        <v>63</v>
      </c>
      <c r="AV136" s="40552">
        <v>45838.66829861111</v>
      </c>
      <c r="AW136" s="17012" t="s">
        <v>63</v>
      </c>
      <c r="AX136" s="17010">
        <v>20.48</v>
      </c>
      <c r="AY136" s="17010"/>
      <c r="AZ136" s="17011"/>
      <c r="BA136" s="40552">
        <v>45839.668969907405</v>
      </c>
      <c r="BB136" s="17012" t="s">
        <v>63</v>
      </c>
      <c r="BC136" s="40552">
        <v>46022.66920138889</v>
      </c>
      <c r="BD136" s="17012" t="s">
        <v>63</v>
      </c>
      <c r="BE136" s="17010">
        <v>18.28</v>
      </c>
      <c r="BF136" s="17010"/>
      <c r="BG136" s="17011"/>
      <c r="BH136" s="40552">
        <v>46023.669490740744</v>
      </c>
      <c r="BI136" s="17012" t="s">
        <v>63</v>
      </c>
      <c r="BJ136" s="40552">
        <v>46203.66967592593</v>
      </c>
      <c r="BK136" s="17012" t="s">
        <v>63</v>
      </c>
      <c r="BL136" s="17010">
        <v>18.28</v>
      </c>
      <c r="BM136" s="17010"/>
      <c r="BN136" s="17011"/>
      <c r="BO136" s="40552">
        <v>46204.67046296296</v>
      </c>
      <c r="BP136" s="17012" t="s">
        <v>63</v>
      </c>
      <c r="BQ136" s="40552">
        <v>46387.67092592592</v>
      </c>
      <c r="BR136" s="17012" t="s">
        <v>63</v>
      </c>
      <c r="BS136" s="17010">
        <v>18.28</v>
      </c>
      <c r="BT136" s="17010"/>
      <c r="BU136" s="17011"/>
      <c r="BV136" s="40552">
        <v>46388.671215277776</v>
      </c>
      <c r="BW136" s="17012" t="s">
        <v>63</v>
      </c>
      <c r="BX136" s="40552">
        <v>46568.671423611115</v>
      </c>
      <c r="BY136" s="17012" t="s">
        <v>63</v>
      </c>
      <c r="BZ136" s="17010">
        <v>18.38</v>
      </c>
      <c r="CA136" s="17010"/>
      <c r="CB136" s="17011"/>
      <c r="CC136" s="40552">
        <v>46569.67178240741</v>
      </c>
      <c r="CD136" s="17012" t="s">
        <v>63</v>
      </c>
      <c r="CE136" s="40552">
        <v>46752.67197916667</v>
      </c>
      <c r="CF136" s="17012" t="s">
        <v>63</v>
      </c>
      <c r="CG136" s="17010">
        <v>18.38</v>
      </c>
      <c r="CH136" s="17010"/>
      <c r="CI136" s="17011"/>
      <c r="CJ136" s="40552">
        <v>46753.67228009259</v>
      </c>
      <c r="CK136" s="17012" t="s">
        <v>63</v>
      </c>
      <c r="CL136" s="40552">
        <v>46934.672638888886</v>
      </c>
      <c r="CM136" s="17012" t="s">
        <v>63</v>
      </c>
      <c r="CN136" s="23700">
        <v>19.44</v>
      </c>
      <c r="CO136" s="23700"/>
      <c r="CP136" s="23701"/>
      <c r="CQ136" s="40552">
        <v>46935.672847222224</v>
      </c>
      <c r="CR136" s="23703" t="s">
        <v>63</v>
      </c>
      <c r="CS136" s="40552">
        <v>47118.67313657407</v>
      </c>
      <c r="CT136" s="23703" t="s">
        <v>63</v>
      </c>
      <c r="CU136" s="17013"/>
      <c r="CV136" s="170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136" s="16982">
        <f>STRCHECKDATE(V137:CU137)</f>
      </c>
      <c r="CX136" s="16983"/>
      <c r="CY136" s="16983" t="str">
        <f>IF(T136="","",T136)</f>
        <v/>
      </c>
      <c r="CZ136" s="16983"/>
      <c r="DA136" s="16983"/>
      <c r="DB136" s="16984">
        <v>0</v>
      </c>
    </row>
    <row s="50772" customFormat="1" customHeight="1" ht="14.25">
      <c r="A137" s="16967"/>
      <c r="B137" s="16967"/>
      <c r="C137" s="16967"/>
      <c r="D137" s="16967"/>
      <c r="E137" s="16968"/>
      <c r="F137" s="16968"/>
      <c r="G137" s="16968" t="s">
        <v>93</v>
      </c>
      <c r="H137" s="16968"/>
      <c r="I137" s="17001"/>
      <c r="J137" s="17001"/>
      <c r="K137" s="16989"/>
      <c r="L137" s="16970"/>
      <c r="M137" s="16990"/>
      <c r="N137" s="16990"/>
      <c r="O137" s="16990"/>
      <c r="P137" s="16991"/>
      <c r="Q137" s="16991"/>
      <c r="R137" s="17002"/>
      <c r="S137" s="17016"/>
      <c r="T137" s="16977"/>
      <c r="U137" s="16977"/>
      <c r="V137" s="17017"/>
      <c r="W137" s="17017"/>
      <c r="X137" s="17018" t="str">
        <f>Y136&amp;"-"&amp;AA136</f>
        <v>-</v>
      </c>
      <c r="Y137" s="17019"/>
      <c r="Z137" s="17012"/>
      <c r="AA137" s="17019"/>
      <c r="AB137" s="17012"/>
      <c r="AC137" s="17017"/>
      <c r="AD137" s="17017"/>
      <c r="AE137" s="17018" t="str">
        <f>AF136&amp;"-"&amp;AH136</f>
        <v>45292.66675925926-45473.6671875</v>
      </c>
      <c r="AF137" s="17019"/>
      <c r="AG137" s="17012"/>
      <c r="AH137" s="17020"/>
      <c r="AI137" s="17012"/>
      <c r="AJ137" s="17017"/>
      <c r="AK137" s="17017"/>
      <c r="AL137" s="17018" t="str">
        <f>AM136&amp;"-"&amp;AO136</f>
        <v>45474.66763888889-45657.66782407407</v>
      </c>
      <c r="AM137" s="17019"/>
      <c r="AN137" s="17012"/>
      <c r="AO137" s="17019"/>
      <c r="AP137" s="17012"/>
      <c r="AQ137" s="17017"/>
      <c r="AR137" s="17017"/>
      <c r="AS137" s="17018" t="str">
        <f>AT136&amp;"-"&amp;AV136</f>
        <v>45658.66818287037-45838.66829861111</v>
      </c>
      <c r="AT137" s="17019"/>
      <c r="AU137" s="17012"/>
      <c r="AV137" s="17019"/>
      <c r="AW137" s="17012"/>
      <c r="AX137" s="17017"/>
      <c r="AY137" s="17017"/>
      <c r="AZ137" s="17018" t="str">
        <f>BA136&amp;"-"&amp;BC136</f>
        <v>45839.668969907405-46022.66920138889</v>
      </c>
      <c r="BA137" s="17019"/>
      <c r="BB137" s="17012"/>
      <c r="BC137" s="17019"/>
      <c r="BD137" s="17012"/>
      <c r="BE137" s="17017"/>
      <c r="BF137" s="17017"/>
      <c r="BG137" s="17018" t="str">
        <f>BH136&amp;"-"&amp;BJ136</f>
        <v>46023.669490740744-46203.66967592593</v>
      </c>
      <c r="BH137" s="17019"/>
      <c r="BI137" s="17012"/>
      <c r="BJ137" s="17019"/>
      <c r="BK137" s="17012"/>
      <c r="BL137" s="17017"/>
      <c r="BM137" s="17017"/>
      <c r="BN137" s="17018" t="str">
        <f>BO136&amp;"-"&amp;BQ136</f>
        <v>46204.67046296296-46387.67092592592</v>
      </c>
      <c r="BO137" s="17019"/>
      <c r="BP137" s="17012"/>
      <c r="BQ137" s="17019"/>
      <c r="BR137" s="17012"/>
      <c r="BS137" s="17017"/>
      <c r="BT137" s="17017"/>
      <c r="BU137" s="17018" t="str">
        <f>BV136&amp;"-"&amp;BX136</f>
        <v>46388.671215277776-46568.671423611115</v>
      </c>
      <c r="BV137" s="17019"/>
      <c r="BW137" s="17012"/>
      <c r="BX137" s="17019"/>
      <c r="BY137" s="17012"/>
      <c r="BZ137" s="17017"/>
      <c r="CA137" s="17017"/>
      <c r="CB137" s="17018" t="str">
        <f>CC136&amp;"-"&amp;CE136</f>
        <v>46569.67178240741-46752.67197916667</v>
      </c>
      <c r="CC137" s="17019"/>
      <c r="CD137" s="17012"/>
      <c r="CE137" s="17019"/>
      <c r="CF137" s="17012"/>
      <c r="CG137" s="17017"/>
      <c r="CH137" s="17017"/>
      <c r="CI137" s="17018" t="str">
        <f>CJ136&amp;"-"&amp;CL136</f>
        <v>46753.67228009259-46934.672638888886</v>
      </c>
      <c r="CJ137" s="17019"/>
      <c r="CK137" s="17012"/>
      <c r="CL137" s="17019"/>
      <c r="CM137" s="17012"/>
      <c r="CN137" s="23708"/>
      <c r="CO137" s="23708"/>
      <c r="CP137" s="23709" t="str">
        <f>CQ136&amp;"-"&amp;CS136</f>
        <v>46935.672847222224-47118.67313657407</v>
      </c>
      <c r="CQ137" s="23710"/>
      <c r="CR137" s="23703"/>
      <c r="CS137" s="23710"/>
      <c r="CT137" s="23703"/>
      <c r="CU137" s="17021"/>
      <c r="CV137" s="17014"/>
      <c r="CW137" s="16982"/>
      <c r="CX137" s="16983"/>
      <c r="CY137" s="16983" t="str">
        <f>IF(T137="","",T137)</f>
        <v/>
      </c>
      <c r="CZ137" s="16983"/>
      <c r="DA137" s="16983"/>
      <c r="DB137" s="16984">
        <v>0</v>
      </c>
    </row>
    <row s="50773" customFormat="1" customHeight="1" ht="21">
      <c r="A138" s="16967"/>
      <c r="B138" s="16967"/>
      <c r="C138" s="16967"/>
      <c r="D138" s="16967"/>
      <c r="E138" s="16968"/>
      <c r="F138" s="16968"/>
      <c r="G138" s="16968" t="s">
        <v>93</v>
      </c>
      <c r="H138" s="16968"/>
      <c r="I138" s="17001"/>
      <c r="J138" s="16989"/>
      <c r="K138" s="16967"/>
      <c r="L138" s="16970"/>
      <c r="M138" s="16990"/>
      <c r="N138" s="16990"/>
      <c r="O138" s="16990"/>
      <c r="P138" s="16991"/>
      <c r="Q138" s="16991"/>
      <c r="R138" s="16992"/>
      <c r="S138" s="18431"/>
      <c r="T138" s="18432" t="s">
        <v>601</v>
      </c>
      <c r="U138" s="18433"/>
      <c r="V138" s="18434"/>
      <c r="W138" s="18435"/>
      <c r="X138" s="18436"/>
      <c r="Y138" s="18437"/>
      <c r="Z138" s="18438"/>
      <c r="AA138" s="18439"/>
      <c r="AB138" s="18440"/>
      <c r="AC138" s="18441"/>
      <c r="AD138" s="18442"/>
      <c r="AE138" s="18443"/>
      <c r="AF138" s="18444"/>
      <c r="AG138" s="18445"/>
      <c r="AH138" s="18446"/>
      <c r="AI138" s="18447"/>
      <c r="AJ138" s="18448"/>
      <c r="AK138" s="18449"/>
      <c r="AL138" s="18450"/>
      <c r="AM138" s="18451"/>
      <c r="AN138" s="18452"/>
      <c r="AO138" s="18453"/>
      <c r="AP138" s="18454"/>
      <c r="AQ138" s="18455"/>
      <c r="AR138" s="18456"/>
      <c r="AS138" s="18457"/>
      <c r="AT138" s="18458"/>
      <c r="AU138" s="18459"/>
      <c r="AV138" s="18460"/>
      <c r="AW138" s="18461"/>
      <c r="AX138" s="18462"/>
      <c r="AY138" s="18463"/>
      <c r="AZ138" s="18464"/>
      <c r="BA138" s="18465"/>
      <c r="BB138" s="18466"/>
      <c r="BC138" s="18467"/>
      <c r="BD138" s="18468"/>
      <c r="BE138" s="18469"/>
      <c r="BF138" s="18470"/>
      <c r="BG138" s="18471"/>
      <c r="BH138" s="18472"/>
      <c r="BI138" s="18473"/>
      <c r="BJ138" s="18474"/>
      <c r="BK138" s="18475"/>
      <c r="BL138" s="18476"/>
      <c r="BM138" s="18477"/>
      <c r="BN138" s="18478"/>
      <c r="BO138" s="18479"/>
      <c r="BP138" s="18480"/>
      <c r="BQ138" s="18481"/>
      <c r="BR138" s="18482"/>
      <c r="BS138" s="18483"/>
      <c r="BT138" s="18484"/>
      <c r="BU138" s="18485"/>
      <c r="BV138" s="18486"/>
      <c r="BW138" s="18487"/>
      <c r="BX138" s="18488"/>
      <c r="BY138" s="18489"/>
      <c r="BZ138" s="18490"/>
      <c r="CA138" s="18491"/>
      <c r="CB138" s="18492"/>
      <c r="CC138" s="18493"/>
      <c r="CD138" s="18494"/>
      <c r="CE138" s="18495"/>
      <c r="CF138" s="18496"/>
      <c r="CG138" s="18497"/>
      <c r="CH138" s="18498"/>
      <c r="CI138" s="18499"/>
      <c r="CJ138" s="18500"/>
      <c r="CK138" s="18501"/>
      <c r="CL138" s="18502"/>
      <c r="CM138" s="18503"/>
      <c r="CN138" s="25923"/>
      <c r="CO138" s="25924"/>
      <c r="CP138" s="25925"/>
      <c r="CQ138" s="25926"/>
      <c r="CR138" s="25927"/>
      <c r="CS138" s="25928"/>
      <c r="CT138" s="25929"/>
      <c r="CU138" s="18504"/>
      <c r="CV138" s="16981" t="s">
        <v>602</v>
      </c>
      <c r="CW138" s="16982"/>
      <c r="CX138" s="16983"/>
      <c r="CY138" s="16983" t="str">
        <f>IF(T138="","",T138)</f>
        <v>Добавить значение признака дифференциации</v>
      </c>
      <c r="CZ138" s="16983"/>
      <c r="DA138" s="16983"/>
      <c r="DB138" s="16984">
        <v>0</v>
      </c>
    </row>
    <row s="50855" customFormat="1" customHeight="1" ht="23.25">
      <c r="A139" s="40638"/>
      <c r="B139" s="40638"/>
      <c r="C139" s="40638"/>
      <c r="D139" s="40638"/>
      <c r="E139" s="40639"/>
      <c r="F139" s="40639"/>
      <c r="G139" s="40639"/>
      <c r="H139" s="40639"/>
      <c r="I139" s="40640"/>
      <c r="J139" s="40641" t="str">
        <f>I134&amp;".2"</f>
        <v>1.4.5.1.2</v>
      </c>
      <c r="K139" s="40638"/>
      <c r="L139" s="40642" t="s">
        <v>524</v>
      </c>
      <c r="M139" s="40643"/>
      <c r="N139" s="40643"/>
      <c r="O139" s="40643"/>
      <c r="P139" s="40644"/>
      <c r="Q139" s="40645" t="s">
        <v>106</v>
      </c>
      <c r="R139" s="40646"/>
      <c r="S139" s="40647" t="str">
        <f>$J139</f>
        <v>1.4.5.1.2</v>
      </c>
      <c r="T139" s="40648" t="s">
        <v>525</v>
      </c>
      <c r="U139" s="40649"/>
      <c r="V139" s="40650"/>
      <c r="W139" s="40651"/>
      <c r="X139" s="40651"/>
      <c r="Y139" s="40651"/>
      <c r="Z139" s="40651"/>
      <c r="AA139" s="40651"/>
      <c r="AB139" s="40652"/>
      <c r="AC139" s="40650" t="s">
        <v>637</v>
      </c>
      <c r="AD139" s="40651"/>
      <c r="AE139" s="40651"/>
      <c r="AF139" s="40651"/>
      <c r="AG139" s="40651"/>
      <c r="AH139" s="40651"/>
      <c r="AI139" s="40651"/>
      <c r="AJ139" s="40650"/>
      <c r="AK139" s="40651"/>
      <c r="AL139" s="40651"/>
      <c r="AM139" s="40651"/>
      <c r="AN139" s="40651"/>
      <c r="AO139" s="40651"/>
      <c r="AP139" s="40652"/>
      <c r="AQ139" s="40650"/>
      <c r="AR139" s="40651"/>
      <c r="AS139" s="40651"/>
      <c r="AT139" s="40651"/>
      <c r="AU139" s="40651"/>
      <c r="AV139" s="40651"/>
      <c r="AW139" s="40652"/>
      <c r="AX139" s="40650"/>
      <c r="AY139" s="40651"/>
      <c r="AZ139" s="40651"/>
      <c r="BA139" s="40651"/>
      <c r="BB139" s="40651"/>
      <c r="BC139" s="40651"/>
      <c r="BD139" s="40652"/>
      <c r="BE139" s="40650"/>
      <c r="BF139" s="40651"/>
      <c r="BG139" s="40651"/>
      <c r="BH139" s="40651"/>
      <c r="BI139" s="40651"/>
      <c r="BJ139" s="40651"/>
      <c r="BK139" s="40652"/>
      <c r="BL139" s="40650"/>
      <c r="BM139" s="40651"/>
      <c r="BN139" s="40651"/>
      <c r="BO139" s="40651"/>
      <c r="BP139" s="40651"/>
      <c r="BQ139" s="40651"/>
      <c r="BR139" s="40652"/>
      <c r="BS139" s="40650"/>
      <c r="BT139" s="40651"/>
      <c r="BU139" s="40651"/>
      <c r="BV139" s="40651"/>
      <c r="BW139" s="40651"/>
      <c r="BX139" s="40651"/>
      <c r="BY139" s="40652"/>
      <c r="BZ139" s="40650"/>
      <c r="CA139" s="40651"/>
      <c r="CB139" s="40651"/>
      <c r="CC139" s="40651"/>
      <c r="CD139" s="40651"/>
      <c r="CE139" s="40651"/>
      <c r="CF139" s="40652"/>
      <c r="CG139" s="40650"/>
      <c r="CH139" s="40651"/>
      <c r="CI139" s="40651"/>
      <c r="CJ139" s="40651"/>
      <c r="CK139" s="40651"/>
      <c r="CL139" s="40651"/>
      <c r="CM139" s="40652"/>
      <c r="CN139" s="40650"/>
      <c r="CO139" s="40651"/>
      <c r="CP139" s="40651"/>
      <c r="CQ139" s="40651"/>
      <c r="CR139" s="40651"/>
      <c r="CS139" s="40651"/>
      <c r="CT139" s="40653"/>
      <c r="CU139" s="40652"/>
      <c r="CV139" s="40654" t="s">
        <v>600</v>
      </c>
      <c r="CW139" s="40655"/>
      <c r="CX139" s="40656"/>
      <c r="CY139" s="40656" t="str">
        <f>IF(T139="","",T139)</f>
        <v>Группа потребителей</v>
      </c>
      <c r="CZ139" s="40656"/>
      <c r="DA139" s="40656"/>
      <c r="DB139" s="40657">
        <v>0</v>
      </c>
    </row>
    <row s="50856" customFormat="1" customHeight="1" ht="23.25">
      <c r="A140" s="40638"/>
      <c r="B140" s="40638"/>
      <c r="C140" s="40638"/>
      <c r="D140" s="40638"/>
      <c r="E140" s="40639"/>
      <c r="F140" s="40639"/>
      <c r="G140" s="40639"/>
      <c r="H140" s="40639"/>
      <c r="I140" s="40640"/>
      <c r="J140" s="40640" t="str">
        <f>I134&amp;".1"</f>
        <v>1.4.5.1.1</v>
      </c>
      <c r="K140" s="40641" t="str">
        <f>J139&amp;".1"</f>
        <v>1.4.5.1.2.1</v>
      </c>
      <c r="L140" s="40642"/>
      <c r="M140" s="40643"/>
      <c r="N140" s="40643"/>
      <c r="O140" s="40643"/>
      <c r="P140" s="40644"/>
      <c r="Q140" s="40644"/>
      <c r="R140" s="40646">
        <v>1</v>
      </c>
      <c r="S140" s="40647" t="str">
        <f>$K140</f>
        <v>1.4.5.1.2.1</v>
      </c>
      <c r="T140" s="40659"/>
      <c r="U140" s="40649"/>
      <c r="V140" s="40660"/>
      <c r="W140" s="40660"/>
      <c r="X140" s="40661"/>
      <c r="Y140" s="40552"/>
      <c r="Z140" s="40662" t="s">
        <v>63</v>
      </c>
      <c r="AA140" s="40552"/>
      <c r="AB140" s="40662" t="s">
        <v>63</v>
      </c>
      <c r="AC140" s="40660">
        <v>10.5</v>
      </c>
      <c r="AD140" s="40660"/>
      <c r="AE140" s="40661"/>
      <c r="AF140" s="40552">
        <v>45292.66685185185</v>
      </c>
      <c r="AG140" s="40662" t="s">
        <v>63</v>
      </c>
      <c r="AH140" s="40553">
        <v>45473.66746527778</v>
      </c>
      <c r="AI140" s="40662" t="s">
        <v>63</v>
      </c>
      <c r="AJ140" s="40660">
        <v>13.65</v>
      </c>
      <c r="AK140" s="40660"/>
      <c r="AL140" s="40661"/>
      <c r="AM140" s="40552">
        <v>45474.66775462963</v>
      </c>
      <c r="AN140" s="40662" t="s">
        <v>63</v>
      </c>
      <c r="AO140" s="40552">
        <v>45657.66788194444</v>
      </c>
      <c r="AP140" s="40662" t="s">
        <v>63</v>
      </c>
      <c r="AQ140" s="40660">
        <v>13.65</v>
      </c>
      <c r="AR140" s="40660"/>
      <c r="AS140" s="40661"/>
      <c r="AT140" s="40552">
        <v>45658.66826388889</v>
      </c>
      <c r="AU140" s="40662" t="s">
        <v>63</v>
      </c>
      <c r="AV140" s="40552">
        <v>45838.66840277778</v>
      </c>
      <c r="AW140" s="40662" t="s">
        <v>63</v>
      </c>
      <c r="AX140" s="40660">
        <v>17.07</v>
      </c>
      <c r="AY140" s="40660"/>
      <c r="AZ140" s="40661"/>
      <c r="BA140" s="40552">
        <v>45839.669074074074</v>
      </c>
      <c r="BB140" s="40662" t="s">
        <v>63</v>
      </c>
      <c r="BC140" s="40552">
        <v>46022.66929398148</v>
      </c>
      <c r="BD140" s="40662" t="s">
        <v>63</v>
      </c>
      <c r="BE140" s="40660">
        <v>15.23</v>
      </c>
      <c r="BF140" s="40660"/>
      <c r="BG140" s="40661"/>
      <c r="BH140" s="40552">
        <v>46023.669594907406</v>
      </c>
      <c r="BI140" s="40662" t="s">
        <v>63</v>
      </c>
      <c r="BJ140" s="40552">
        <v>46203.669895833336</v>
      </c>
      <c r="BK140" s="40662" t="s">
        <v>63</v>
      </c>
      <c r="BL140" s="40660">
        <v>15.23</v>
      </c>
      <c r="BM140" s="40660"/>
      <c r="BN140" s="40661"/>
      <c r="BO140" s="40552">
        <v>46204.67068287037</v>
      </c>
      <c r="BP140" s="40662" t="s">
        <v>63</v>
      </c>
      <c r="BQ140" s="40552">
        <v>46387.67099537037</v>
      </c>
      <c r="BR140" s="40662" t="s">
        <v>63</v>
      </c>
      <c r="BS140" s="40660">
        <v>15.23</v>
      </c>
      <c r="BT140" s="40660"/>
      <c r="BU140" s="40661"/>
      <c r="BV140" s="40552">
        <v>46388.67134259259</v>
      </c>
      <c r="BW140" s="40662" t="s">
        <v>63</v>
      </c>
      <c r="BX140" s="40552">
        <v>46568.671631944446</v>
      </c>
      <c r="BY140" s="40662" t="s">
        <v>63</v>
      </c>
      <c r="BZ140" s="40660">
        <v>15.32</v>
      </c>
      <c r="CA140" s="40660"/>
      <c r="CB140" s="40661"/>
      <c r="CC140" s="40552">
        <v>46569.67188657408</v>
      </c>
      <c r="CD140" s="40662" t="s">
        <v>63</v>
      </c>
      <c r="CE140" s="40552">
        <v>46752.672106481485</v>
      </c>
      <c r="CF140" s="40662" t="s">
        <v>63</v>
      </c>
      <c r="CG140" s="40660">
        <v>15.32</v>
      </c>
      <c r="CH140" s="40660"/>
      <c r="CI140" s="40661"/>
      <c r="CJ140" s="40552">
        <v>46753.672418981485</v>
      </c>
      <c r="CK140" s="40662" t="s">
        <v>63</v>
      </c>
      <c r="CL140" s="40552">
        <v>46934.67273148148</v>
      </c>
      <c r="CM140" s="40662" t="s">
        <v>63</v>
      </c>
      <c r="CN140" s="40660">
        <v>16.2</v>
      </c>
      <c r="CO140" s="40660"/>
      <c r="CP140" s="40661"/>
      <c r="CQ140" s="40552">
        <v>46935.672997685186</v>
      </c>
      <c r="CR140" s="40662" t="s">
        <v>63</v>
      </c>
      <c r="CS140" s="40552">
        <v>47118.67328703704</v>
      </c>
      <c r="CT140" s="40663" t="s">
        <v>63</v>
      </c>
      <c r="CU140" s="40664"/>
      <c r="CV140" s="406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140" s="40655">
        <f>STRCHECKDATE(V141:CU141)</f>
      </c>
      <c r="CX140" s="40656"/>
      <c r="CY140" s="40656" t="str">
        <f>IF(T140="","",T140)</f>
        <v/>
      </c>
      <c r="CZ140" s="40656"/>
      <c r="DA140" s="40656"/>
      <c r="DB140" s="40657">
        <v>0</v>
      </c>
    </row>
    <row s="50857" customFormat="1" customHeight="1" ht="14.25">
      <c r="A141" s="40638"/>
      <c r="B141" s="40638"/>
      <c r="C141" s="40638"/>
      <c r="D141" s="40638"/>
      <c r="E141" s="40639"/>
      <c r="F141" s="40639"/>
      <c r="G141" s="40639"/>
      <c r="H141" s="40639"/>
      <c r="I141" s="40640"/>
      <c r="J141" s="40640" t="str">
        <f>I134&amp;".1"</f>
        <v>1.4.5.1.1</v>
      </c>
      <c r="K141" s="40641"/>
      <c r="L141" s="40642"/>
      <c r="M141" s="40643"/>
      <c r="N141" s="40643"/>
      <c r="O141" s="40643"/>
      <c r="P141" s="40644"/>
      <c r="Q141" s="40644"/>
      <c r="R141" s="40646"/>
      <c r="S141" s="40667"/>
      <c r="T141" s="40649"/>
      <c r="U141" s="40649"/>
      <c r="V141" s="40668"/>
      <c r="W141" s="40668"/>
      <c r="X141" s="40669" t="str">
        <f>Y140&amp;"-"&amp;AA140</f>
        <v>-</v>
      </c>
      <c r="Y141" s="40670"/>
      <c r="Z141" s="40662"/>
      <c r="AA141" s="40670"/>
      <c r="AB141" s="40662"/>
      <c r="AC141" s="40668"/>
      <c r="AD141" s="40668"/>
      <c r="AE141" s="40669" t="str">
        <f>AF140&amp;"-"&amp;AH140</f>
        <v>45292.66685185185-45473.66746527778</v>
      </c>
      <c r="AF141" s="40670"/>
      <c r="AG141" s="40662"/>
      <c r="AH141" s="40671"/>
      <c r="AI141" s="40662"/>
      <c r="AJ141" s="40668"/>
      <c r="AK141" s="40668"/>
      <c r="AL141" s="40669" t="str">
        <f>AM140&amp;"-"&amp;AO140</f>
        <v>45474.66775462963-45657.66788194444</v>
      </c>
      <c r="AM141" s="40670"/>
      <c r="AN141" s="40662"/>
      <c r="AO141" s="40670"/>
      <c r="AP141" s="40662"/>
      <c r="AQ141" s="40668"/>
      <c r="AR141" s="40668"/>
      <c r="AS141" s="40669" t="str">
        <f>AT140&amp;"-"&amp;AV140</f>
        <v>45658.66826388889-45838.66840277778</v>
      </c>
      <c r="AT141" s="40670"/>
      <c r="AU141" s="40662"/>
      <c r="AV141" s="40670"/>
      <c r="AW141" s="40662"/>
      <c r="AX141" s="40668"/>
      <c r="AY141" s="40668"/>
      <c r="AZ141" s="40669" t="str">
        <f>BA140&amp;"-"&amp;BC140</f>
        <v>45839.669074074074-46022.66929398148</v>
      </c>
      <c r="BA141" s="40670"/>
      <c r="BB141" s="40662"/>
      <c r="BC141" s="40670"/>
      <c r="BD141" s="40662"/>
      <c r="BE141" s="40668"/>
      <c r="BF141" s="40668"/>
      <c r="BG141" s="40669" t="str">
        <f>BH140&amp;"-"&amp;BJ140</f>
        <v>46023.669594907406-46203.669895833336</v>
      </c>
      <c r="BH141" s="40670"/>
      <c r="BI141" s="40662"/>
      <c r="BJ141" s="40670"/>
      <c r="BK141" s="40662"/>
      <c r="BL141" s="40668"/>
      <c r="BM141" s="40668"/>
      <c r="BN141" s="40669" t="str">
        <f>BO140&amp;"-"&amp;BQ140</f>
        <v>46204.67068287037-46387.67099537037</v>
      </c>
      <c r="BO141" s="40670"/>
      <c r="BP141" s="40662"/>
      <c r="BQ141" s="40670"/>
      <c r="BR141" s="40662"/>
      <c r="BS141" s="40668"/>
      <c r="BT141" s="40668"/>
      <c r="BU141" s="40669" t="str">
        <f>BV140&amp;"-"&amp;BX140</f>
        <v>46388.67134259259-46568.671631944446</v>
      </c>
      <c r="BV141" s="40670"/>
      <c r="BW141" s="40662"/>
      <c r="BX141" s="40670"/>
      <c r="BY141" s="40662"/>
      <c r="BZ141" s="40668"/>
      <c r="CA141" s="40668"/>
      <c r="CB141" s="40669" t="str">
        <f>CC140&amp;"-"&amp;CE140</f>
        <v>46569.67188657408-46752.672106481485</v>
      </c>
      <c r="CC141" s="40670"/>
      <c r="CD141" s="40662"/>
      <c r="CE141" s="40670"/>
      <c r="CF141" s="40662"/>
      <c r="CG141" s="40668"/>
      <c r="CH141" s="40668"/>
      <c r="CI141" s="40669" t="str">
        <f>CJ140&amp;"-"&amp;CL140</f>
        <v>46753.672418981485-46934.67273148148</v>
      </c>
      <c r="CJ141" s="40670"/>
      <c r="CK141" s="40662"/>
      <c r="CL141" s="40670"/>
      <c r="CM141" s="40662"/>
      <c r="CN141" s="40668"/>
      <c r="CO141" s="40668"/>
      <c r="CP141" s="40669" t="str">
        <f>CQ140&amp;"-"&amp;CS140</f>
        <v>46935.672997685186-47118.67328703704</v>
      </c>
      <c r="CQ141" s="40670"/>
      <c r="CR141" s="40662"/>
      <c r="CS141" s="40670"/>
      <c r="CT141" s="40663"/>
      <c r="CU141" s="40672"/>
      <c r="CV141" s="40665"/>
      <c r="CW141" s="40655"/>
      <c r="CX141" s="40656"/>
      <c r="CY141" s="40656" t="str">
        <f>IF(T141="","",T141)</f>
        <v/>
      </c>
      <c r="CZ141" s="40656"/>
      <c r="DA141" s="40656"/>
      <c r="DB141" s="40657">
        <v>0</v>
      </c>
    </row>
    <row s="50858" customFormat="1" customHeight="1" ht="21">
      <c r="A142" s="40638"/>
      <c r="B142" s="40638"/>
      <c r="C142" s="40638"/>
      <c r="D142" s="40638"/>
      <c r="E142" s="40639"/>
      <c r="F142" s="40639"/>
      <c r="G142" s="40639"/>
      <c r="H142" s="40639"/>
      <c r="I142" s="40640"/>
      <c r="J142" s="40641" t="str">
        <f>I134&amp;".1"</f>
        <v>1.4.5.1.1</v>
      </c>
      <c r="K142" s="40638"/>
      <c r="L142" s="40642"/>
      <c r="M142" s="40643"/>
      <c r="N142" s="40643"/>
      <c r="O142" s="40643"/>
      <c r="P142" s="40644"/>
      <c r="Q142" s="40644"/>
      <c r="R142" s="40674"/>
      <c r="S142" s="42028"/>
      <c r="T142" s="42029" t="s">
        <v>601</v>
      </c>
      <c r="U142" s="42030"/>
      <c r="V142" s="42031"/>
      <c r="W142" s="42032"/>
      <c r="X142" s="42033"/>
      <c r="Y142" s="42034"/>
      <c r="Z142" s="42035"/>
      <c r="AA142" s="42036"/>
      <c r="AB142" s="42037"/>
      <c r="AC142" s="42038"/>
      <c r="AD142" s="42039"/>
      <c r="AE142" s="42040"/>
      <c r="AF142" s="42041"/>
      <c r="AG142" s="42042"/>
      <c r="AH142" s="42043"/>
      <c r="AI142" s="42044"/>
      <c r="AJ142" s="42045"/>
      <c r="AK142" s="42046"/>
      <c r="AL142" s="42047"/>
      <c r="AM142" s="42048"/>
      <c r="AN142" s="42049"/>
      <c r="AO142" s="42050"/>
      <c r="AP142" s="42051"/>
      <c r="AQ142" s="42052"/>
      <c r="AR142" s="42053"/>
      <c r="AS142" s="42054"/>
      <c r="AT142" s="42055"/>
      <c r="AU142" s="42056"/>
      <c r="AV142" s="42057"/>
      <c r="AW142" s="42058"/>
      <c r="AX142" s="42059"/>
      <c r="AY142" s="42060"/>
      <c r="AZ142" s="42061"/>
      <c r="BA142" s="42062"/>
      <c r="BB142" s="42063"/>
      <c r="BC142" s="42064"/>
      <c r="BD142" s="42065"/>
      <c r="BE142" s="42066"/>
      <c r="BF142" s="42067"/>
      <c r="BG142" s="42068"/>
      <c r="BH142" s="42069"/>
      <c r="BI142" s="42070"/>
      <c r="BJ142" s="42071"/>
      <c r="BK142" s="42072"/>
      <c r="BL142" s="42073"/>
      <c r="BM142" s="42074"/>
      <c r="BN142" s="42075"/>
      <c r="BO142" s="42076"/>
      <c r="BP142" s="42077"/>
      <c r="BQ142" s="42078"/>
      <c r="BR142" s="42079"/>
      <c r="BS142" s="42080"/>
      <c r="BT142" s="42081"/>
      <c r="BU142" s="42082"/>
      <c r="BV142" s="42083"/>
      <c r="BW142" s="42084"/>
      <c r="BX142" s="42085"/>
      <c r="BY142" s="42086"/>
      <c r="BZ142" s="42087"/>
      <c r="CA142" s="42088"/>
      <c r="CB142" s="42089"/>
      <c r="CC142" s="42090"/>
      <c r="CD142" s="42091"/>
      <c r="CE142" s="42092"/>
      <c r="CF142" s="42093"/>
      <c r="CG142" s="42094"/>
      <c r="CH142" s="42095"/>
      <c r="CI142" s="42096"/>
      <c r="CJ142" s="42097"/>
      <c r="CK142" s="42098"/>
      <c r="CL142" s="42099"/>
      <c r="CM142" s="42100"/>
      <c r="CN142" s="42101"/>
      <c r="CO142" s="42102"/>
      <c r="CP142" s="42103"/>
      <c r="CQ142" s="42104"/>
      <c r="CR142" s="42105"/>
      <c r="CS142" s="42106"/>
      <c r="CT142" s="42107"/>
      <c r="CU142" s="42108"/>
      <c r="CV142" s="40756" t="s">
        <v>602</v>
      </c>
      <c r="CW142" s="40655"/>
      <c r="CX142" s="40656"/>
      <c r="CY142" s="40656" t="str">
        <f>IF(T142="","",T142)</f>
        <v>Добавить значение признака дифференциации</v>
      </c>
      <c r="CZ142" s="40656"/>
      <c r="DA142" s="40656"/>
      <c r="DB142" s="40657">
        <v>0</v>
      </c>
    </row>
    <row s="50940" customFormat="1" customHeight="1" ht="21">
      <c r="A143" s="16967"/>
      <c r="B143" s="16967"/>
      <c r="C143" s="16967"/>
      <c r="D143" s="16967"/>
      <c r="E143" s="16968"/>
      <c r="F143" s="16968"/>
      <c r="G143" s="16968" t="s">
        <v>93</v>
      </c>
      <c r="H143" s="16968"/>
      <c r="I143" s="16989"/>
      <c r="J143" s="16967"/>
      <c r="K143" s="16967"/>
      <c r="L143" s="16970"/>
      <c r="M143" s="16990"/>
      <c r="N143" s="16990"/>
      <c r="O143" s="16990"/>
      <c r="P143" s="16991"/>
      <c r="Q143" s="16991"/>
      <c r="R143" s="16992"/>
      <c r="S143" s="18506"/>
      <c r="T143" s="18507" t="s">
        <v>530</v>
      </c>
      <c r="U143" s="18508"/>
      <c r="V143" s="18509"/>
      <c r="W143" s="18510"/>
      <c r="X143" s="18511"/>
      <c r="Y143" s="18512"/>
      <c r="Z143" s="18513"/>
      <c r="AA143" s="18514"/>
      <c r="AB143" s="18515"/>
      <c r="AC143" s="18516"/>
      <c r="AD143" s="18517"/>
      <c r="AE143" s="18518"/>
      <c r="AF143" s="18519"/>
      <c r="AG143" s="18520"/>
      <c r="AH143" s="18521"/>
      <c r="AI143" s="18522"/>
      <c r="AJ143" s="18523"/>
      <c r="AK143" s="18524"/>
      <c r="AL143" s="18525"/>
      <c r="AM143" s="18526"/>
      <c r="AN143" s="18527"/>
      <c r="AO143" s="18528"/>
      <c r="AP143" s="18529"/>
      <c r="AQ143" s="18530"/>
      <c r="AR143" s="18531"/>
      <c r="AS143" s="18532"/>
      <c r="AT143" s="18533"/>
      <c r="AU143" s="18534"/>
      <c r="AV143" s="18535"/>
      <c r="AW143" s="18536"/>
      <c r="AX143" s="18537"/>
      <c r="AY143" s="18538"/>
      <c r="AZ143" s="18539"/>
      <c r="BA143" s="18540"/>
      <c r="BB143" s="18541"/>
      <c r="BC143" s="18542"/>
      <c r="BD143" s="18543"/>
      <c r="BE143" s="18544"/>
      <c r="BF143" s="18545"/>
      <c r="BG143" s="18546"/>
      <c r="BH143" s="18547"/>
      <c r="BI143" s="18548"/>
      <c r="BJ143" s="18549"/>
      <c r="BK143" s="18550"/>
      <c r="BL143" s="18551"/>
      <c r="BM143" s="18552"/>
      <c r="BN143" s="18553"/>
      <c r="BO143" s="18554"/>
      <c r="BP143" s="18555"/>
      <c r="BQ143" s="18556"/>
      <c r="BR143" s="18557"/>
      <c r="BS143" s="18558"/>
      <c r="BT143" s="18559"/>
      <c r="BU143" s="18560"/>
      <c r="BV143" s="18561"/>
      <c r="BW143" s="18562"/>
      <c r="BX143" s="18563"/>
      <c r="BY143" s="18564"/>
      <c r="BZ143" s="18565"/>
      <c r="CA143" s="18566"/>
      <c r="CB143" s="18567"/>
      <c r="CC143" s="18568"/>
      <c r="CD143" s="18569"/>
      <c r="CE143" s="18570"/>
      <c r="CF143" s="18571"/>
      <c r="CG143" s="18572"/>
      <c r="CH143" s="18573"/>
      <c r="CI143" s="18574"/>
      <c r="CJ143" s="18575"/>
      <c r="CK143" s="18576"/>
      <c r="CL143" s="18577"/>
      <c r="CM143" s="18578"/>
      <c r="CN143" s="26005"/>
      <c r="CO143" s="26006"/>
      <c r="CP143" s="26007"/>
      <c r="CQ143" s="26008"/>
      <c r="CR143" s="26009"/>
      <c r="CS143" s="26010"/>
      <c r="CT143" s="26011"/>
      <c r="CU143" s="18579"/>
      <c r="CV143" s="18580"/>
      <c r="CW143" s="16982"/>
      <c r="CX143" s="16983"/>
      <c r="CY143" s="16983" t="str">
        <f>IF(T143="","",T143)</f>
        <v>Добавить группу потребителей</v>
      </c>
      <c r="CZ143" s="16983"/>
      <c r="DA143" s="16983"/>
      <c r="DB143" s="16984">
        <v>0</v>
      </c>
    </row>
    <row s="51023" customFormat="1" customHeight="1" ht="21">
      <c r="A144" s="16967"/>
      <c r="B144" s="16967"/>
      <c r="C144" s="16967"/>
      <c r="D144" s="16967"/>
      <c r="E144" s="16968"/>
      <c r="F144" s="16968"/>
      <c r="G144" s="16968" t="s">
        <v>93</v>
      </c>
      <c r="H144" s="16969"/>
      <c r="I144" s="16967"/>
      <c r="J144" s="16967"/>
      <c r="K144" s="16967"/>
      <c r="L144" s="16970"/>
      <c r="M144" s="16971"/>
      <c r="N144" s="16971"/>
      <c r="O144" s="17174"/>
      <c r="P144" s="17175"/>
      <c r="Q144" s="17176"/>
      <c r="R144" s="17177"/>
      <c r="S144" s="18582"/>
      <c r="T144" s="18583" t="s">
        <v>603</v>
      </c>
      <c r="U144" s="18584"/>
      <c r="V144" s="18585"/>
      <c r="W144" s="18586"/>
      <c r="X144" s="18587"/>
      <c r="Y144" s="18588"/>
      <c r="Z144" s="18589"/>
      <c r="AA144" s="18590"/>
      <c r="AB144" s="18591"/>
      <c r="AC144" s="18592"/>
      <c r="AD144" s="18593"/>
      <c r="AE144" s="18594"/>
      <c r="AF144" s="18595"/>
      <c r="AG144" s="18596"/>
      <c r="AH144" s="18597"/>
      <c r="AI144" s="18598"/>
      <c r="AJ144" s="18599"/>
      <c r="AK144" s="18600"/>
      <c r="AL144" s="18601"/>
      <c r="AM144" s="18602"/>
      <c r="AN144" s="18603"/>
      <c r="AO144" s="18604"/>
      <c r="AP144" s="18605"/>
      <c r="AQ144" s="18606"/>
      <c r="AR144" s="18607"/>
      <c r="AS144" s="18608"/>
      <c r="AT144" s="18609"/>
      <c r="AU144" s="18610"/>
      <c r="AV144" s="18611"/>
      <c r="AW144" s="18612"/>
      <c r="AX144" s="18613"/>
      <c r="AY144" s="18614"/>
      <c r="AZ144" s="18615"/>
      <c r="BA144" s="18616"/>
      <c r="BB144" s="18617"/>
      <c r="BC144" s="18618"/>
      <c r="BD144" s="18619"/>
      <c r="BE144" s="18620"/>
      <c r="BF144" s="18621"/>
      <c r="BG144" s="18622"/>
      <c r="BH144" s="18623"/>
      <c r="BI144" s="18624"/>
      <c r="BJ144" s="18625"/>
      <c r="BK144" s="18626"/>
      <c r="BL144" s="18627"/>
      <c r="BM144" s="18628"/>
      <c r="BN144" s="18629"/>
      <c r="BO144" s="18630"/>
      <c r="BP144" s="18631"/>
      <c r="BQ144" s="18632"/>
      <c r="BR144" s="18633"/>
      <c r="BS144" s="18634"/>
      <c r="BT144" s="18635"/>
      <c r="BU144" s="18636"/>
      <c r="BV144" s="18637"/>
      <c r="BW144" s="18638"/>
      <c r="BX144" s="18639"/>
      <c r="BY144" s="18640"/>
      <c r="BZ144" s="18641"/>
      <c r="CA144" s="18642"/>
      <c r="CB144" s="18643"/>
      <c r="CC144" s="18644"/>
      <c r="CD144" s="18645"/>
      <c r="CE144" s="18646"/>
      <c r="CF144" s="18647"/>
      <c r="CG144" s="18648"/>
      <c r="CH144" s="18649"/>
      <c r="CI144" s="18650"/>
      <c r="CJ144" s="18651"/>
      <c r="CK144" s="18652"/>
      <c r="CL144" s="18653"/>
      <c r="CM144" s="18654"/>
      <c r="CN144" s="26088"/>
      <c r="CO144" s="26089"/>
      <c r="CP144" s="26090"/>
      <c r="CQ144" s="26091"/>
      <c r="CR144" s="26092"/>
      <c r="CS144" s="26093"/>
      <c r="CT144" s="26094"/>
      <c r="CU144" s="18655"/>
      <c r="CV144" s="18656"/>
      <c r="CW144" s="16982"/>
      <c r="CX144" s="16983"/>
      <c r="CY144" s="16983" t="str">
        <f>IF(T144="","",T144)</f>
        <v>Добавить наименование признака дифференциации</v>
      </c>
      <c r="CZ144" s="16983"/>
      <c r="DA144" s="16983"/>
      <c r="DB144" s="16984">
        <v>0</v>
      </c>
    </row>
    <row s="51106" customFormat="1" customHeight="1" ht="14.25">
      <c r="A145" s="17254"/>
      <c r="B145" s="17254"/>
      <c r="C145" s="17254"/>
      <c r="D145" s="17254"/>
      <c r="E145" s="16968"/>
      <c r="F145" s="16969" t="s">
        <v>92</v>
      </c>
      <c r="G145" s="17254"/>
      <c r="H145" s="17254"/>
      <c r="I145" s="17254"/>
      <c r="J145" s="17254"/>
      <c r="K145" s="17254"/>
      <c r="L145" s="17255"/>
      <c r="M145" s="17256"/>
      <c r="N145" s="17256"/>
      <c r="O145" s="16982"/>
      <c r="P145" s="17257"/>
      <c r="Q145" s="17258"/>
      <c r="R145" s="17257"/>
      <c r="S145" s="17259"/>
      <c r="T145" s="17260" t="s">
        <v>321</v>
      </c>
      <c r="U145" s="17261"/>
      <c r="V145" s="17261"/>
      <c r="W145" s="17261"/>
      <c r="X145" s="17261"/>
      <c r="Y145" s="17261"/>
      <c r="Z145" s="17261"/>
      <c r="AA145" s="17261"/>
      <c r="AB145" s="17261"/>
      <c r="AC145" s="17261"/>
      <c r="AD145" s="17261"/>
      <c r="AE145" s="17261"/>
      <c r="AF145" s="17261"/>
      <c r="AG145" s="17261"/>
      <c r="AH145" s="17261"/>
      <c r="AI145" s="17261"/>
      <c r="AJ145" s="17261"/>
      <c r="AK145" s="17261"/>
      <c r="AL145" s="17261"/>
      <c r="AM145" s="17261"/>
      <c r="AN145" s="17261"/>
      <c r="AO145" s="17261"/>
      <c r="AP145" s="17261"/>
      <c r="AQ145" s="17261"/>
      <c r="AR145" s="17261"/>
      <c r="AS145" s="17261"/>
      <c r="AT145" s="17261"/>
      <c r="AU145" s="17261"/>
      <c r="AV145" s="17261"/>
      <c r="AW145" s="17261"/>
      <c r="AX145" s="17261"/>
      <c r="AY145" s="17261"/>
      <c r="AZ145" s="17261"/>
      <c r="BA145" s="17261"/>
      <c r="BB145" s="17261"/>
      <c r="BC145" s="17261"/>
      <c r="BD145" s="17261"/>
      <c r="BE145" s="17261"/>
      <c r="BF145" s="17261"/>
      <c r="BG145" s="17261"/>
      <c r="BH145" s="17261"/>
      <c r="BI145" s="17261"/>
      <c r="BJ145" s="17261"/>
      <c r="BK145" s="17261"/>
      <c r="BL145" s="17261"/>
      <c r="BM145" s="17261"/>
      <c r="BN145" s="17261"/>
      <c r="BO145" s="17261"/>
      <c r="BP145" s="17261"/>
      <c r="BQ145" s="17261"/>
      <c r="BR145" s="17261"/>
      <c r="BS145" s="17261"/>
      <c r="BT145" s="17261"/>
      <c r="BU145" s="17261"/>
      <c r="BV145" s="17261"/>
      <c r="BW145" s="17261"/>
      <c r="BX145" s="17261"/>
      <c r="BY145" s="17261"/>
      <c r="BZ145" s="17261"/>
      <c r="CA145" s="17261"/>
      <c r="CB145" s="17261"/>
      <c r="CC145" s="17261"/>
      <c r="CD145" s="17261"/>
      <c r="CE145" s="17261"/>
      <c r="CF145" s="17261"/>
      <c r="CG145" s="17261"/>
      <c r="CH145" s="17261"/>
      <c r="CI145" s="17261"/>
      <c r="CJ145" s="17261"/>
      <c r="CK145" s="17261"/>
      <c r="CL145" s="17261"/>
      <c r="CM145" s="17261"/>
      <c r="CN145" s="23902"/>
      <c r="CO145" s="23902"/>
      <c r="CP145" s="23902"/>
      <c r="CQ145" s="23902"/>
      <c r="CR145" s="23902"/>
      <c r="CS145" s="23902"/>
      <c r="CT145" s="23902"/>
      <c r="CU145" s="17261"/>
      <c r="CV145" s="17261"/>
      <c r="CW145" s="16982"/>
      <c r="CX145" s="16983"/>
      <c r="CY145" s="16983" t="str">
        <f>IF(T145="","",T145)</f>
        <v>Добавить централизованную систему для дифференциации</v>
      </c>
      <c r="CZ145" s="16983"/>
      <c r="DA145" s="16983"/>
      <c r="DB145" s="16982">
        <v>0</v>
      </c>
    </row>
    <row s="51107" customFormat="1" customHeight="1" ht="23.25">
      <c r="A146" s="16967"/>
      <c r="B146" s="16967" t="s">
        <v>347</v>
      </c>
      <c r="C146" s="16967"/>
      <c r="D146" s="16967"/>
      <c r="E146" s="16968"/>
      <c r="F146" s="16969" t="s">
        <v>120</v>
      </c>
      <c r="G146" s="16967"/>
      <c r="H146" s="16967"/>
      <c r="I146" s="16967"/>
      <c r="J146" s="16967"/>
      <c r="K146" s="16967"/>
      <c r="L146" s="16970"/>
      <c r="M146" s="16971"/>
      <c r="N146" s="16971"/>
      <c r="O146" s="16971"/>
      <c r="P146" s="16972"/>
      <c r="Q146" s="16973"/>
      <c r="R146" s="16974"/>
      <c r="S146" s="16975" t="str">
        <f>INDEX(PT_DIFFERENTIATION_NUM_TER,MATCH(B146,PT_DIFFERENTIATION_TER_ID,0))</f>
        <v>1.5</v>
      </c>
      <c r="T146" s="16976" t="s">
        <v>515</v>
      </c>
      <c r="U146" s="16977"/>
      <c r="V146" s="16978"/>
      <c r="W146" s="16979"/>
      <c r="X146" s="16979"/>
      <c r="Y146" s="16979"/>
      <c r="Z146" s="16979"/>
      <c r="AA146" s="16979"/>
      <c r="AB146" s="16980"/>
      <c r="AC146" s="16978" t="str">
        <f>INDEX(PT_DIFFERENTIATION_TER,MATCH(B146,PT_DIFFERENTIATION_TER_ID,0))</f>
        <v>Территория 5</v>
      </c>
      <c r="AD146" s="16979"/>
      <c r="AE146" s="16979"/>
      <c r="AF146" s="16979"/>
      <c r="AG146" s="16979"/>
      <c r="AH146" s="16979"/>
      <c r="AI146" s="16979"/>
      <c r="AJ146" s="16978"/>
      <c r="AK146" s="16979"/>
      <c r="AL146" s="16979"/>
      <c r="AM146" s="16979"/>
      <c r="AN146" s="16979"/>
      <c r="AO146" s="16979"/>
      <c r="AP146" s="16980"/>
      <c r="AQ146" s="16978"/>
      <c r="AR146" s="16979"/>
      <c r="AS146" s="16979"/>
      <c r="AT146" s="16979"/>
      <c r="AU146" s="16979"/>
      <c r="AV146" s="16979"/>
      <c r="AW146" s="16980"/>
      <c r="AX146" s="16978"/>
      <c r="AY146" s="16979"/>
      <c r="AZ146" s="16979"/>
      <c r="BA146" s="16979"/>
      <c r="BB146" s="16979"/>
      <c r="BC146" s="16979"/>
      <c r="BD146" s="16980"/>
      <c r="BE146" s="16978"/>
      <c r="BF146" s="16979"/>
      <c r="BG146" s="16979"/>
      <c r="BH146" s="16979"/>
      <c r="BI146" s="16979"/>
      <c r="BJ146" s="16979"/>
      <c r="BK146" s="16980"/>
      <c r="BL146" s="16978"/>
      <c r="BM146" s="16979"/>
      <c r="BN146" s="16979"/>
      <c r="BO146" s="16979"/>
      <c r="BP146" s="16979"/>
      <c r="BQ146" s="16979"/>
      <c r="BR146" s="16980"/>
      <c r="BS146" s="16978"/>
      <c r="BT146" s="16979"/>
      <c r="BU146" s="16979"/>
      <c r="BV146" s="16979"/>
      <c r="BW146" s="16979"/>
      <c r="BX146" s="16979"/>
      <c r="BY146" s="16980"/>
      <c r="BZ146" s="16978"/>
      <c r="CA146" s="16979"/>
      <c r="CB146" s="16979"/>
      <c r="CC146" s="16979"/>
      <c r="CD146" s="16979"/>
      <c r="CE146" s="16979"/>
      <c r="CF146" s="16980"/>
      <c r="CG146" s="16978"/>
      <c r="CH146" s="16979"/>
      <c r="CI146" s="16979"/>
      <c r="CJ146" s="16979"/>
      <c r="CK146" s="16979"/>
      <c r="CL146" s="16979"/>
      <c r="CM146" s="16980"/>
      <c r="CN146" s="23679"/>
      <c r="CO146" s="23680"/>
      <c r="CP146" s="23680"/>
      <c r="CQ146" s="23680"/>
      <c r="CR146" s="23680"/>
      <c r="CS146" s="23680"/>
      <c r="CT146" s="23681"/>
      <c r="CU146" s="16980"/>
      <c r="CV146" s="16981" t="s">
        <v>516</v>
      </c>
      <c r="CW146" s="16982"/>
      <c r="CX146" s="16983"/>
      <c r="CY146" s="16983" t="str">
        <f>IF(T146="","",T146)</f>
        <v>Территория действия тарифа</v>
      </c>
      <c r="CZ146" s="16983"/>
      <c r="DA146" s="16983"/>
      <c r="DB146" s="16984">
        <v>0</v>
      </c>
    </row>
    <row s="51108" customFormat="1" customHeight="1" ht="23.25">
      <c r="A147" s="16967"/>
      <c r="B147" s="16967"/>
      <c r="C147" s="16967" t="s">
        <v>348</v>
      </c>
      <c r="D147" s="16967"/>
      <c r="E147" s="16968"/>
      <c r="F147" s="16968" t="s">
        <v>93</v>
      </c>
      <c r="G147" s="16969">
        <v>1</v>
      </c>
      <c r="H147" s="16967"/>
      <c r="I147" s="16967"/>
      <c r="J147" s="16967"/>
      <c r="K147" s="16967"/>
      <c r="L147" s="16970"/>
      <c r="M147" s="16971"/>
      <c r="N147" s="16971"/>
      <c r="O147" s="16971"/>
      <c r="P147" s="16986"/>
      <c r="Q147" s="16973"/>
      <c r="R147" s="16974"/>
      <c r="S147" s="16975" t="str">
        <f>INDEX(PT_DIFFERENTIATION_NUM_CS,MATCH(C147,PT_DIFFERENTIATION_CS_ID,0))</f>
        <v>1.5.1</v>
      </c>
      <c r="T147" s="16987" t="s">
        <v>631</v>
      </c>
      <c r="U147" s="16977"/>
      <c r="V147" s="16978"/>
      <c r="W147" s="16979"/>
      <c r="X147" s="16979"/>
      <c r="Y147" s="16979"/>
      <c r="Z147" s="16979"/>
      <c r="AA147" s="16979"/>
      <c r="AB147" s="16980"/>
      <c r="AC147" s="16978" t="str">
        <f>INDEX(PT_DIFFERENTIATION_CS,MATCH(C147,PT_DIFFERENTIATION_CS_ID,0))</f>
        <v>с. Дмитриевка, с. Майское</v>
      </c>
      <c r="AD147" s="16979"/>
      <c r="AE147" s="16979"/>
      <c r="AF147" s="16979"/>
      <c r="AG147" s="16979"/>
      <c r="AH147" s="16979"/>
      <c r="AI147" s="16979"/>
      <c r="AJ147" s="16978"/>
      <c r="AK147" s="16979"/>
      <c r="AL147" s="16979"/>
      <c r="AM147" s="16979"/>
      <c r="AN147" s="16979"/>
      <c r="AO147" s="16979"/>
      <c r="AP147" s="16980"/>
      <c r="AQ147" s="16978"/>
      <c r="AR147" s="16979"/>
      <c r="AS147" s="16979"/>
      <c r="AT147" s="16979"/>
      <c r="AU147" s="16979"/>
      <c r="AV147" s="16979"/>
      <c r="AW147" s="16980"/>
      <c r="AX147" s="16978"/>
      <c r="AY147" s="16979"/>
      <c r="AZ147" s="16979"/>
      <c r="BA147" s="16979"/>
      <c r="BB147" s="16979"/>
      <c r="BC147" s="16979"/>
      <c r="BD147" s="16980"/>
      <c r="BE147" s="16978"/>
      <c r="BF147" s="16979"/>
      <c r="BG147" s="16979"/>
      <c r="BH147" s="16979"/>
      <c r="BI147" s="16979"/>
      <c r="BJ147" s="16979"/>
      <c r="BK147" s="16980"/>
      <c r="BL147" s="16978"/>
      <c r="BM147" s="16979"/>
      <c r="BN147" s="16979"/>
      <c r="BO147" s="16979"/>
      <c r="BP147" s="16979"/>
      <c r="BQ147" s="16979"/>
      <c r="BR147" s="16980"/>
      <c r="BS147" s="16978"/>
      <c r="BT147" s="16979"/>
      <c r="BU147" s="16979"/>
      <c r="BV147" s="16979"/>
      <c r="BW147" s="16979"/>
      <c r="BX147" s="16979"/>
      <c r="BY147" s="16980"/>
      <c r="BZ147" s="16978"/>
      <c r="CA147" s="16979"/>
      <c r="CB147" s="16979"/>
      <c r="CC147" s="16979"/>
      <c r="CD147" s="16979"/>
      <c r="CE147" s="16979"/>
      <c r="CF147" s="16980"/>
      <c r="CG147" s="16978"/>
      <c r="CH147" s="16979"/>
      <c r="CI147" s="16979"/>
      <c r="CJ147" s="16979"/>
      <c r="CK147" s="16979"/>
      <c r="CL147" s="16979"/>
      <c r="CM147" s="16980"/>
      <c r="CN147" s="23679"/>
      <c r="CO147" s="23680"/>
      <c r="CP147" s="23680"/>
      <c r="CQ147" s="23680"/>
      <c r="CR147" s="23680"/>
      <c r="CS147" s="23680"/>
      <c r="CT147" s="23681"/>
      <c r="CU147" s="16980"/>
      <c r="CV147" s="16981" t="s">
        <v>632</v>
      </c>
      <c r="CW147" s="16982"/>
      <c r="CX147" s="16983"/>
      <c r="CY147" s="16983" t="str">
        <f>IF(T147="","",T147)</f>
        <v>Наименование централизованной системы водоотведения</v>
      </c>
      <c r="CZ147" s="16983"/>
      <c r="DA147" s="16983"/>
      <c r="DB147" s="16984">
        <v>0</v>
      </c>
    </row>
    <row s="51109" customFormat="1" customHeight="1" ht="23.25">
      <c r="A148" s="16967"/>
      <c r="B148" s="16967"/>
      <c r="C148" s="16967"/>
      <c r="D148" s="16967"/>
      <c r="E148" s="16968"/>
      <c r="F148" s="16968" t="s">
        <v>93</v>
      </c>
      <c r="G148" s="16968"/>
      <c r="H148" s="16968"/>
      <c r="I148" s="16989" t="str">
        <f>S147&amp;".1"</f>
        <v>1.5.1.1</v>
      </c>
      <c r="J148" s="16967"/>
      <c r="K148" s="16967"/>
      <c r="L148" s="16970"/>
      <c r="M148" s="16990"/>
      <c r="N148" s="16990"/>
      <c r="O148" s="16990"/>
      <c r="P148" s="16991">
        <v>1</v>
      </c>
      <c r="Q148" s="16991"/>
      <c r="R148" s="16992"/>
      <c r="S148" s="16975" t="str">
        <f>$I148</f>
        <v>1.5.1.1</v>
      </c>
      <c r="T148" s="16993" t="s">
        <v>598</v>
      </c>
      <c r="U148" s="16977"/>
      <c r="V148" s="16994"/>
      <c r="W148" s="16995"/>
      <c r="X148" s="16995"/>
      <c r="Y148" s="16995"/>
      <c r="Z148" s="16995"/>
      <c r="AA148" s="16995"/>
      <c r="AB148" s="16996"/>
      <c r="AC148" s="16997"/>
      <c r="AD148" s="16998"/>
      <c r="AE148" s="16998"/>
      <c r="AF148" s="16998"/>
      <c r="AG148" s="16998"/>
      <c r="AH148" s="16998"/>
      <c r="AI148" s="16998"/>
      <c r="AJ148" s="16994"/>
      <c r="AK148" s="16995"/>
      <c r="AL148" s="16995"/>
      <c r="AM148" s="16995"/>
      <c r="AN148" s="16995"/>
      <c r="AO148" s="16995"/>
      <c r="AP148" s="16996"/>
      <c r="AQ148" s="16994"/>
      <c r="AR148" s="16995"/>
      <c r="AS148" s="16995"/>
      <c r="AT148" s="16995"/>
      <c r="AU148" s="16995"/>
      <c r="AV148" s="16995"/>
      <c r="AW148" s="16996"/>
      <c r="AX148" s="16994"/>
      <c r="AY148" s="16995"/>
      <c r="AZ148" s="16995"/>
      <c r="BA148" s="16995"/>
      <c r="BB148" s="16995"/>
      <c r="BC148" s="16995"/>
      <c r="BD148" s="16996"/>
      <c r="BE148" s="16994"/>
      <c r="BF148" s="16995"/>
      <c r="BG148" s="16995"/>
      <c r="BH148" s="16995"/>
      <c r="BI148" s="16995"/>
      <c r="BJ148" s="16995"/>
      <c r="BK148" s="16996"/>
      <c r="BL148" s="16994"/>
      <c r="BM148" s="16995"/>
      <c r="BN148" s="16995"/>
      <c r="BO148" s="16995"/>
      <c r="BP148" s="16995"/>
      <c r="BQ148" s="16995"/>
      <c r="BR148" s="16996"/>
      <c r="BS148" s="16994"/>
      <c r="BT148" s="16995"/>
      <c r="BU148" s="16995"/>
      <c r="BV148" s="16995"/>
      <c r="BW148" s="16995"/>
      <c r="BX148" s="16995"/>
      <c r="BY148" s="16996"/>
      <c r="BZ148" s="16994"/>
      <c r="CA148" s="16995"/>
      <c r="CB148" s="16995"/>
      <c r="CC148" s="16995"/>
      <c r="CD148" s="16995"/>
      <c r="CE148" s="16995"/>
      <c r="CF148" s="16996"/>
      <c r="CG148" s="16994"/>
      <c r="CH148" s="16995"/>
      <c r="CI148" s="16995"/>
      <c r="CJ148" s="16995"/>
      <c r="CK148" s="16995"/>
      <c r="CL148" s="16995"/>
      <c r="CM148" s="16996"/>
      <c r="CN148" s="23687"/>
      <c r="CO148" s="23688"/>
      <c r="CP148" s="23688"/>
      <c r="CQ148" s="23688"/>
      <c r="CR148" s="23688"/>
      <c r="CS148" s="23688"/>
      <c r="CT148" s="23689"/>
      <c r="CU148" s="16999"/>
      <c r="CV148" s="16981" t="s">
        <v>599</v>
      </c>
      <c r="CW148" s="16982"/>
      <c r="CX148" s="16983"/>
      <c r="CY148" s="16983" t="str">
        <f>IF(T148="","",T148)</f>
        <v>Наименование признака дифференциации</v>
      </c>
      <c r="CZ148" s="16983"/>
      <c r="DA148" s="16983"/>
      <c r="DB148" s="16984">
        <v>0</v>
      </c>
    </row>
    <row s="51110" customFormat="1" customHeight="1" ht="23.25">
      <c r="A149" s="16967"/>
      <c r="B149" s="16967"/>
      <c r="C149" s="16967"/>
      <c r="D149" s="16967"/>
      <c r="E149" s="16968"/>
      <c r="F149" s="16968" t="s">
        <v>93</v>
      </c>
      <c r="G149" s="16968"/>
      <c r="H149" s="16968"/>
      <c r="I149" s="17001"/>
      <c r="J149" s="16989" t="str">
        <f>I148&amp;".1"</f>
        <v>1.5.1.1.1</v>
      </c>
      <c r="K149" s="16967"/>
      <c r="L149" s="16970" t="s">
        <v>524</v>
      </c>
      <c r="M149" s="16990"/>
      <c r="N149" s="16990"/>
      <c r="O149" s="16990"/>
      <c r="P149" s="16991"/>
      <c r="Q149" s="16991">
        <v>1</v>
      </c>
      <c r="R149" s="17002"/>
      <c r="S149" s="16975" t="str">
        <f>$J149</f>
        <v>1.5.1.1.1</v>
      </c>
      <c r="T149" s="17003" t="s">
        <v>525</v>
      </c>
      <c r="U149" s="16977"/>
      <c r="V149" s="17004"/>
      <c r="W149" s="17005"/>
      <c r="X149" s="17005"/>
      <c r="Y149" s="17005"/>
      <c r="Z149" s="17005"/>
      <c r="AA149" s="17005"/>
      <c r="AB149" s="17006"/>
      <c r="AC149" s="17004" t="s">
        <v>636</v>
      </c>
      <c r="AD149" s="17005"/>
      <c r="AE149" s="17005"/>
      <c r="AF149" s="17005"/>
      <c r="AG149" s="17005"/>
      <c r="AH149" s="17005"/>
      <c r="AI149" s="17005"/>
      <c r="AJ149" s="17004"/>
      <c r="AK149" s="17005"/>
      <c r="AL149" s="17005"/>
      <c r="AM149" s="17005"/>
      <c r="AN149" s="17005"/>
      <c r="AO149" s="17005"/>
      <c r="AP149" s="17006"/>
      <c r="AQ149" s="17004"/>
      <c r="AR149" s="17005"/>
      <c r="AS149" s="17005"/>
      <c r="AT149" s="17005"/>
      <c r="AU149" s="17005"/>
      <c r="AV149" s="17005"/>
      <c r="AW149" s="17006"/>
      <c r="AX149" s="17004"/>
      <c r="AY149" s="17005"/>
      <c r="AZ149" s="17005"/>
      <c r="BA149" s="17005"/>
      <c r="BB149" s="17005"/>
      <c r="BC149" s="17005"/>
      <c r="BD149" s="17006"/>
      <c r="BE149" s="17004"/>
      <c r="BF149" s="17005"/>
      <c r="BG149" s="17005"/>
      <c r="BH149" s="17005"/>
      <c r="BI149" s="17005"/>
      <c r="BJ149" s="17005"/>
      <c r="BK149" s="17006"/>
      <c r="BL149" s="17004"/>
      <c r="BM149" s="17005"/>
      <c r="BN149" s="17005"/>
      <c r="BO149" s="17005"/>
      <c r="BP149" s="17005"/>
      <c r="BQ149" s="17005"/>
      <c r="BR149" s="17006"/>
      <c r="BS149" s="17004"/>
      <c r="BT149" s="17005"/>
      <c r="BU149" s="17005"/>
      <c r="BV149" s="17005"/>
      <c r="BW149" s="17005"/>
      <c r="BX149" s="17005"/>
      <c r="BY149" s="17006"/>
      <c r="BZ149" s="17004"/>
      <c r="CA149" s="17005"/>
      <c r="CB149" s="17005"/>
      <c r="CC149" s="17005"/>
      <c r="CD149" s="17005"/>
      <c r="CE149" s="17005"/>
      <c r="CF149" s="17006"/>
      <c r="CG149" s="17004"/>
      <c r="CH149" s="17005"/>
      <c r="CI149" s="17005"/>
      <c r="CJ149" s="17005"/>
      <c r="CK149" s="17005"/>
      <c r="CL149" s="17005"/>
      <c r="CM149" s="17006"/>
      <c r="CN149" s="23693"/>
      <c r="CO149" s="23694"/>
      <c r="CP149" s="23694"/>
      <c r="CQ149" s="23694"/>
      <c r="CR149" s="23694"/>
      <c r="CS149" s="23694"/>
      <c r="CT149" s="23695"/>
      <c r="CU149" s="17006"/>
      <c r="CV149" s="17007" t="s">
        <v>600</v>
      </c>
      <c r="CW149" s="16982"/>
      <c r="CX149" s="16983"/>
      <c r="CY149" s="16983" t="str">
        <f>IF(T149="","",T149)</f>
        <v>Группа потребителей</v>
      </c>
      <c r="CZ149" s="16983"/>
      <c r="DA149" s="16983"/>
      <c r="DB149" s="16984">
        <v>0</v>
      </c>
    </row>
    <row s="51111" customFormat="1" customHeight="1" ht="23.25">
      <c r="A150" s="16967"/>
      <c r="B150" s="16967"/>
      <c r="C150" s="16967"/>
      <c r="D150" s="16967"/>
      <c r="E150" s="16968"/>
      <c r="F150" s="16968" t="s">
        <v>93</v>
      </c>
      <c r="G150" s="16968"/>
      <c r="H150" s="16968"/>
      <c r="I150" s="17001"/>
      <c r="J150" s="17001"/>
      <c r="K150" s="16989" t="str">
        <f>J149&amp;".1"</f>
        <v>1.5.1.1.1.1</v>
      </c>
      <c r="L150" s="16970"/>
      <c r="M150" s="16990"/>
      <c r="N150" s="16990"/>
      <c r="O150" s="16990"/>
      <c r="P150" s="16991"/>
      <c r="Q150" s="16991"/>
      <c r="R150" s="17002">
        <v>1</v>
      </c>
      <c r="S150" s="16975" t="str">
        <f>$K150</f>
        <v>1.5.1.1.1.1</v>
      </c>
      <c r="T150" s="17009"/>
      <c r="U150" s="16977"/>
      <c r="V150" s="17010"/>
      <c r="W150" s="17010"/>
      <c r="X150" s="17011"/>
      <c r="Y150" s="16696"/>
      <c r="Z150" s="17012" t="s">
        <v>63</v>
      </c>
      <c r="AA150" s="16696"/>
      <c r="AB150" s="17012" t="s">
        <v>63</v>
      </c>
      <c r="AC150" s="17010">
        <v>36.6</v>
      </c>
      <c r="AD150" s="17010"/>
      <c r="AE150" s="17011"/>
      <c r="AF150" s="40552">
        <v>45292.677777777775</v>
      </c>
      <c r="AG150" s="17012" t="s">
        <v>63</v>
      </c>
      <c r="AH150" s="40553">
        <v>45473.67790509259</v>
      </c>
      <c r="AI150" s="17012" t="s">
        <v>63</v>
      </c>
      <c r="AJ150" s="17010">
        <v>47.58</v>
      </c>
      <c r="AK150" s="17010"/>
      <c r="AL150" s="17011"/>
      <c r="AM150" s="40552">
        <v>45474.678078703706</v>
      </c>
      <c r="AN150" s="17012" t="s">
        <v>63</v>
      </c>
      <c r="AO150" s="40552">
        <v>45657.678194444445</v>
      </c>
      <c r="AP150" s="17012" t="s">
        <v>63</v>
      </c>
      <c r="AQ150" s="17010">
        <v>47.58</v>
      </c>
      <c r="AR150" s="17010"/>
      <c r="AS150" s="17011"/>
      <c r="AT150" s="40552">
        <v>45658.67835648148</v>
      </c>
      <c r="AU150" s="17012" t="s">
        <v>63</v>
      </c>
      <c r="AV150" s="40552">
        <v>45838.67847222222</v>
      </c>
      <c r="AW150" s="17012" t="s">
        <v>63</v>
      </c>
      <c r="AX150" s="17010">
        <v>58.04</v>
      </c>
      <c r="AY150" s="17010"/>
      <c r="AZ150" s="17011"/>
      <c r="BA150" s="40552">
        <v>45839.67872685185</v>
      </c>
      <c r="BB150" s="17012" t="s">
        <v>63</v>
      </c>
      <c r="BC150" s="40552">
        <v>46022.67891203704</v>
      </c>
      <c r="BD150" s="17012" t="s">
        <v>63</v>
      </c>
      <c r="BE150" s="17010">
        <v>58.04</v>
      </c>
      <c r="BF150" s="17010"/>
      <c r="BG150" s="17011"/>
      <c r="BH150" s="40552">
        <v>46023.67909722222</v>
      </c>
      <c r="BI150" s="17012" t="s">
        <v>63</v>
      </c>
      <c r="BJ150" s="40552">
        <v>46203.67969907408</v>
      </c>
      <c r="BK150" s="17012" t="s">
        <v>63</v>
      </c>
      <c r="BL150" s="17010">
        <v>58.33</v>
      </c>
      <c r="BM150" s="17010"/>
      <c r="BN150" s="17011"/>
      <c r="BO150" s="40552">
        <v>46204.67998842592</v>
      </c>
      <c r="BP150" s="17012" t="s">
        <v>63</v>
      </c>
      <c r="BQ150" s="40552">
        <v>46387.68053240741</v>
      </c>
      <c r="BR150" s="17012" t="s">
        <v>63</v>
      </c>
      <c r="BS150" s="17010">
        <v>58.33</v>
      </c>
      <c r="BT150" s="17010"/>
      <c r="BU150" s="17011"/>
      <c r="BV150" s="40552">
        <v>46388.680914351855</v>
      </c>
      <c r="BW150" s="17012" t="s">
        <v>63</v>
      </c>
      <c r="BX150" s="40552">
        <v>46568.68116898148</v>
      </c>
      <c r="BY150" s="17012" t="s">
        <v>63</v>
      </c>
      <c r="BZ150" s="17010">
        <v>58.63</v>
      </c>
      <c r="CA150" s="17010"/>
      <c r="CB150" s="17011"/>
      <c r="CC150" s="40552">
        <v>46569.68171296296</v>
      </c>
      <c r="CD150" s="17012" t="s">
        <v>63</v>
      </c>
      <c r="CE150" s="40552">
        <v>46752.68189814815</v>
      </c>
      <c r="CF150" s="17012" t="s">
        <v>63</v>
      </c>
      <c r="CG150" s="17010">
        <v>56.04</v>
      </c>
      <c r="CH150" s="17010"/>
      <c r="CI150" s="17011"/>
      <c r="CJ150" s="40552">
        <v>46753.68300925926</v>
      </c>
      <c r="CK150" s="17012" t="s">
        <v>63</v>
      </c>
      <c r="CL150" s="40552">
        <v>46934.68284722222</v>
      </c>
      <c r="CM150" s="17012" t="s">
        <v>63</v>
      </c>
      <c r="CN150" s="23700">
        <v>56.04</v>
      </c>
      <c r="CO150" s="23700"/>
      <c r="CP150" s="23701"/>
      <c r="CQ150" s="40552">
        <v>46935.68262731482</v>
      </c>
      <c r="CR150" s="23703" t="s">
        <v>63</v>
      </c>
      <c r="CS150" s="40552">
        <v>47118.682337962964</v>
      </c>
      <c r="CT150" s="23703" t="s">
        <v>63</v>
      </c>
      <c r="CU150" s="17013"/>
      <c r="CV150" s="170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150" s="16982">
        <f>STRCHECKDATE(V151:CU151)</f>
      </c>
      <c r="CX150" s="16983"/>
      <c r="CY150" s="16983" t="str">
        <f>IF(T150="","",T150)</f>
        <v/>
      </c>
      <c r="CZ150" s="16983"/>
      <c r="DA150" s="16983"/>
      <c r="DB150" s="16984">
        <v>0</v>
      </c>
    </row>
    <row s="51112" customFormat="1" customHeight="1" ht="14.25">
      <c r="A151" s="16967"/>
      <c r="B151" s="16967"/>
      <c r="C151" s="16967"/>
      <c r="D151" s="16967"/>
      <c r="E151" s="16968"/>
      <c r="F151" s="16968" t="s">
        <v>93</v>
      </c>
      <c r="G151" s="16968"/>
      <c r="H151" s="16968"/>
      <c r="I151" s="17001"/>
      <c r="J151" s="17001"/>
      <c r="K151" s="16989"/>
      <c r="L151" s="16970"/>
      <c r="M151" s="16990"/>
      <c r="N151" s="16990"/>
      <c r="O151" s="16990"/>
      <c r="P151" s="16991"/>
      <c r="Q151" s="16991"/>
      <c r="R151" s="17002"/>
      <c r="S151" s="17016"/>
      <c r="T151" s="16977"/>
      <c r="U151" s="16977"/>
      <c r="V151" s="17017"/>
      <c r="W151" s="17017"/>
      <c r="X151" s="17018" t="str">
        <f>Y150&amp;"-"&amp;AA150</f>
        <v>-</v>
      </c>
      <c r="Y151" s="17019"/>
      <c r="Z151" s="17012"/>
      <c r="AA151" s="17019"/>
      <c r="AB151" s="17012"/>
      <c r="AC151" s="17017"/>
      <c r="AD151" s="17017"/>
      <c r="AE151" s="17018" t="str">
        <f>AF150&amp;"-"&amp;AH150</f>
        <v>45292.677777777775-45473.67790509259</v>
      </c>
      <c r="AF151" s="17019"/>
      <c r="AG151" s="17012"/>
      <c r="AH151" s="17020"/>
      <c r="AI151" s="17012"/>
      <c r="AJ151" s="17017"/>
      <c r="AK151" s="17017"/>
      <c r="AL151" s="17018" t="str">
        <f>AM150&amp;"-"&amp;AO150</f>
        <v>45474.678078703706-45657.678194444445</v>
      </c>
      <c r="AM151" s="17019"/>
      <c r="AN151" s="17012"/>
      <c r="AO151" s="17019"/>
      <c r="AP151" s="17012"/>
      <c r="AQ151" s="17017"/>
      <c r="AR151" s="17017"/>
      <c r="AS151" s="17018" t="str">
        <f>AT150&amp;"-"&amp;AV150</f>
        <v>45658.67835648148-45838.67847222222</v>
      </c>
      <c r="AT151" s="17019"/>
      <c r="AU151" s="17012"/>
      <c r="AV151" s="17019"/>
      <c r="AW151" s="17012"/>
      <c r="AX151" s="17017"/>
      <c r="AY151" s="17017"/>
      <c r="AZ151" s="17018" t="str">
        <f>BA150&amp;"-"&amp;BC150</f>
        <v>45839.67872685185-46022.67891203704</v>
      </c>
      <c r="BA151" s="17019"/>
      <c r="BB151" s="17012"/>
      <c r="BC151" s="17019"/>
      <c r="BD151" s="17012"/>
      <c r="BE151" s="17017"/>
      <c r="BF151" s="17017"/>
      <c r="BG151" s="17018" t="str">
        <f>BH150&amp;"-"&amp;BJ150</f>
        <v>46023.67909722222-46203.67969907408</v>
      </c>
      <c r="BH151" s="17019"/>
      <c r="BI151" s="17012"/>
      <c r="BJ151" s="17019"/>
      <c r="BK151" s="17012"/>
      <c r="BL151" s="17017"/>
      <c r="BM151" s="17017"/>
      <c r="BN151" s="17018" t="str">
        <f>BO150&amp;"-"&amp;BQ150</f>
        <v>46204.67998842592-46387.68053240741</v>
      </c>
      <c r="BO151" s="17019"/>
      <c r="BP151" s="17012"/>
      <c r="BQ151" s="17019"/>
      <c r="BR151" s="17012"/>
      <c r="BS151" s="17017"/>
      <c r="BT151" s="17017"/>
      <c r="BU151" s="17018" t="str">
        <f>BV150&amp;"-"&amp;BX150</f>
        <v>46388.680914351855-46568.68116898148</v>
      </c>
      <c r="BV151" s="17019"/>
      <c r="BW151" s="17012"/>
      <c r="BX151" s="17019"/>
      <c r="BY151" s="17012"/>
      <c r="BZ151" s="17017"/>
      <c r="CA151" s="17017"/>
      <c r="CB151" s="17018" t="str">
        <f>CC150&amp;"-"&amp;CE150</f>
        <v>46569.68171296296-46752.68189814815</v>
      </c>
      <c r="CC151" s="17019"/>
      <c r="CD151" s="17012"/>
      <c r="CE151" s="17019"/>
      <c r="CF151" s="17012"/>
      <c r="CG151" s="17017"/>
      <c r="CH151" s="17017"/>
      <c r="CI151" s="17018" t="str">
        <f>CJ150&amp;"-"&amp;CL150</f>
        <v>46753.68300925926-46934.68284722222</v>
      </c>
      <c r="CJ151" s="17019"/>
      <c r="CK151" s="17012"/>
      <c r="CL151" s="17019"/>
      <c r="CM151" s="17012"/>
      <c r="CN151" s="23708"/>
      <c r="CO151" s="23708"/>
      <c r="CP151" s="23709" t="str">
        <f>CQ150&amp;"-"&amp;CS150</f>
        <v>46935.68262731482-47118.682337962964</v>
      </c>
      <c r="CQ151" s="23710"/>
      <c r="CR151" s="23703"/>
      <c r="CS151" s="23710"/>
      <c r="CT151" s="23703"/>
      <c r="CU151" s="17021"/>
      <c r="CV151" s="17014"/>
      <c r="CW151" s="16982"/>
      <c r="CX151" s="16983"/>
      <c r="CY151" s="16983" t="str">
        <f>IF(T151="","",T151)</f>
        <v/>
      </c>
      <c r="CZ151" s="16983"/>
      <c r="DA151" s="16983"/>
      <c r="DB151" s="16984">
        <v>0</v>
      </c>
    </row>
    <row s="51113" customFormat="1" customHeight="1" ht="21">
      <c r="A152" s="16967"/>
      <c r="B152" s="16967"/>
      <c r="C152" s="16967"/>
      <c r="D152" s="16967"/>
      <c r="E152" s="16968"/>
      <c r="F152" s="16968" t="s">
        <v>93</v>
      </c>
      <c r="G152" s="16968"/>
      <c r="H152" s="16968"/>
      <c r="I152" s="17001"/>
      <c r="J152" s="16989"/>
      <c r="K152" s="16967"/>
      <c r="L152" s="16970"/>
      <c r="M152" s="16990"/>
      <c r="N152" s="16990"/>
      <c r="O152" s="16990"/>
      <c r="P152" s="16991"/>
      <c r="Q152" s="16991"/>
      <c r="R152" s="16992"/>
      <c r="S152" s="18665"/>
      <c r="T152" s="18666" t="s">
        <v>601</v>
      </c>
      <c r="U152" s="18667"/>
      <c r="V152" s="18668"/>
      <c r="W152" s="18669"/>
      <c r="X152" s="18670"/>
      <c r="Y152" s="18671"/>
      <c r="Z152" s="18672"/>
      <c r="AA152" s="18673"/>
      <c r="AB152" s="18674"/>
      <c r="AC152" s="18675"/>
      <c r="AD152" s="18676"/>
      <c r="AE152" s="18677"/>
      <c r="AF152" s="18678"/>
      <c r="AG152" s="18679"/>
      <c r="AH152" s="18680"/>
      <c r="AI152" s="18681"/>
      <c r="AJ152" s="18682"/>
      <c r="AK152" s="18683"/>
      <c r="AL152" s="18684"/>
      <c r="AM152" s="18685"/>
      <c r="AN152" s="18686"/>
      <c r="AO152" s="18687"/>
      <c r="AP152" s="18688"/>
      <c r="AQ152" s="18689"/>
      <c r="AR152" s="18690"/>
      <c r="AS152" s="18691"/>
      <c r="AT152" s="18692"/>
      <c r="AU152" s="18693"/>
      <c r="AV152" s="18694"/>
      <c r="AW152" s="18695"/>
      <c r="AX152" s="18696"/>
      <c r="AY152" s="18697"/>
      <c r="AZ152" s="18698"/>
      <c r="BA152" s="18699"/>
      <c r="BB152" s="18700"/>
      <c r="BC152" s="18701"/>
      <c r="BD152" s="18702"/>
      <c r="BE152" s="18703"/>
      <c r="BF152" s="18704"/>
      <c r="BG152" s="18705"/>
      <c r="BH152" s="18706"/>
      <c r="BI152" s="18707"/>
      <c r="BJ152" s="18708"/>
      <c r="BK152" s="18709"/>
      <c r="BL152" s="18710"/>
      <c r="BM152" s="18711"/>
      <c r="BN152" s="18712"/>
      <c r="BO152" s="18713"/>
      <c r="BP152" s="18714"/>
      <c r="BQ152" s="18715"/>
      <c r="BR152" s="18716"/>
      <c r="BS152" s="18717"/>
      <c r="BT152" s="18718"/>
      <c r="BU152" s="18719"/>
      <c r="BV152" s="18720"/>
      <c r="BW152" s="18721"/>
      <c r="BX152" s="18722"/>
      <c r="BY152" s="18723"/>
      <c r="BZ152" s="18724"/>
      <c r="CA152" s="18725"/>
      <c r="CB152" s="18726"/>
      <c r="CC152" s="18727"/>
      <c r="CD152" s="18728"/>
      <c r="CE152" s="18729"/>
      <c r="CF152" s="18730"/>
      <c r="CG152" s="18731"/>
      <c r="CH152" s="18732"/>
      <c r="CI152" s="18733"/>
      <c r="CJ152" s="18734"/>
      <c r="CK152" s="18735"/>
      <c r="CL152" s="18736"/>
      <c r="CM152" s="18737"/>
      <c r="CN152" s="26178"/>
      <c r="CO152" s="26179"/>
      <c r="CP152" s="26180"/>
      <c r="CQ152" s="26181"/>
      <c r="CR152" s="26182"/>
      <c r="CS152" s="26183"/>
      <c r="CT152" s="26184"/>
      <c r="CU152" s="18738"/>
      <c r="CV152" s="16981" t="s">
        <v>602</v>
      </c>
      <c r="CW152" s="16982"/>
      <c r="CX152" s="16983"/>
      <c r="CY152" s="16983" t="str">
        <f>IF(T152="","",T152)</f>
        <v>Добавить значение признака дифференциации</v>
      </c>
      <c r="CZ152" s="16983"/>
      <c r="DA152" s="16983"/>
      <c r="DB152" s="16984">
        <v>0</v>
      </c>
    </row>
    <row s="51195" customFormat="1" customHeight="1" ht="23.25">
      <c r="A153" s="40638"/>
      <c r="B153" s="40638"/>
      <c r="C153" s="40638"/>
      <c r="D153" s="40638"/>
      <c r="E153" s="40639"/>
      <c r="F153" s="40639"/>
      <c r="G153" s="40639"/>
      <c r="H153" s="40639"/>
      <c r="I153" s="40640"/>
      <c r="J153" s="40641" t="str">
        <f>I148&amp;".2"</f>
        <v>1.5.1.1.2</v>
      </c>
      <c r="K153" s="40638"/>
      <c r="L153" s="40642" t="s">
        <v>524</v>
      </c>
      <c r="M153" s="40643"/>
      <c r="N153" s="40643"/>
      <c r="O153" s="40643"/>
      <c r="P153" s="40644"/>
      <c r="Q153" s="40645" t="s">
        <v>106</v>
      </c>
      <c r="R153" s="40646"/>
      <c r="S153" s="40647" t="str">
        <f>$J153</f>
        <v>1.5.1.1.2</v>
      </c>
      <c r="T153" s="40648" t="s">
        <v>525</v>
      </c>
      <c r="U153" s="40649"/>
      <c r="V153" s="40650"/>
      <c r="W153" s="40651"/>
      <c r="X153" s="40651"/>
      <c r="Y153" s="40651"/>
      <c r="Z153" s="40651"/>
      <c r="AA153" s="40651"/>
      <c r="AB153" s="40652"/>
      <c r="AC153" s="40650" t="s">
        <v>637</v>
      </c>
      <c r="AD153" s="40651"/>
      <c r="AE153" s="40651"/>
      <c r="AF153" s="40651"/>
      <c r="AG153" s="40651"/>
      <c r="AH153" s="40651"/>
      <c r="AI153" s="40651"/>
      <c r="AJ153" s="40650"/>
      <c r="AK153" s="40651"/>
      <c r="AL153" s="40651"/>
      <c r="AM153" s="40651"/>
      <c r="AN153" s="40651"/>
      <c r="AO153" s="40651"/>
      <c r="AP153" s="40652"/>
      <c r="AQ153" s="40650"/>
      <c r="AR153" s="40651"/>
      <c r="AS153" s="40651"/>
      <c r="AT153" s="40651"/>
      <c r="AU153" s="40651"/>
      <c r="AV153" s="40651"/>
      <c r="AW153" s="40652"/>
      <c r="AX153" s="40650"/>
      <c r="AY153" s="40651"/>
      <c r="AZ153" s="40651"/>
      <c r="BA153" s="40651"/>
      <c r="BB153" s="40651"/>
      <c r="BC153" s="40651"/>
      <c r="BD153" s="40652"/>
      <c r="BE153" s="40650"/>
      <c r="BF153" s="40651"/>
      <c r="BG153" s="40651"/>
      <c r="BH153" s="40651"/>
      <c r="BI153" s="40651"/>
      <c r="BJ153" s="40651"/>
      <c r="BK153" s="40652"/>
      <c r="BL153" s="40650"/>
      <c r="BM153" s="40651"/>
      <c r="BN153" s="40651"/>
      <c r="BO153" s="40651"/>
      <c r="BP153" s="40651"/>
      <c r="BQ153" s="40651"/>
      <c r="BR153" s="40652"/>
      <c r="BS153" s="40650"/>
      <c r="BT153" s="40651"/>
      <c r="BU153" s="40651"/>
      <c r="BV153" s="40651"/>
      <c r="BW153" s="40651"/>
      <c r="BX153" s="40651"/>
      <c r="BY153" s="40652"/>
      <c r="BZ153" s="40650"/>
      <c r="CA153" s="40651"/>
      <c r="CB153" s="40651"/>
      <c r="CC153" s="40651"/>
      <c r="CD153" s="40651"/>
      <c r="CE153" s="40651"/>
      <c r="CF153" s="40652"/>
      <c r="CG153" s="40650"/>
      <c r="CH153" s="40651"/>
      <c r="CI153" s="40651"/>
      <c r="CJ153" s="40651"/>
      <c r="CK153" s="40651"/>
      <c r="CL153" s="40651"/>
      <c r="CM153" s="40652"/>
      <c r="CN153" s="40650"/>
      <c r="CO153" s="40651"/>
      <c r="CP153" s="40651"/>
      <c r="CQ153" s="40651"/>
      <c r="CR153" s="40651"/>
      <c r="CS153" s="40651"/>
      <c r="CT153" s="40653"/>
      <c r="CU153" s="40652"/>
      <c r="CV153" s="40654" t="s">
        <v>600</v>
      </c>
      <c r="CW153" s="40655"/>
      <c r="CX153" s="40656"/>
      <c r="CY153" s="40656" t="str">
        <f>IF(T153="","",T153)</f>
        <v>Группа потребителей</v>
      </c>
      <c r="CZ153" s="40656"/>
      <c r="DA153" s="40656"/>
      <c r="DB153" s="40657">
        <v>0</v>
      </c>
    </row>
    <row s="51196" customFormat="1" customHeight="1" ht="23.25">
      <c r="A154" s="40638"/>
      <c r="B154" s="40638"/>
      <c r="C154" s="40638"/>
      <c r="D154" s="40638"/>
      <c r="E154" s="40639"/>
      <c r="F154" s="40639"/>
      <c r="G154" s="40639"/>
      <c r="H154" s="40639"/>
      <c r="I154" s="40640"/>
      <c r="J154" s="40640" t="str">
        <f>I148&amp;".1"</f>
        <v>1.5.1.1.1</v>
      </c>
      <c r="K154" s="40641" t="str">
        <f>J153&amp;".1"</f>
        <v>1.5.1.1.2.1</v>
      </c>
      <c r="L154" s="40642"/>
      <c r="M154" s="40643"/>
      <c r="N154" s="40643"/>
      <c r="O154" s="40643"/>
      <c r="P154" s="40644"/>
      <c r="Q154" s="40644"/>
      <c r="R154" s="40646">
        <v>1</v>
      </c>
      <c r="S154" s="40647" t="str">
        <f>$K154</f>
        <v>1.5.1.1.2.1</v>
      </c>
      <c r="T154" s="40659"/>
      <c r="U154" s="40649"/>
      <c r="V154" s="40660"/>
      <c r="W154" s="40660"/>
      <c r="X154" s="40661"/>
      <c r="Y154" s="40552"/>
      <c r="Z154" s="40662" t="s">
        <v>63</v>
      </c>
      <c r="AA154" s="40552"/>
      <c r="AB154" s="40662" t="s">
        <v>63</v>
      </c>
      <c r="AC154" s="40660">
        <v>30.5</v>
      </c>
      <c r="AD154" s="40660"/>
      <c r="AE154" s="40661"/>
      <c r="AF154" s="40552">
        <v>45292.67784722222</v>
      </c>
      <c r="AG154" s="40662" t="s">
        <v>63</v>
      </c>
      <c r="AH154" s="40553">
        <v>45473.67800925926</v>
      </c>
      <c r="AI154" s="40662" t="s">
        <v>63</v>
      </c>
      <c r="AJ154" s="40660">
        <v>39.65</v>
      </c>
      <c r="AK154" s="40660"/>
      <c r="AL154" s="40661"/>
      <c r="AM154" s="40552">
        <v>45474.678136574075</v>
      </c>
      <c r="AN154" s="40662" t="s">
        <v>63</v>
      </c>
      <c r="AO154" s="40552">
        <v>45657.67824074074</v>
      </c>
      <c r="AP154" s="40662" t="s">
        <v>63</v>
      </c>
      <c r="AQ154" s="40660">
        <v>39.65</v>
      </c>
      <c r="AR154" s="40660"/>
      <c r="AS154" s="40661"/>
      <c r="AT154" s="40552">
        <v>45658.6784375</v>
      </c>
      <c r="AU154" s="40662" t="s">
        <v>63</v>
      </c>
      <c r="AV154" s="40552">
        <v>45838.67858796296</v>
      </c>
      <c r="AW154" s="40662" t="s">
        <v>63</v>
      </c>
      <c r="AX154" s="40660">
        <v>48.37</v>
      </c>
      <c r="AY154" s="40660"/>
      <c r="AZ154" s="40661"/>
      <c r="BA154" s="40552">
        <v>45839.678819444445</v>
      </c>
      <c r="BB154" s="40662" t="s">
        <v>63</v>
      </c>
      <c r="BC154" s="40552">
        <v>46022.67896990741</v>
      </c>
      <c r="BD154" s="40662" t="s">
        <v>63</v>
      </c>
      <c r="BE154" s="40660">
        <v>48.37</v>
      </c>
      <c r="BF154" s="40660"/>
      <c r="BG154" s="40661"/>
      <c r="BH154" s="40552">
        <v>46023.67925925926</v>
      </c>
      <c r="BI154" s="40662" t="s">
        <v>63</v>
      </c>
      <c r="BJ154" s="40552">
        <v>46203.67978009259</v>
      </c>
      <c r="BK154" s="40662" t="s">
        <v>63</v>
      </c>
      <c r="BL154" s="40660">
        <v>48.61</v>
      </c>
      <c r="BM154" s="40660"/>
      <c r="BN154" s="40661"/>
      <c r="BO154" s="40552">
        <v>46204.68006944445</v>
      </c>
      <c r="BP154" s="40662" t="s">
        <v>63</v>
      </c>
      <c r="BQ154" s="40552">
        <v>46387.68071759259</v>
      </c>
      <c r="BR154" s="40662" t="s">
        <v>63</v>
      </c>
      <c r="BS154" s="40660">
        <v>48.61</v>
      </c>
      <c r="BT154" s="40660"/>
      <c r="BU154" s="40661"/>
      <c r="BV154" s="40552">
        <v>46388.68105324074</v>
      </c>
      <c r="BW154" s="40662" t="s">
        <v>63</v>
      </c>
      <c r="BX154" s="40552">
        <v>46568.681435185186</v>
      </c>
      <c r="BY154" s="40662" t="s">
        <v>63</v>
      </c>
      <c r="BZ154" s="40660">
        <v>48.86</v>
      </c>
      <c r="CA154" s="40660"/>
      <c r="CB154" s="40661"/>
      <c r="CC154" s="40552">
        <v>46569.681805555556</v>
      </c>
      <c r="CD154" s="40662" t="s">
        <v>63</v>
      </c>
      <c r="CE154" s="40552">
        <v>46752.68200231482</v>
      </c>
      <c r="CF154" s="40662" t="s">
        <v>63</v>
      </c>
      <c r="CG154" s="40660">
        <v>46.7</v>
      </c>
      <c r="CH154" s="40660"/>
      <c r="CI154" s="40661"/>
      <c r="CJ154" s="40552">
        <v>46753.68318287037</v>
      </c>
      <c r="CK154" s="40662" t="s">
        <v>63</v>
      </c>
      <c r="CL154" s="40552">
        <v>46934.68273148148</v>
      </c>
      <c r="CM154" s="40662" t="s">
        <v>63</v>
      </c>
      <c r="CN154" s="40660">
        <v>46.7</v>
      </c>
      <c r="CO154" s="40660"/>
      <c r="CP154" s="40661"/>
      <c r="CQ154" s="40552">
        <v>46935.68252314815</v>
      </c>
      <c r="CR154" s="40662" t="s">
        <v>63</v>
      </c>
      <c r="CS154" s="40552">
        <v>47118.68243055556</v>
      </c>
      <c r="CT154" s="40663" t="s">
        <v>63</v>
      </c>
      <c r="CU154" s="40664"/>
      <c r="CV154" s="406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154" s="40655">
        <f>STRCHECKDATE(V155:CU155)</f>
      </c>
      <c r="CX154" s="40656"/>
      <c r="CY154" s="40656" t="str">
        <f>IF(T154="","",T154)</f>
        <v/>
      </c>
      <c r="CZ154" s="40656"/>
      <c r="DA154" s="40656"/>
      <c r="DB154" s="40657">
        <v>0</v>
      </c>
    </row>
    <row s="51197" customFormat="1" customHeight="1" ht="14.25">
      <c r="A155" s="40638"/>
      <c r="B155" s="40638"/>
      <c r="C155" s="40638"/>
      <c r="D155" s="40638"/>
      <c r="E155" s="40639"/>
      <c r="F155" s="40639"/>
      <c r="G155" s="40639"/>
      <c r="H155" s="40639"/>
      <c r="I155" s="40640"/>
      <c r="J155" s="40640" t="str">
        <f>I148&amp;".1"</f>
        <v>1.5.1.1.1</v>
      </c>
      <c r="K155" s="40641"/>
      <c r="L155" s="40642"/>
      <c r="M155" s="40643"/>
      <c r="N155" s="40643"/>
      <c r="O155" s="40643"/>
      <c r="P155" s="40644"/>
      <c r="Q155" s="40644"/>
      <c r="R155" s="40646"/>
      <c r="S155" s="40667"/>
      <c r="T155" s="40649"/>
      <c r="U155" s="40649"/>
      <c r="V155" s="40668"/>
      <c r="W155" s="40668"/>
      <c r="X155" s="40669" t="str">
        <f>Y154&amp;"-"&amp;AA154</f>
        <v>-</v>
      </c>
      <c r="Y155" s="40670"/>
      <c r="Z155" s="40662"/>
      <c r="AA155" s="40670"/>
      <c r="AB155" s="40662"/>
      <c r="AC155" s="40668"/>
      <c r="AD155" s="40668"/>
      <c r="AE155" s="40669" t="str">
        <f>AF154&amp;"-"&amp;AH154</f>
        <v>45292.67784722222-45473.67800925926</v>
      </c>
      <c r="AF155" s="40670"/>
      <c r="AG155" s="40662"/>
      <c r="AH155" s="40671"/>
      <c r="AI155" s="40662"/>
      <c r="AJ155" s="40668"/>
      <c r="AK155" s="40668"/>
      <c r="AL155" s="40669" t="str">
        <f>AM154&amp;"-"&amp;AO154</f>
        <v>45474.678136574075-45657.67824074074</v>
      </c>
      <c r="AM155" s="40670"/>
      <c r="AN155" s="40662"/>
      <c r="AO155" s="40670"/>
      <c r="AP155" s="40662"/>
      <c r="AQ155" s="40668"/>
      <c r="AR155" s="40668"/>
      <c r="AS155" s="40669" t="str">
        <f>AT154&amp;"-"&amp;AV154</f>
        <v>45658.6784375-45838.67858796296</v>
      </c>
      <c r="AT155" s="40670"/>
      <c r="AU155" s="40662"/>
      <c r="AV155" s="40670"/>
      <c r="AW155" s="40662"/>
      <c r="AX155" s="40668"/>
      <c r="AY155" s="40668"/>
      <c r="AZ155" s="40669" t="str">
        <f>BA154&amp;"-"&amp;BC154</f>
        <v>45839.678819444445-46022.67896990741</v>
      </c>
      <c r="BA155" s="40670"/>
      <c r="BB155" s="40662"/>
      <c r="BC155" s="40670"/>
      <c r="BD155" s="40662"/>
      <c r="BE155" s="40668"/>
      <c r="BF155" s="40668"/>
      <c r="BG155" s="40669" t="str">
        <f>BH154&amp;"-"&amp;BJ154</f>
        <v>46023.67925925926-46203.67978009259</v>
      </c>
      <c r="BH155" s="40670"/>
      <c r="BI155" s="40662"/>
      <c r="BJ155" s="40670"/>
      <c r="BK155" s="40662"/>
      <c r="BL155" s="40668"/>
      <c r="BM155" s="40668"/>
      <c r="BN155" s="40669" t="str">
        <f>BO154&amp;"-"&amp;BQ154</f>
        <v>46204.68006944445-46387.68071759259</v>
      </c>
      <c r="BO155" s="40670"/>
      <c r="BP155" s="40662"/>
      <c r="BQ155" s="40670"/>
      <c r="BR155" s="40662"/>
      <c r="BS155" s="40668"/>
      <c r="BT155" s="40668"/>
      <c r="BU155" s="40669" t="str">
        <f>BV154&amp;"-"&amp;BX154</f>
        <v>46388.68105324074-46568.681435185186</v>
      </c>
      <c r="BV155" s="40670"/>
      <c r="BW155" s="40662"/>
      <c r="BX155" s="40670"/>
      <c r="BY155" s="40662"/>
      <c r="BZ155" s="40668"/>
      <c r="CA155" s="40668"/>
      <c r="CB155" s="40669" t="str">
        <f>CC154&amp;"-"&amp;CE154</f>
        <v>46569.681805555556-46752.68200231482</v>
      </c>
      <c r="CC155" s="40670"/>
      <c r="CD155" s="40662"/>
      <c r="CE155" s="40670"/>
      <c r="CF155" s="40662"/>
      <c r="CG155" s="40668"/>
      <c r="CH155" s="40668"/>
      <c r="CI155" s="40669" t="str">
        <f>CJ154&amp;"-"&amp;CL154</f>
        <v>46753.68318287037-46934.68273148148</v>
      </c>
      <c r="CJ155" s="40670"/>
      <c r="CK155" s="40662"/>
      <c r="CL155" s="40670"/>
      <c r="CM155" s="40662"/>
      <c r="CN155" s="40668"/>
      <c r="CO155" s="40668"/>
      <c r="CP155" s="40669" t="str">
        <f>CQ154&amp;"-"&amp;CS154</f>
        <v>46935.68252314815-47118.68243055556</v>
      </c>
      <c r="CQ155" s="40670"/>
      <c r="CR155" s="40662"/>
      <c r="CS155" s="40670"/>
      <c r="CT155" s="40663"/>
      <c r="CU155" s="40672"/>
      <c r="CV155" s="40665"/>
      <c r="CW155" s="40655"/>
      <c r="CX155" s="40656"/>
      <c r="CY155" s="40656" t="str">
        <f>IF(T155="","",T155)</f>
        <v/>
      </c>
      <c r="CZ155" s="40656"/>
      <c r="DA155" s="40656"/>
      <c r="DB155" s="40657">
        <v>0</v>
      </c>
    </row>
    <row s="51198" customFormat="1" customHeight="1" ht="21">
      <c r="A156" s="40638"/>
      <c r="B156" s="40638"/>
      <c r="C156" s="40638"/>
      <c r="D156" s="40638"/>
      <c r="E156" s="40639"/>
      <c r="F156" s="40639"/>
      <c r="G156" s="40639"/>
      <c r="H156" s="40639"/>
      <c r="I156" s="40640"/>
      <c r="J156" s="40641" t="str">
        <f>I148&amp;".1"</f>
        <v>1.5.1.1.1</v>
      </c>
      <c r="K156" s="40638"/>
      <c r="L156" s="40642"/>
      <c r="M156" s="40643"/>
      <c r="N156" s="40643"/>
      <c r="O156" s="40643"/>
      <c r="P156" s="40644"/>
      <c r="Q156" s="40644"/>
      <c r="R156" s="40674"/>
      <c r="S156" s="42368"/>
      <c r="T156" s="42369" t="s">
        <v>601</v>
      </c>
      <c r="U156" s="42370"/>
      <c r="V156" s="42371"/>
      <c r="W156" s="42372"/>
      <c r="X156" s="42373"/>
      <c r="Y156" s="42374"/>
      <c r="Z156" s="42375"/>
      <c r="AA156" s="42376"/>
      <c r="AB156" s="42377"/>
      <c r="AC156" s="42378"/>
      <c r="AD156" s="42379"/>
      <c r="AE156" s="42380"/>
      <c r="AF156" s="42381"/>
      <c r="AG156" s="42382"/>
      <c r="AH156" s="42383"/>
      <c r="AI156" s="42384"/>
      <c r="AJ156" s="42385"/>
      <c r="AK156" s="42386"/>
      <c r="AL156" s="42387"/>
      <c r="AM156" s="42388"/>
      <c r="AN156" s="42389"/>
      <c r="AO156" s="42390"/>
      <c r="AP156" s="42391"/>
      <c r="AQ156" s="42392"/>
      <c r="AR156" s="42393"/>
      <c r="AS156" s="42394"/>
      <c r="AT156" s="42395"/>
      <c r="AU156" s="42396"/>
      <c r="AV156" s="42397"/>
      <c r="AW156" s="42398"/>
      <c r="AX156" s="42399"/>
      <c r="AY156" s="42400"/>
      <c r="AZ156" s="42401"/>
      <c r="BA156" s="42402"/>
      <c r="BB156" s="42403"/>
      <c r="BC156" s="42404"/>
      <c r="BD156" s="42405"/>
      <c r="BE156" s="42406"/>
      <c r="BF156" s="42407"/>
      <c r="BG156" s="42408"/>
      <c r="BH156" s="42409"/>
      <c r="BI156" s="42410"/>
      <c r="BJ156" s="42411"/>
      <c r="BK156" s="42412"/>
      <c r="BL156" s="42413"/>
      <c r="BM156" s="42414"/>
      <c r="BN156" s="42415"/>
      <c r="BO156" s="42416"/>
      <c r="BP156" s="42417"/>
      <c r="BQ156" s="42418"/>
      <c r="BR156" s="42419"/>
      <c r="BS156" s="42420"/>
      <c r="BT156" s="42421"/>
      <c r="BU156" s="42422"/>
      <c r="BV156" s="42423"/>
      <c r="BW156" s="42424"/>
      <c r="BX156" s="42425"/>
      <c r="BY156" s="42426"/>
      <c r="BZ156" s="42427"/>
      <c r="CA156" s="42428"/>
      <c r="CB156" s="42429"/>
      <c r="CC156" s="42430"/>
      <c r="CD156" s="42431"/>
      <c r="CE156" s="42432"/>
      <c r="CF156" s="42433"/>
      <c r="CG156" s="42434"/>
      <c r="CH156" s="42435"/>
      <c r="CI156" s="42436"/>
      <c r="CJ156" s="42437"/>
      <c r="CK156" s="42438"/>
      <c r="CL156" s="42439"/>
      <c r="CM156" s="42440"/>
      <c r="CN156" s="42441"/>
      <c r="CO156" s="42442"/>
      <c r="CP156" s="42443"/>
      <c r="CQ156" s="42444"/>
      <c r="CR156" s="42445"/>
      <c r="CS156" s="42446"/>
      <c r="CT156" s="42447"/>
      <c r="CU156" s="42448"/>
      <c r="CV156" s="40756" t="s">
        <v>602</v>
      </c>
      <c r="CW156" s="40655"/>
      <c r="CX156" s="40656"/>
      <c r="CY156" s="40656" t="str">
        <f>IF(T156="","",T156)</f>
        <v>Добавить значение признака дифференциации</v>
      </c>
      <c r="CZ156" s="40656"/>
      <c r="DA156" s="40656"/>
      <c r="DB156" s="40657">
        <v>0</v>
      </c>
    </row>
    <row s="51280" customFormat="1" customHeight="1" ht="21">
      <c r="A157" s="16967"/>
      <c r="B157" s="16967"/>
      <c r="C157" s="16967"/>
      <c r="D157" s="16967"/>
      <c r="E157" s="16968"/>
      <c r="F157" s="16968" t="s">
        <v>93</v>
      </c>
      <c r="G157" s="16968"/>
      <c r="H157" s="16968"/>
      <c r="I157" s="16989"/>
      <c r="J157" s="16967"/>
      <c r="K157" s="16967"/>
      <c r="L157" s="16970"/>
      <c r="M157" s="16990"/>
      <c r="N157" s="16990"/>
      <c r="O157" s="16990"/>
      <c r="P157" s="16991"/>
      <c r="Q157" s="16991"/>
      <c r="R157" s="16992"/>
      <c r="S157" s="18740"/>
      <c r="T157" s="18741" t="s">
        <v>530</v>
      </c>
      <c r="U157" s="18742"/>
      <c r="V157" s="18743"/>
      <c r="W157" s="18744"/>
      <c r="X157" s="18745"/>
      <c r="Y157" s="18746"/>
      <c r="Z157" s="18747"/>
      <c r="AA157" s="18748"/>
      <c r="AB157" s="18749"/>
      <c r="AC157" s="18750"/>
      <c r="AD157" s="18751"/>
      <c r="AE157" s="18752"/>
      <c r="AF157" s="18753"/>
      <c r="AG157" s="18754"/>
      <c r="AH157" s="18755"/>
      <c r="AI157" s="18756"/>
      <c r="AJ157" s="18757"/>
      <c r="AK157" s="18758"/>
      <c r="AL157" s="18759"/>
      <c r="AM157" s="18760"/>
      <c r="AN157" s="18761"/>
      <c r="AO157" s="18762"/>
      <c r="AP157" s="18763"/>
      <c r="AQ157" s="18764"/>
      <c r="AR157" s="18765"/>
      <c r="AS157" s="18766"/>
      <c r="AT157" s="18767"/>
      <c r="AU157" s="18768"/>
      <c r="AV157" s="18769"/>
      <c r="AW157" s="18770"/>
      <c r="AX157" s="18771"/>
      <c r="AY157" s="18772"/>
      <c r="AZ157" s="18773"/>
      <c r="BA157" s="18774"/>
      <c r="BB157" s="18775"/>
      <c r="BC157" s="18776"/>
      <c r="BD157" s="18777"/>
      <c r="BE157" s="18778"/>
      <c r="BF157" s="18779"/>
      <c r="BG157" s="18780"/>
      <c r="BH157" s="18781"/>
      <c r="BI157" s="18782"/>
      <c r="BJ157" s="18783"/>
      <c r="BK157" s="18784"/>
      <c r="BL157" s="18785"/>
      <c r="BM157" s="18786"/>
      <c r="BN157" s="18787"/>
      <c r="BO157" s="18788"/>
      <c r="BP157" s="18789"/>
      <c r="BQ157" s="18790"/>
      <c r="BR157" s="18791"/>
      <c r="BS157" s="18792"/>
      <c r="BT157" s="18793"/>
      <c r="BU157" s="18794"/>
      <c r="BV157" s="18795"/>
      <c r="BW157" s="18796"/>
      <c r="BX157" s="18797"/>
      <c r="BY157" s="18798"/>
      <c r="BZ157" s="18799"/>
      <c r="CA157" s="18800"/>
      <c r="CB157" s="18801"/>
      <c r="CC157" s="18802"/>
      <c r="CD157" s="18803"/>
      <c r="CE157" s="18804"/>
      <c r="CF157" s="18805"/>
      <c r="CG157" s="18806"/>
      <c r="CH157" s="18807"/>
      <c r="CI157" s="18808"/>
      <c r="CJ157" s="18809"/>
      <c r="CK157" s="18810"/>
      <c r="CL157" s="18811"/>
      <c r="CM157" s="18812"/>
      <c r="CN157" s="26260"/>
      <c r="CO157" s="26261"/>
      <c r="CP157" s="26262"/>
      <c r="CQ157" s="26263"/>
      <c r="CR157" s="26264"/>
      <c r="CS157" s="26265"/>
      <c r="CT157" s="26266"/>
      <c r="CU157" s="18813"/>
      <c r="CV157" s="18814"/>
      <c r="CW157" s="16982"/>
      <c r="CX157" s="16983"/>
      <c r="CY157" s="16983" t="str">
        <f>IF(T157="","",T157)</f>
        <v>Добавить группу потребителей</v>
      </c>
      <c r="CZ157" s="16983"/>
      <c r="DA157" s="16983"/>
      <c r="DB157" s="16984">
        <v>0</v>
      </c>
    </row>
    <row s="51363" customFormat="1" customHeight="1" ht="21">
      <c r="A158" s="16967"/>
      <c r="B158" s="16967"/>
      <c r="C158" s="16967"/>
      <c r="D158" s="16967"/>
      <c r="E158" s="16968"/>
      <c r="F158" s="16968" t="s">
        <v>93</v>
      </c>
      <c r="G158" s="16968"/>
      <c r="H158" s="16969"/>
      <c r="I158" s="16967"/>
      <c r="J158" s="16967"/>
      <c r="K158" s="16967"/>
      <c r="L158" s="16970"/>
      <c r="M158" s="16971"/>
      <c r="N158" s="16971"/>
      <c r="O158" s="17174"/>
      <c r="P158" s="17175"/>
      <c r="Q158" s="17176"/>
      <c r="R158" s="17177"/>
      <c r="S158" s="18816"/>
      <c r="T158" s="18817" t="s">
        <v>603</v>
      </c>
      <c r="U158" s="18818"/>
      <c r="V158" s="18819"/>
      <c r="W158" s="18820"/>
      <c r="X158" s="18821"/>
      <c r="Y158" s="18822"/>
      <c r="Z158" s="18823"/>
      <c r="AA158" s="18824"/>
      <c r="AB158" s="18825"/>
      <c r="AC158" s="18826"/>
      <c r="AD158" s="18827"/>
      <c r="AE158" s="18828"/>
      <c r="AF158" s="18829"/>
      <c r="AG158" s="18830"/>
      <c r="AH158" s="18831"/>
      <c r="AI158" s="18832"/>
      <c r="AJ158" s="18833"/>
      <c r="AK158" s="18834"/>
      <c r="AL158" s="18835"/>
      <c r="AM158" s="18836"/>
      <c r="AN158" s="18837"/>
      <c r="AO158" s="18838"/>
      <c r="AP158" s="18839"/>
      <c r="AQ158" s="18840"/>
      <c r="AR158" s="18841"/>
      <c r="AS158" s="18842"/>
      <c r="AT158" s="18843"/>
      <c r="AU158" s="18844"/>
      <c r="AV158" s="18845"/>
      <c r="AW158" s="18846"/>
      <c r="AX158" s="18847"/>
      <c r="AY158" s="18848"/>
      <c r="AZ158" s="18849"/>
      <c r="BA158" s="18850"/>
      <c r="BB158" s="18851"/>
      <c r="BC158" s="18852"/>
      <c r="BD158" s="18853"/>
      <c r="BE158" s="18854"/>
      <c r="BF158" s="18855"/>
      <c r="BG158" s="18856"/>
      <c r="BH158" s="18857"/>
      <c r="BI158" s="18858"/>
      <c r="BJ158" s="18859"/>
      <c r="BK158" s="18860"/>
      <c r="BL158" s="18861"/>
      <c r="BM158" s="18862"/>
      <c r="BN158" s="18863"/>
      <c r="BO158" s="18864"/>
      <c r="BP158" s="18865"/>
      <c r="BQ158" s="18866"/>
      <c r="BR158" s="18867"/>
      <c r="BS158" s="18868"/>
      <c r="BT158" s="18869"/>
      <c r="BU158" s="18870"/>
      <c r="BV158" s="18871"/>
      <c r="BW158" s="18872"/>
      <c r="BX158" s="18873"/>
      <c r="BY158" s="18874"/>
      <c r="BZ158" s="18875"/>
      <c r="CA158" s="18876"/>
      <c r="CB158" s="18877"/>
      <c r="CC158" s="18878"/>
      <c r="CD158" s="18879"/>
      <c r="CE158" s="18880"/>
      <c r="CF158" s="18881"/>
      <c r="CG158" s="18882"/>
      <c r="CH158" s="18883"/>
      <c r="CI158" s="18884"/>
      <c r="CJ158" s="18885"/>
      <c r="CK158" s="18886"/>
      <c r="CL158" s="18887"/>
      <c r="CM158" s="18888"/>
      <c r="CN158" s="26343"/>
      <c r="CO158" s="26344"/>
      <c r="CP158" s="26345"/>
      <c r="CQ158" s="26346"/>
      <c r="CR158" s="26347"/>
      <c r="CS158" s="26348"/>
      <c r="CT158" s="26349"/>
      <c r="CU158" s="18889"/>
      <c r="CV158" s="18890"/>
      <c r="CW158" s="16982"/>
      <c r="CX158" s="16983"/>
      <c r="CY158" s="16983" t="str">
        <f>IF(T158="","",T158)</f>
        <v>Добавить наименование признака дифференциации</v>
      </c>
      <c r="CZ158" s="16983"/>
      <c r="DA158" s="16983"/>
      <c r="DB158" s="16984">
        <v>0</v>
      </c>
    </row>
    <row s="51446" customFormat="1" customHeight="1" ht="14.25">
      <c r="A159" s="17254"/>
      <c r="B159" s="17254"/>
      <c r="C159" s="17254"/>
      <c r="D159" s="17254"/>
      <c r="E159" s="16968"/>
      <c r="F159" s="16969" t="s">
        <v>93</v>
      </c>
      <c r="G159" s="17254"/>
      <c r="H159" s="17254"/>
      <c r="I159" s="17254"/>
      <c r="J159" s="17254"/>
      <c r="K159" s="17254"/>
      <c r="L159" s="17255"/>
      <c r="M159" s="17256"/>
      <c r="N159" s="17256"/>
      <c r="O159" s="16982"/>
      <c r="P159" s="17257"/>
      <c r="Q159" s="17258"/>
      <c r="R159" s="17257"/>
      <c r="S159" s="17259"/>
      <c r="T159" s="17260" t="s">
        <v>321</v>
      </c>
      <c r="U159" s="17261"/>
      <c r="V159" s="17261"/>
      <c r="W159" s="17261"/>
      <c r="X159" s="17261"/>
      <c r="Y159" s="17261"/>
      <c r="Z159" s="17261"/>
      <c r="AA159" s="17261"/>
      <c r="AB159" s="17261"/>
      <c r="AC159" s="17261"/>
      <c r="AD159" s="17261"/>
      <c r="AE159" s="17261"/>
      <c r="AF159" s="17261"/>
      <c r="AG159" s="17261"/>
      <c r="AH159" s="17261"/>
      <c r="AI159" s="17261"/>
      <c r="AJ159" s="17261"/>
      <c r="AK159" s="17261"/>
      <c r="AL159" s="17261"/>
      <c r="AM159" s="17261"/>
      <c r="AN159" s="17261"/>
      <c r="AO159" s="17261"/>
      <c r="AP159" s="17261"/>
      <c r="AQ159" s="17261"/>
      <c r="AR159" s="17261"/>
      <c r="AS159" s="17261"/>
      <c r="AT159" s="17261"/>
      <c r="AU159" s="17261"/>
      <c r="AV159" s="17261"/>
      <c r="AW159" s="17261"/>
      <c r="AX159" s="17261"/>
      <c r="AY159" s="17261"/>
      <c r="AZ159" s="17261"/>
      <c r="BA159" s="17261"/>
      <c r="BB159" s="17261"/>
      <c r="BC159" s="17261"/>
      <c r="BD159" s="17261"/>
      <c r="BE159" s="17261"/>
      <c r="BF159" s="17261"/>
      <c r="BG159" s="17261"/>
      <c r="BH159" s="17261"/>
      <c r="BI159" s="17261"/>
      <c r="BJ159" s="17261"/>
      <c r="BK159" s="17261"/>
      <c r="BL159" s="17261"/>
      <c r="BM159" s="17261"/>
      <c r="BN159" s="17261"/>
      <c r="BO159" s="17261"/>
      <c r="BP159" s="17261"/>
      <c r="BQ159" s="17261"/>
      <c r="BR159" s="17261"/>
      <c r="BS159" s="17261"/>
      <c r="BT159" s="17261"/>
      <c r="BU159" s="17261"/>
      <c r="BV159" s="17261"/>
      <c r="BW159" s="17261"/>
      <c r="BX159" s="17261"/>
      <c r="BY159" s="17261"/>
      <c r="BZ159" s="17261"/>
      <c r="CA159" s="17261"/>
      <c r="CB159" s="17261"/>
      <c r="CC159" s="17261"/>
      <c r="CD159" s="17261"/>
      <c r="CE159" s="17261"/>
      <c r="CF159" s="17261"/>
      <c r="CG159" s="17261"/>
      <c r="CH159" s="17261"/>
      <c r="CI159" s="17261"/>
      <c r="CJ159" s="17261"/>
      <c r="CK159" s="17261"/>
      <c r="CL159" s="17261"/>
      <c r="CM159" s="17261"/>
      <c r="CN159" s="23902"/>
      <c r="CO159" s="23902"/>
      <c r="CP159" s="23902"/>
      <c r="CQ159" s="23902"/>
      <c r="CR159" s="23902"/>
      <c r="CS159" s="23902"/>
      <c r="CT159" s="23902"/>
      <c r="CU159" s="17261"/>
      <c r="CV159" s="17261"/>
      <c r="CW159" s="16982"/>
      <c r="CX159" s="16983"/>
      <c r="CY159" s="16983" t="str">
        <f>IF(T159="","",T159)</f>
        <v>Добавить централизованную систему для дифференциации</v>
      </c>
      <c r="CZ159" s="16983"/>
      <c r="DA159" s="16983"/>
      <c r="DB159" s="16982">
        <v>0</v>
      </c>
    </row>
    <row s="51447" customFormat="1" customHeight="1" ht="23.25">
      <c r="A160" s="16967"/>
      <c r="B160" s="16967" t="s">
        <v>351</v>
      </c>
      <c r="C160" s="16967"/>
      <c r="D160" s="16967"/>
      <c r="E160" s="16968"/>
      <c r="F160" s="16969" t="s">
        <v>94</v>
      </c>
      <c r="G160" s="16967"/>
      <c r="H160" s="16967"/>
      <c r="I160" s="16967"/>
      <c r="J160" s="16967"/>
      <c r="K160" s="16967"/>
      <c r="L160" s="16970"/>
      <c r="M160" s="16971"/>
      <c r="N160" s="16971"/>
      <c r="O160" s="16971"/>
      <c r="P160" s="16972"/>
      <c r="Q160" s="16973"/>
      <c r="R160" s="16974"/>
      <c r="S160" s="16975" t="str">
        <f>INDEX(PT_DIFFERENTIATION_NUM_TER,MATCH(B160,PT_DIFFERENTIATION_TER_ID,0))</f>
        <v>1.6</v>
      </c>
      <c r="T160" s="16976" t="s">
        <v>515</v>
      </c>
      <c r="U160" s="16977"/>
      <c r="V160" s="16978"/>
      <c r="W160" s="16979"/>
      <c r="X160" s="16979"/>
      <c r="Y160" s="16979"/>
      <c r="Z160" s="16979"/>
      <c r="AA160" s="16979"/>
      <c r="AB160" s="16980"/>
      <c r="AC160" s="16978" t="str">
        <f>INDEX(PT_DIFFERENTIATION_TER,MATCH(B160,PT_DIFFERENTIATION_TER_ID,0))</f>
        <v>Территория 6</v>
      </c>
      <c r="AD160" s="16979"/>
      <c r="AE160" s="16979"/>
      <c r="AF160" s="16979"/>
      <c r="AG160" s="16979"/>
      <c r="AH160" s="16979"/>
      <c r="AI160" s="16979"/>
      <c r="AJ160" s="16978"/>
      <c r="AK160" s="16979"/>
      <c r="AL160" s="16979"/>
      <c r="AM160" s="16979"/>
      <c r="AN160" s="16979"/>
      <c r="AO160" s="16979"/>
      <c r="AP160" s="16980"/>
      <c r="AQ160" s="16978"/>
      <c r="AR160" s="16979"/>
      <c r="AS160" s="16979"/>
      <c r="AT160" s="16979"/>
      <c r="AU160" s="16979"/>
      <c r="AV160" s="16979"/>
      <c r="AW160" s="16980"/>
      <c r="AX160" s="16978"/>
      <c r="AY160" s="16979"/>
      <c r="AZ160" s="16979"/>
      <c r="BA160" s="16979"/>
      <c r="BB160" s="16979"/>
      <c r="BC160" s="16979"/>
      <c r="BD160" s="16980"/>
      <c r="BE160" s="16978"/>
      <c r="BF160" s="16979"/>
      <c r="BG160" s="16979"/>
      <c r="BH160" s="16979"/>
      <c r="BI160" s="16979"/>
      <c r="BJ160" s="16979"/>
      <c r="BK160" s="16980"/>
      <c r="BL160" s="16978"/>
      <c r="BM160" s="16979"/>
      <c r="BN160" s="16979"/>
      <c r="BO160" s="16979"/>
      <c r="BP160" s="16979"/>
      <c r="BQ160" s="16979"/>
      <c r="BR160" s="16980"/>
      <c r="BS160" s="16978"/>
      <c r="BT160" s="16979"/>
      <c r="BU160" s="16979"/>
      <c r="BV160" s="16979"/>
      <c r="BW160" s="16979"/>
      <c r="BX160" s="16979"/>
      <c r="BY160" s="16980"/>
      <c r="BZ160" s="16978"/>
      <c r="CA160" s="16979"/>
      <c r="CB160" s="16979"/>
      <c r="CC160" s="16979"/>
      <c r="CD160" s="16979"/>
      <c r="CE160" s="16979"/>
      <c r="CF160" s="16980"/>
      <c r="CG160" s="16978"/>
      <c r="CH160" s="16979"/>
      <c r="CI160" s="16979"/>
      <c r="CJ160" s="16979"/>
      <c r="CK160" s="16979"/>
      <c r="CL160" s="16979"/>
      <c r="CM160" s="16980"/>
      <c r="CN160" s="23679"/>
      <c r="CO160" s="23680"/>
      <c r="CP160" s="23680"/>
      <c r="CQ160" s="23680"/>
      <c r="CR160" s="23680"/>
      <c r="CS160" s="23680"/>
      <c r="CT160" s="23681"/>
      <c r="CU160" s="16980"/>
      <c r="CV160" s="16981" t="s">
        <v>516</v>
      </c>
      <c r="CW160" s="16982"/>
      <c r="CX160" s="16983"/>
      <c r="CY160" s="16983" t="str">
        <f>IF(T160="","",T160)</f>
        <v>Территория действия тарифа</v>
      </c>
      <c r="CZ160" s="16983"/>
      <c r="DA160" s="16983"/>
      <c r="DB160" s="16984">
        <v>0</v>
      </c>
    </row>
    <row s="51448" customFormat="1" customHeight="1" ht="23.25">
      <c r="A161" s="16967"/>
      <c r="B161" s="16967"/>
      <c r="C161" s="16967" t="s">
        <v>352</v>
      </c>
      <c r="D161" s="16967"/>
      <c r="E161" s="16968"/>
      <c r="F161" s="16968" t="s">
        <v>120</v>
      </c>
      <c r="G161" s="16969">
        <v>1</v>
      </c>
      <c r="H161" s="16967"/>
      <c r="I161" s="16967"/>
      <c r="J161" s="16967"/>
      <c r="K161" s="16967"/>
      <c r="L161" s="16970"/>
      <c r="M161" s="16971"/>
      <c r="N161" s="16971"/>
      <c r="O161" s="16971"/>
      <c r="P161" s="16986"/>
      <c r="Q161" s="16973"/>
      <c r="R161" s="16974"/>
      <c r="S161" s="16975" t="str">
        <f>INDEX(PT_DIFFERENTIATION_NUM_CS,MATCH(C161,PT_DIFFERENTIATION_CS_ID,0))</f>
        <v>1.6.1</v>
      </c>
      <c r="T161" s="16987" t="s">
        <v>631</v>
      </c>
      <c r="U161" s="16977"/>
      <c r="V161" s="16978"/>
      <c r="W161" s="16979"/>
      <c r="X161" s="16979"/>
      <c r="Y161" s="16979"/>
      <c r="Z161" s="16979"/>
      <c r="AA161" s="16979"/>
      <c r="AB161" s="16980"/>
      <c r="AC161" s="16978" t="str">
        <f>INDEX(PT_DIFFERENTIATION_CS,MATCH(C161,PT_DIFFERENTIATION_CS_ID,0))</f>
        <v>п. Реттиховка</v>
      </c>
      <c r="AD161" s="16979"/>
      <c r="AE161" s="16979"/>
      <c r="AF161" s="16979"/>
      <c r="AG161" s="16979"/>
      <c r="AH161" s="16979"/>
      <c r="AI161" s="16979"/>
      <c r="AJ161" s="16978"/>
      <c r="AK161" s="16979"/>
      <c r="AL161" s="16979"/>
      <c r="AM161" s="16979"/>
      <c r="AN161" s="16979"/>
      <c r="AO161" s="16979"/>
      <c r="AP161" s="16980"/>
      <c r="AQ161" s="16978"/>
      <c r="AR161" s="16979"/>
      <c r="AS161" s="16979"/>
      <c r="AT161" s="16979"/>
      <c r="AU161" s="16979"/>
      <c r="AV161" s="16979"/>
      <c r="AW161" s="16980"/>
      <c r="AX161" s="16978"/>
      <c r="AY161" s="16979"/>
      <c r="AZ161" s="16979"/>
      <c r="BA161" s="16979"/>
      <c r="BB161" s="16979"/>
      <c r="BC161" s="16979"/>
      <c r="BD161" s="16980"/>
      <c r="BE161" s="16978"/>
      <c r="BF161" s="16979"/>
      <c r="BG161" s="16979"/>
      <c r="BH161" s="16979"/>
      <c r="BI161" s="16979"/>
      <c r="BJ161" s="16979"/>
      <c r="BK161" s="16980"/>
      <c r="BL161" s="16978"/>
      <c r="BM161" s="16979"/>
      <c r="BN161" s="16979"/>
      <c r="BO161" s="16979"/>
      <c r="BP161" s="16979"/>
      <c r="BQ161" s="16979"/>
      <c r="BR161" s="16980"/>
      <c r="BS161" s="16978"/>
      <c r="BT161" s="16979"/>
      <c r="BU161" s="16979"/>
      <c r="BV161" s="16979"/>
      <c r="BW161" s="16979"/>
      <c r="BX161" s="16979"/>
      <c r="BY161" s="16980"/>
      <c r="BZ161" s="16978"/>
      <c r="CA161" s="16979"/>
      <c r="CB161" s="16979"/>
      <c r="CC161" s="16979"/>
      <c r="CD161" s="16979"/>
      <c r="CE161" s="16979"/>
      <c r="CF161" s="16980"/>
      <c r="CG161" s="16978"/>
      <c r="CH161" s="16979"/>
      <c r="CI161" s="16979"/>
      <c r="CJ161" s="16979"/>
      <c r="CK161" s="16979"/>
      <c r="CL161" s="16979"/>
      <c r="CM161" s="16980"/>
      <c r="CN161" s="23679"/>
      <c r="CO161" s="23680"/>
      <c r="CP161" s="23680"/>
      <c r="CQ161" s="23680"/>
      <c r="CR161" s="23680"/>
      <c r="CS161" s="23680"/>
      <c r="CT161" s="23681"/>
      <c r="CU161" s="16980"/>
      <c r="CV161" s="16981" t="s">
        <v>632</v>
      </c>
      <c r="CW161" s="16982"/>
      <c r="CX161" s="16983"/>
      <c r="CY161" s="16983" t="str">
        <f>IF(T161="","",T161)</f>
        <v>Наименование централизованной системы водоотведения</v>
      </c>
      <c r="CZ161" s="16983"/>
      <c r="DA161" s="16983"/>
      <c r="DB161" s="16984">
        <v>0</v>
      </c>
    </row>
    <row s="51449" customFormat="1" customHeight="1" ht="23.25">
      <c r="A162" s="16967"/>
      <c r="B162" s="16967"/>
      <c r="C162" s="16967"/>
      <c r="D162" s="16967"/>
      <c r="E162" s="16968"/>
      <c r="F162" s="16968" t="s">
        <v>120</v>
      </c>
      <c r="G162" s="16968"/>
      <c r="H162" s="16968"/>
      <c r="I162" s="16989" t="str">
        <f>S161&amp;".1"</f>
        <v>1.6.1.1</v>
      </c>
      <c r="J162" s="16967"/>
      <c r="K162" s="16967"/>
      <c r="L162" s="16970"/>
      <c r="M162" s="16990"/>
      <c r="N162" s="16990"/>
      <c r="O162" s="16990"/>
      <c r="P162" s="16991">
        <v>1</v>
      </c>
      <c r="Q162" s="16991"/>
      <c r="R162" s="16992"/>
      <c r="S162" s="16975" t="str">
        <f>$I162</f>
        <v>1.6.1.1</v>
      </c>
      <c r="T162" s="16993" t="s">
        <v>598</v>
      </c>
      <c r="U162" s="16977"/>
      <c r="V162" s="16994"/>
      <c r="W162" s="16995"/>
      <c r="X162" s="16995"/>
      <c r="Y162" s="16995"/>
      <c r="Z162" s="16995"/>
      <c r="AA162" s="16995"/>
      <c r="AB162" s="16996"/>
      <c r="AC162" s="16997"/>
      <c r="AD162" s="16998"/>
      <c r="AE162" s="16998"/>
      <c r="AF162" s="16998"/>
      <c r="AG162" s="16998"/>
      <c r="AH162" s="16998"/>
      <c r="AI162" s="16998"/>
      <c r="AJ162" s="16994"/>
      <c r="AK162" s="16995"/>
      <c r="AL162" s="16995"/>
      <c r="AM162" s="16995"/>
      <c r="AN162" s="16995"/>
      <c r="AO162" s="16995"/>
      <c r="AP162" s="16996"/>
      <c r="AQ162" s="16994"/>
      <c r="AR162" s="16995"/>
      <c r="AS162" s="16995"/>
      <c r="AT162" s="16995"/>
      <c r="AU162" s="16995"/>
      <c r="AV162" s="16995"/>
      <c r="AW162" s="16996"/>
      <c r="AX162" s="16994"/>
      <c r="AY162" s="16995"/>
      <c r="AZ162" s="16995"/>
      <c r="BA162" s="16995"/>
      <c r="BB162" s="16995"/>
      <c r="BC162" s="16995"/>
      <c r="BD162" s="16996"/>
      <c r="BE162" s="16994"/>
      <c r="BF162" s="16995"/>
      <c r="BG162" s="16995"/>
      <c r="BH162" s="16995"/>
      <c r="BI162" s="16995"/>
      <c r="BJ162" s="16995"/>
      <c r="BK162" s="16996"/>
      <c r="BL162" s="16994"/>
      <c r="BM162" s="16995"/>
      <c r="BN162" s="16995"/>
      <c r="BO162" s="16995"/>
      <c r="BP162" s="16995"/>
      <c r="BQ162" s="16995"/>
      <c r="BR162" s="16996"/>
      <c r="BS162" s="16994"/>
      <c r="BT162" s="16995"/>
      <c r="BU162" s="16995"/>
      <c r="BV162" s="16995"/>
      <c r="BW162" s="16995"/>
      <c r="BX162" s="16995"/>
      <c r="BY162" s="16996"/>
      <c r="BZ162" s="16994"/>
      <c r="CA162" s="16995"/>
      <c r="CB162" s="16995"/>
      <c r="CC162" s="16995"/>
      <c r="CD162" s="16995"/>
      <c r="CE162" s="16995"/>
      <c r="CF162" s="16996"/>
      <c r="CG162" s="16994"/>
      <c r="CH162" s="16995"/>
      <c r="CI162" s="16995"/>
      <c r="CJ162" s="16995"/>
      <c r="CK162" s="16995"/>
      <c r="CL162" s="16995"/>
      <c r="CM162" s="16996"/>
      <c r="CN162" s="23687"/>
      <c r="CO162" s="23688"/>
      <c r="CP162" s="23688"/>
      <c r="CQ162" s="23688"/>
      <c r="CR162" s="23688"/>
      <c r="CS162" s="23688"/>
      <c r="CT162" s="23689"/>
      <c r="CU162" s="16999"/>
      <c r="CV162" s="16981" t="s">
        <v>599</v>
      </c>
      <c r="CW162" s="16982"/>
      <c r="CX162" s="16983"/>
      <c r="CY162" s="16983" t="str">
        <f>IF(T162="","",T162)</f>
        <v>Наименование признака дифференциации</v>
      </c>
      <c r="CZ162" s="16983"/>
      <c r="DA162" s="16983"/>
      <c r="DB162" s="16984">
        <v>0</v>
      </c>
    </row>
    <row s="51450" customFormat="1" customHeight="1" ht="23.25">
      <c r="A163" s="16967"/>
      <c r="B163" s="16967"/>
      <c r="C163" s="16967"/>
      <c r="D163" s="16967"/>
      <c r="E163" s="16968"/>
      <c r="F163" s="16968" t="s">
        <v>120</v>
      </c>
      <c r="G163" s="16968"/>
      <c r="H163" s="16968"/>
      <c r="I163" s="17001"/>
      <c r="J163" s="16989" t="str">
        <f>I162&amp;".1"</f>
        <v>1.6.1.1.1</v>
      </c>
      <c r="K163" s="16967"/>
      <c r="L163" s="16970" t="s">
        <v>524</v>
      </c>
      <c r="M163" s="16990"/>
      <c r="N163" s="16990"/>
      <c r="O163" s="16990"/>
      <c r="P163" s="16991"/>
      <c r="Q163" s="16991">
        <v>1</v>
      </c>
      <c r="R163" s="17002"/>
      <c r="S163" s="16975" t="str">
        <f>$J163</f>
        <v>1.6.1.1.1</v>
      </c>
      <c r="T163" s="17003" t="s">
        <v>525</v>
      </c>
      <c r="U163" s="16977"/>
      <c r="V163" s="17004"/>
      <c r="W163" s="17005"/>
      <c r="X163" s="17005"/>
      <c r="Y163" s="17005"/>
      <c r="Z163" s="17005"/>
      <c r="AA163" s="17005"/>
      <c r="AB163" s="17006"/>
      <c r="AC163" s="17004" t="s">
        <v>636</v>
      </c>
      <c r="AD163" s="17005"/>
      <c r="AE163" s="17005"/>
      <c r="AF163" s="17005"/>
      <c r="AG163" s="17005"/>
      <c r="AH163" s="17005"/>
      <c r="AI163" s="17005"/>
      <c r="AJ163" s="17004"/>
      <c r="AK163" s="17005"/>
      <c r="AL163" s="17005"/>
      <c r="AM163" s="17005"/>
      <c r="AN163" s="17005"/>
      <c r="AO163" s="17005"/>
      <c r="AP163" s="17006"/>
      <c r="AQ163" s="17004"/>
      <c r="AR163" s="17005"/>
      <c r="AS163" s="17005"/>
      <c r="AT163" s="17005"/>
      <c r="AU163" s="17005"/>
      <c r="AV163" s="17005"/>
      <c r="AW163" s="17006"/>
      <c r="AX163" s="17004"/>
      <c r="AY163" s="17005"/>
      <c r="AZ163" s="17005"/>
      <c r="BA163" s="17005"/>
      <c r="BB163" s="17005"/>
      <c r="BC163" s="17005"/>
      <c r="BD163" s="17006"/>
      <c r="BE163" s="17004"/>
      <c r="BF163" s="17005"/>
      <c r="BG163" s="17005"/>
      <c r="BH163" s="17005"/>
      <c r="BI163" s="17005"/>
      <c r="BJ163" s="17005"/>
      <c r="BK163" s="17006"/>
      <c r="BL163" s="17004"/>
      <c r="BM163" s="17005"/>
      <c r="BN163" s="17005"/>
      <c r="BO163" s="17005"/>
      <c r="BP163" s="17005"/>
      <c r="BQ163" s="17005"/>
      <c r="BR163" s="17006"/>
      <c r="BS163" s="17004"/>
      <c r="BT163" s="17005"/>
      <c r="BU163" s="17005"/>
      <c r="BV163" s="17005"/>
      <c r="BW163" s="17005"/>
      <c r="BX163" s="17005"/>
      <c r="BY163" s="17006"/>
      <c r="BZ163" s="17004"/>
      <c r="CA163" s="17005"/>
      <c r="CB163" s="17005"/>
      <c r="CC163" s="17005"/>
      <c r="CD163" s="17005"/>
      <c r="CE163" s="17005"/>
      <c r="CF163" s="17006"/>
      <c r="CG163" s="17004"/>
      <c r="CH163" s="17005"/>
      <c r="CI163" s="17005"/>
      <c r="CJ163" s="17005"/>
      <c r="CK163" s="17005"/>
      <c r="CL163" s="17005"/>
      <c r="CM163" s="17006"/>
      <c r="CN163" s="23693"/>
      <c r="CO163" s="23694"/>
      <c r="CP163" s="23694"/>
      <c r="CQ163" s="23694"/>
      <c r="CR163" s="23694"/>
      <c r="CS163" s="23694"/>
      <c r="CT163" s="23695"/>
      <c r="CU163" s="17006"/>
      <c r="CV163" s="17007" t="s">
        <v>600</v>
      </c>
      <c r="CW163" s="16982"/>
      <c r="CX163" s="16983"/>
      <c r="CY163" s="16983" t="str">
        <f>IF(T163="","",T163)</f>
        <v>Группа потребителей</v>
      </c>
      <c r="CZ163" s="16983"/>
      <c r="DA163" s="16983"/>
      <c r="DB163" s="16984">
        <v>0</v>
      </c>
    </row>
    <row s="51451" customFormat="1" customHeight="1" ht="23.25">
      <c r="A164" s="16967"/>
      <c r="B164" s="16967"/>
      <c r="C164" s="16967"/>
      <c r="D164" s="16967"/>
      <c r="E164" s="16968"/>
      <c r="F164" s="16968" t="s">
        <v>120</v>
      </c>
      <c r="G164" s="16968"/>
      <c r="H164" s="16968"/>
      <c r="I164" s="17001"/>
      <c r="J164" s="17001"/>
      <c r="K164" s="16989" t="str">
        <f>J163&amp;".1"</f>
        <v>1.6.1.1.1.1</v>
      </c>
      <c r="L164" s="16970"/>
      <c r="M164" s="16990"/>
      <c r="N164" s="16990"/>
      <c r="O164" s="16990"/>
      <c r="P164" s="16991"/>
      <c r="Q164" s="16991"/>
      <c r="R164" s="17002">
        <v>1</v>
      </c>
      <c r="S164" s="16975" t="str">
        <f>$K164</f>
        <v>1.6.1.1.1.1</v>
      </c>
      <c r="T164" s="17009"/>
      <c r="U164" s="16977"/>
      <c r="V164" s="17010"/>
      <c r="W164" s="17010"/>
      <c r="X164" s="17011"/>
      <c r="Y164" s="16696"/>
      <c r="Z164" s="17012" t="s">
        <v>63</v>
      </c>
      <c r="AA164" s="16696"/>
      <c r="AB164" s="17012" t="s">
        <v>63</v>
      </c>
      <c r="AC164" s="17010">
        <v>33.36</v>
      </c>
      <c r="AD164" s="17010"/>
      <c r="AE164" s="17011"/>
      <c r="AF164" s="40552">
        <v>45292.69119212963</v>
      </c>
      <c r="AG164" s="17012" t="s">
        <v>63</v>
      </c>
      <c r="AH164" s="40553">
        <v>45473.69142361111</v>
      </c>
      <c r="AI164" s="17012" t="s">
        <v>63</v>
      </c>
      <c r="AJ164" s="17010">
        <v>43.37</v>
      </c>
      <c r="AK164" s="17010"/>
      <c r="AL164" s="17011"/>
      <c r="AM164" s="40552">
        <v>45474.69158564815</v>
      </c>
      <c r="AN164" s="17012" t="s">
        <v>63</v>
      </c>
      <c r="AO164" s="40552">
        <v>45657.699421296296</v>
      </c>
      <c r="AP164" s="17012" t="s">
        <v>63</v>
      </c>
      <c r="AQ164" s="17010">
        <v>43.37</v>
      </c>
      <c r="AR164" s="17010"/>
      <c r="AS164" s="17011"/>
      <c r="AT164" s="40552">
        <v>45658.699594907404</v>
      </c>
      <c r="AU164" s="17012" t="s">
        <v>63</v>
      </c>
      <c r="AV164" s="40552">
        <v>45838.69967592593</v>
      </c>
      <c r="AW164" s="17012" t="s">
        <v>63</v>
      </c>
      <c r="AX164" s="17010">
        <v>51.61</v>
      </c>
      <c r="AY164" s="17010"/>
      <c r="AZ164" s="17011"/>
      <c r="BA164" s="40552">
        <v>45839.70003472222</v>
      </c>
      <c r="BB164" s="17012" t="s">
        <v>63</v>
      </c>
      <c r="BC164" s="40552">
        <v>46022.70024305556</v>
      </c>
      <c r="BD164" s="17012" t="s">
        <v>63</v>
      </c>
      <c r="BE164" s="17010">
        <v>51.61</v>
      </c>
      <c r="BF164" s="17010"/>
      <c r="BG164" s="17011"/>
      <c r="BH164" s="40552">
        <v>46023.70075231481</v>
      </c>
      <c r="BI164" s="17012" t="s">
        <v>63</v>
      </c>
      <c r="BJ164" s="40552">
        <v>46203.700902777775</v>
      </c>
      <c r="BK164" s="17012" t="s">
        <v>63</v>
      </c>
      <c r="BL164" s="17010">
        <v>52.64</v>
      </c>
      <c r="BM164" s="17010"/>
      <c r="BN164" s="17011"/>
      <c r="BO164" s="40552">
        <v>46204.70133101852</v>
      </c>
      <c r="BP164" s="17012" t="s">
        <v>63</v>
      </c>
      <c r="BQ164" s="40552">
        <v>46387.70195601852</v>
      </c>
      <c r="BR164" s="17012" t="s">
        <v>63</v>
      </c>
      <c r="BS164" s="17010">
        <v>52.64</v>
      </c>
      <c r="BT164" s="17010"/>
      <c r="BU164" s="17011"/>
      <c r="BV164" s="40552">
        <v>46388.707395833335</v>
      </c>
      <c r="BW164" s="17012" t="s">
        <v>63</v>
      </c>
      <c r="BX164" s="40552">
        <v>46568.707604166666</v>
      </c>
      <c r="BY164" s="17012" t="s">
        <v>63</v>
      </c>
      <c r="BZ164" s="17010">
        <v>52.91</v>
      </c>
      <c r="CA164" s="17010"/>
      <c r="CB164" s="17011"/>
      <c r="CC164" s="40552">
        <v>46569.7078587963</v>
      </c>
      <c r="CD164" s="17012" t="s">
        <v>63</v>
      </c>
      <c r="CE164" s="40552">
        <v>46752.708090277774</v>
      </c>
      <c r="CF164" s="17012" t="s">
        <v>63</v>
      </c>
      <c r="CG164" s="17010">
        <v>52.91</v>
      </c>
      <c r="CH164" s="17010"/>
      <c r="CI164" s="17011"/>
      <c r="CJ164" s="40552">
        <v>46753.70832175926</v>
      </c>
      <c r="CK164" s="17012" t="s">
        <v>63</v>
      </c>
      <c r="CL164" s="40552">
        <v>46934.70872685185</v>
      </c>
      <c r="CM164" s="17012" t="s">
        <v>63</v>
      </c>
      <c r="CN164" s="23700">
        <v>56.06</v>
      </c>
      <c r="CO164" s="23700"/>
      <c r="CP164" s="23701"/>
      <c r="CQ164" s="40552">
        <v>46935.709027777775</v>
      </c>
      <c r="CR164" s="23703" t="s">
        <v>63</v>
      </c>
      <c r="CS164" s="40552">
        <v>47118.70959490741</v>
      </c>
      <c r="CT164" s="23703" t="s">
        <v>63</v>
      </c>
      <c r="CU164" s="17013"/>
      <c r="CV164" s="170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164" s="16982">
        <f>STRCHECKDATE(V165:CU165)</f>
      </c>
      <c r="CX164" s="16983"/>
      <c r="CY164" s="16983" t="str">
        <f>IF(T164="","",T164)</f>
        <v/>
      </c>
      <c r="CZ164" s="16983"/>
      <c r="DA164" s="16983"/>
      <c r="DB164" s="16984">
        <v>0</v>
      </c>
    </row>
    <row s="51452" customFormat="1" customHeight="1" ht="14.25">
      <c r="A165" s="16967"/>
      <c r="B165" s="16967"/>
      <c r="C165" s="16967"/>
      <c r="D165" s="16967"/>
      <c r="E165" s="16968"/>
      <c r="F165" s="16968" t="s">
        <v>120</v>
      </c>
      <c r="G165" s="16968"/>
      <c r="H165" s="16968"/>
      <c r="I165" s="17001"/>
      <c r="J165" s="17001"/>
      <c r="K165" s="16989"/>
      <c r="L165" s="16970"/>
      <c r="M165" s="16990"/>
      <c r="N165" s="16990"/>
      <c r="O165" s="16990"/>
      <c r="P165" s="16991"/>
      <c r="Q165" s="16991"/>
      <c r="R165" s="17002"/>
      <c r="S165" s="17016"/>
      <c r="T165" s="16977"/>
      <c r="U165" s="16977"/>
      <c r="V165" s="17017"/>
      <c r="W165" s="17017"/>
      <c r="X165" s="17018" t="str">
        <f>Y164&amp;"-"&amp;AA164</f>
        <v>-</v>
      </c>
      <c r="Y165" s="17019"/>
      <c r="Z165" s="17012"/>
      <c r="AA165" s="17019"/>
      <c r="AB165" s="17012"/>
      <c r="AC165" s="17017"/>
      <c r="AD165" s="17017"/>
      <c r="AE165" s="17018" t="str">
        <f>AF164&amp;"-"&amp;AH164</f>
        <v>45292.69119212963-45473.69142361111</v>
      </c>
      <c r="AF165" s="17019"/>
      <c r="AG165" s="17012"/>
      <c r="AH165" s="17020"/>
      <c r="AI165" s="17012"/>
      <c r="AJ165" s="17017"/>
      <c r="AK165" s="17017"/>
      <c r="AL165" s="17018" t="str">
        <f>AM164&amp;"-"&amp;AO164</f>
        <v>45474.69158564815-45657.699421296296</v>
      </c>
      <c r="AM165" s="17019"/>
      <c r="AN165" s="17012"/>
      <c r="AO165" s="17019"/>
      <c r="AP165" s="17012"/>
      <c r="AQ165" s="17017"/>
      <c r="AR165" s="17017"/>
      <c r="AS165" s="17018" t="str">
        <f>AT164&amp;"-"&amp;AV164</f>
        <v>45658.699594907404-45838.69967592593</v>
      </c>
      <c r="AT165" s="17019"/>
      <c r="AU165" s="17012"/>
      <c r="AV165" s="17019"/>
      <c r="AW165" s="17012"/>
      <c r="AX165" s="17017"/>
      <c r="AY165" s="17017"/>
      <c r="AZ165" s="17018" t="str">
        <f>BA164&amp;"-"&amp;BC164</f>
        <v>45839.70003472222-46022.70024305556</v>
      </c>
      <c r="BA165" s="17019"/>
      <c r="BB165" s="17012"/>
      <c r="BC165" s="17019"/>
      <c r="BD165" s="17012"/>
      <c r="BE165" s="17017"/>
      <c r="BF165" s="17017"/>
      <c r="BG165" s="17018" t="str">
        <f>BH164&amp;"-"&amp;BJ164</f>
        <v>46023.70075231481-46203.700902777775</v>
      </c>
      <c r="BH165" s="17019"/>
      <c r="BI165" s="17012"/>
      <c r="BJ165" s="17019"/>
      <c r="BK165" s="17012"/>
      <c r="BL165" s="17017"/>
      <c r="BM165" s="17017"/>
      <c r="BN165" s="17018" t="str">
        <f>BO164&amp;"-"&amp;BQ164</f>
        <v>46204.70133101852-46387.70195601852</v>
      </c>
      <c r="BO165" s="17019"/>
      <c r="BP165" s="17012"/>
      <c r="BQ165" s="17019"/>
      <c r="BR165" s="17012"/>
      <c r="BS165" s="17017"/>
      <c r="BT165" s="17017"/>
      <c r="BU165" s="17018" t="str">
        <f>BV164&amp;"-"&amp;BX164</f>
        <v>46388.707395833335-46568.707604166666</v>
      </c>
      <c r="BV165" s="17019"/>
      <c r="BW165" s="17012"/>
      <c r="BX165" s="17019"/>
      <c r="BY165" s="17012"/>
      <c r="BZ165" s="17017"/>
      <c r="CA165" s="17017"/>
      <c r="CB165" s="17018" t="str">
        <f>CC164&amp;"-"&amp;CE164</f>
        <v>46569.7078587963-46752.708090277774</v>
      </c>
      <c r="CC165" s="17019"/>
      <c r="CD165" s="17012"/>
      <c r="CE165" s="17019"/>
      <c r="CF165" s="17012"/>
      <c r="CG165" s="17017"/>
      <c r="CH165" s="17017"/>
      <c r="CI165" s="17018" t="str">
        <f>CJ164&amp;"-"&amp;CL164</f>
        <v>46753.70832175926-46934.70872685185</v>
      </c>
      <c r="CJ165" s="17019"/>
      <c r="CK165" s="17012"/>
      <c r="CL165" s="17019"/>
      <c r="CM165" s="17012"/>
      <c r="CN165" s="23708"/>
      <c r="CO165" s="23708"/>
      <c r="CP165" s="23709" t="str">
        <f>CQ164&amp;"-"&amp;CS164</f>
        <v>46935.709027777775-47118.70959490741</v>
      </c>
      <c r="CQ165" s="23710"/>
      <c r="CR165" s="23703"/>
      <c r="CS165" s="23710"/>
      <c r="CT165" s="23703"/>
      <c r="CU165" s="17021"/>
      <c r="CV165" s="17014"/>
      <c r="CW165" s="16982"/>
      <c r="CX165" s="16983"/>
      <c r="CY165" s="16983" t="str">
        <f>IF(T165="","",T165)</f>
        <v/>
      </c>
      <c r="CZ165" s="16983"/>
      <c r="DA165" s="16983"/>
      <c r="DB165" s="16984">
        <v>0</v>
      </c>
    </row>
    <row s="51453" customFormat="1" customHeight="1" ht="21">
      <c r="A166" s="16967"/>
      <c r="B166" s="16967"/>
      <c r="C166" s="16967"/>
      <c r="D166" s="16967"/>
      <c r="E166" s="16968"/>
      <c r="F166" s="16968" t="s">
        <v>120</v>
      </c>
      <c r="G166" s="16968"/>
      <c r="H166" s="16968"/>
      <c r="I166" s="17001"/>
      <c r="J166" s="16989"/>
      <c r="K166" s="16967"/>
      <c r="L166" s="16970"/>
      <c r="M166" s="16990"/>
      <c r="N166" s="16990"/>
      <c r="O166" s="16990"/>
      <c r="P166" s="16991"/>
      <c r="Q166" s="16991"/>
      <c r="R166" s="16992"/>
      <c r="S166" s="18899"/>
      <c r="T166" s="18900" t="s">
        <v>601</v>
      </c>
      <c r="U166" s="18901"/>
      <c r="V166" s="18902"/>
      <c r="W166" s="18903"/>
      <c r="X166" s="18904"/>
      <c r="Y166" s="18905"/>
      <c r="Z166" s="18906"/>
      <c r="AA166" s="18907"/>
      <c r="AB166" s="18908"/>
      <c r="AC166" s="18909"/>
      <c r="AD166" s="18910"/>
      <c r="AE166" s="18911"/>
      <c r="AF166" s="18912"/>
      <c r="AG166" s="18913"/>
      <c r="AH166" s="18914"/>
      <c r="AI166" s="18915"/>
      <c r="AJ166" s="18916"/>
      <c r="AK166" s="18917"/>
      <c r="AL166" s="18918"/>
      <c r="AM166" s="18919"/>
      <c r="AN166" s="18920"/>
      <c r="AO166" s="18921"/>
      <c r="AP166" s="18922"/>
      <c r="AQ166" s="18923"/>
      <c r="AR166" s="18924"/>
      <c r="AS166" s="18925"/>
      <c r="AT166" s="18926"/>
      <c r="AU166" s="18927"/>
      <c r="AV166" s="18928"/>
      <c r="AW166" s="18929"/>
      <c r="AX166" s="18930"/>
      <c r="AY166" s="18931"/>
      <c r="AZ166" s="18932"/>
      <c r="BA166" s="18933"/>
      <c r="BB166" s="18934"/>
      <c r="BC166" s="18935"/>
      <c r="BD166" s="18936"/>
      <c r="BE166" s="18937"/>
      <c r="BF166" s="18938"/>
      <c r="BG166" s="18939"/>
      <c r="BH166" s="18940"/>
      <c r="BI166" s="18941"/>
      <c r="BJ166" s="18942"/>
      <c r="BK166" s="18943"/>
      <c r="BL166" s="18944"/>
      <c r="BM166" s="18945"/>
      <c r="BN166" s="18946"/>
      <c r="BO166" s="18947"/>
      <c r="BP166" s="18948"/>
      <c r="BQ166" s="18949"/>
      <c r="BR166" s="18950"/>
      <c r="BS166" s="18951"/>
      <c r="BT166" s="18952"/>
      <c r="BU166" s="18953"/>
      <c r="BV166" s="18954"/>
      <c r="BW166" s="18955"/>
      <c r="BX166" s="18956"/>
      <c r="BY166" s="18957"/>
      <c r="BZ166" s="18958"/>
      <c r="CA166" s="18959"/>
      <c r="CB166" s="18960"/>
      <c r="CC166" s="18961"/>
      <c r="CD166" s="18962"/>
      <c r="CE166" s="18963"/>
      <c r="CF166" s="18964"/>
      <c r="CG166" s="18965"/>
      <c r="CH166" s="18966"/>
      <c r="CI166" s="18967"/>
      <c r="CJ166" s="18968"/>
      <c r="CK166" s="18969"/>
      <c r="CL166" s="18970"/>
      <c r="CM166" s="18971"/>
      <c r="CN166" s="26433"/>
      <c r="CO166" s="26434"/>
      <c r="CP166" s="26435"/>
      <c r="CQ166" s="26436"/>
      <c r="CR166" s="26437"/>
      <c r="CS166" s="26438"/>
      <c r="CT166" s="26439"/>
      <c r="CU166" s="18972"/>
      <c r="CV166" s="16981" t="s">
        <v>602</v>
      </c>
      <c r="CW166" s="16982"/>
      <c r="CX166" s="16983"/>
      <c r="CY166" s="16983" t="str">
        <f>IF(T166="","",T166)</f>
        <v>Добавить значение признака дифференциации</v>
      </c>
      <c r="CZ166" s="16983"/>
      <c r="DA166" s="16983"/>
      <c r="DB166" s="16984">
        <v>0</v>
      </c>
    </row>
    <row s="51535" customFormat="1" customHeight="1" ht="23.25">
      <c r="A167" s="40638"/>
      <c r="B167" s="40638"/>
      <c r="C167" s="40638"/>
      <c r="D167" s="40638"/>
      <c r="E167" s="40639"/>
      <c r="F167" s="40639"/>
      <c r="G167" s="40639"/>
      <c r="H167" s="40639"/>
      <c r="I167" s="40640"/>
      <c r="J167" s="40641" t="str">
        <f>I162&amp;".2"</f>
        <v>1.6.1.1.2</v>
      </c>
      <c r="K167" s="40638"/>
      <c r="L167" s="40642" t="s">
        <v>524</v>
      </c>
      <c r="M167" s="40643"/>
      <c r="N167" s="40643"/>
      <c r="O167" s="40643"/>
      <c r="P167" s="40644"/>
      <c r="Q167" s="40645" t="s">
        <v>106</v>
      </c>
      <c r="R167" s="40646"/>
      <c r="S167" s="40647" t="str">
        <f>$J167</f>
        <v>1.6.1.1.2</v>
      </c>
      <c r="T167" s="40648" t="s">
        <v>525</v>
      </c>
      <c r="U167" s="40649"/>
      <c r="V167" s="40650"/>
      <c r="W167" s="40651"/>
      <c r="X167" s="40651"/>
      <c r="Y167" s="40651"/>
      <c r="Z167" s="40651"/>
      <c r="AA167" s="40651"/>
      <c r="AB167" s="40652"/>
      <c r="AC167" s="40650" t="s">
        <v>637</v>
      </c>
      <c r="AD167" s="40651"/>
      <c r="AE167" s="40651"/>
      <c r="AF167" s="40651"/>
      <c r="AG167" s="40651"/>
      <c r="AH167" s="40651"/>
      <c r="AI167" s="40651"/>
      <c r="AJ167" s="40650"/>
      <c r="AK167" s="40651"/>
      <c r="AL167" s="40651"/>
      <c r="AM167" s="40651"/>
      <c r="AN167" s="40651"/>
      <c r="AO167" s="40651"/>
      <c r="AP167" s="40652"/>
      <c r="AQ167" s="40650"/>
      <c r="AR167" s="40651"/>
      <c r="AS167" s="40651"/>
      <c r="AT167" s="40651"/>
      <c r="AU167" s="40651"/>
      <c r="AV167" s="40651"/>
      <c r="AW167" s="40652"/>
      <c r="AX167" s="40650"/>
      <c r="AY167" s="40651"/>
      <c r="AZ167" s="40651"/>
      <c r="BA167" s="40651"/>
      <c r="BB167" s="40651"/>
      <c r="BC167" s="40651"/>
      <c r="BD167" s="40652"/>
      <c r="BE167" s="40650"/>
      <c r="BF167" s="40651"/>
      <c r="BG167" s="40651"/>
      <c r="BH167" s="40651"/>
      <c r="BI167" s="40651"/>
      <c r="BJ167" s="40651"/>
      <c r="BK167" s="40652"/>
      <c r="BL167" s="40650"/>
      <c r="BM167" s="40651"/>
      <c r="BN167" s="40651"/>
      <c r="BO167" s="40651"/>
      <c r="BP167" s="40651"/>
      <c r="BQ167" s="40651"/>
      <c r="BR167" s="40652"/>
      <c r="BS167" s="40650"/>
      <c r="BT167" s="40651"/>
      <c r="BU167" s="40651"/>
      <c r="BV167" s="40651"/>
      <c r="BW167" s="40651"/>
      <c r="BX167" s="40651"/>
      <c r="BY167" s="40652"/>
      <c r="BZ167" s="40650"/>
      <c r="CA167" s="40651"/>
      <c r="CB167" s="40651"/>
      <c r="CC167" s="40651"/>
      <c r="CD167" s="40651"/>
      <c r="CE167" s="40651"/>
      <c r="CF167" s="40652"/>
      <c r="CG167" s="40650"/>
      <c r="CH167" s="40651"/>
      <c r="CI167" s="40651"/>
      <c r="CJ167" s="40651"/>
      <c r="CK167" s="40651"/>
      <c r="CL167" s="40651"/>
      <c r="CM167" s="40652"/>
      <c r="CN167" s="40650"/>
      <c r="CO167" s="40651"/>
      <c r="CP167" s="40651"/>
      <c r="CQ167" s="40651"/>
      <c r="CR167" s="40651"/>
      <c r="CS167" s="40651"/>
      <c r="CT167" s="40653"/>
      <c r="CU167" s="40652"/>
      <c r="CV167" s="40654" t="s">
        <v>600</v>
      </c>
      <c r="CW167" s="40655"/>
      <c r="CX167" s="40656"/>
      <c r="CY167" s="40656" t="str">
        <f>IF(T167="","",T167)</f>
        <v>Группа потребителей</v>
      </c>
      <c r="CZ167" s="40656"/>
      <c r="DA167" s="40656"/>
      <c r="DB167" s="40657">
        <v>0</v>
      </c>
    </row>
    <row s="51536" customFormat="1" customHeight="1" ht="23.25">
      <c r="A168" s="40638"/>
      <c r="B168" s="40638"/>
      <c r="C168" s="40638"/>
      <c r="D168" s="40638"/>
      <c r="E168" s="40639"/>
      <c r="F168" s="40639"/>
      <c r="G168" s="40639"/>
      <c r="H168" s="40639"/>
      <c r="I168" s="40640"/>
      <c r="J168" s="40640" t="str">
        <f>I162&amp;".1"</f>
        <v>1.6.1.1.1</v>
      </c>
      <c r="K168" s="40641" t="str">
        <f>J167&amp;".1"</f>
        <v>1.6.1.1.2.1</v>
      </c>
      <c r="L168" s="40642"/>
      <c r="M168" s="40643"/>
      <c r="N168" s="40643"/>
      <c r="O168" s="40643"/>
      <c r="P168" s="40644"/>
      <c r="Q168" s="40644"/>
      <c r="R168" s="40646">
        <v>1</v>
      </c>
      <c r="S168" s="40647" t="str">
        <f>$K168</f>
        <v>1.6.1.1.2.1</v>
      </c>
      <c r="T168" s="40659"/>
      <c r="U168" s="40649"/>
      <c r="V168" s="40660"/>
      <c r="W168" s="40660"/>
      <c r="X168" s="40661"/>
      <c r="Y168" s="40552"/>
      <c r="Z168" s="40662" t="s">
        <v>63</v>
      </c>
      <c r="AA168" s="40552"/>
      <c r="AB168" s="40662" t="s">
        <v>63</v>
      </c>
      <c r="AC168" s="40660">
        <v>27.8</v>
      </c>
      <c r="AD168" s="40660"/>
      <c r="AE168" s="40661"/>
      <c r="AF168" s="40552">
        <v>45292.691354166665</v>
      </c>
      <c r="AG168" s="40662" t="s">
        <v>63</v>
      </c>
      <c r="AH168" s="40553">
        <v>45473.691516203704</v>
      </c>
      <c r="AI168" s="40662" t="s">
        <v>63</v>
      </c>
      <c r="AJ168" s="40660">
        <v>36.14</v>
      </c>
      <c r="AK168" s="40660"/>
      <c r="AL168" s="40661"/>
      <c r="AM168" s="40552">
        <v>45474.691666666666</v>
      </c>
      <c r="AN168" s="40662" t="s">
        <v>63</v>
      </c>
      <c r="AO168" s="40552">
        <v>45657.69950231481</v>
      </c>
      <c r="AP168" s="40662" t="s">
        <v>63</v>
      </c>
      <c r="AQ168" s="40660">
        <v>36.14</v>
      </c>
      <c r="AR168" s="40660"/>
      <c r="AS168" s="40661"/>
      <c r="AT168" s="40552">
        <v>45658.69962962963</v>
      </c>
      <c r="AU168" s="40662" t="s">
        <v>63</v>
      </c>
      <c r="AV168" s="40552">
        <v>45838.69978009259</v>
      </c>
      <c r="AW168" s="40662" t="s">
        <v>63</v>
      </c>
      <c r="AX168" s="40660">
        <v>43.01</v>
      </c>
      <c r="AY168" s="40660"/>
      <c r="AZ168" s="40661"/>
      <c r="BA168" s="40552">
        <v>45839.700150462966</v>
      </c>
      <c r="BB168" s="40662" t="s">
        <v>63</v>
      </c>
      <c r="BC168" s="40552">
        <v>46022.70049768518</v>
      </c>
      <c r="BD168" s="40662" t="s">
        <v>63</v>
      </c>
      <c r="BE168" s="40660">
        <v>43.01</v>
      </c>
      <c r="BF168" s="40660"/>
      <c r="BG168" s="40661"/>
      <c r="BH168" s="40552">
        <v>46023.700833333336</v>
      </c>
      <c r="BI168" s="40662" t="s">
        <v>63</v>
      </c>
      <c r="BJ168" s="40552">
        <v>46203.70099537037</v>
      </c>
      <c r="BK168" s="40662" t="s">
        <v>63</v>
      </c>
      <c r="BL168" s="40660">
        <v>43.87</v>
      </c>
      <c r="BM168" s="40660"/>
      <c r="BN168" s="40661"/>
      <c r="BO168" s="40552">
        <v>46204.701631944445</v>
      </c>
      <c r="BP168" s="40662" t="s">
        <v>63</v>
      </c>
      <c r="BQ168" s="40552">
        <v>46387.702199074076</v>
      </c>
      <c r="BR168" s="40662" t="s">
        <v>63</v>
      </c>
      <c r="BS168" s="40660">
        <v>43.87</v>
      </c>
      <c r="BT168" s="40660"/>
      <c r="BU168" s="40661"/>
      <c r="BV168" s="40552">
        <v>46388.7075</v>
      </c>
      <c r="BW168" s="40662" t="s">
        <v>63</v>
      </c>
      <c r="BX168" s="40552">
        <v>46568.707708333335</v>
      </c>
      <c r="BY168" s="40662" t="s">
        <v>63</v>
      </c>
      <c r="BZ168" s="40660">
        <v>44.09</v>
      </c>
      <c r="CA168" s="40660"/>
      <c r="CB168" s="40661"/>
      <c r="CC168" s="40552">
        <v>46569.707962962966</v>
      </c>
      <c r="CD168" s="40662" t="s">
        <v>63</v>
      </c>
      <c r="CE168" s="40552">
        <v>46752.708182870374</v>
      </c>
      <c r="CF168" s="40662" t="s">
        <v>63</v>
      </c>
      <c r="CG168" s="40660">
        <v>44.09</v>
      </c>
      <c r="CH168" s="40660"/>
      <c r="CI168" s="40661"/>
      <c r="CJ168" s="40552">
        <v>46753.708449074074</v>
      </c>
      <c r="CK168" s="40662" t="s">
        <v>63</v>
      </c>
      <c r="CL168" s="40552">
        <v>46934.70890046296</v>
      </c>
      <c r="CM168" s="40662" t="s">
        <v>63</v>
      </c>
      <c r="CN168" s="40660">
        <v>46.72</v>
      </c>
      <c r="CO168" s="40660"/>
      <c r="CP168" s="40661"/>
      <c r="CQ168" s="40552">
        <v>46935.709189814814</v>
      </c>
      <c r="CR168" s="40662" t="s">
        <v>63</v>
      </c>
      <c r="CS168" s="40552">
        <v>47118.709699074076</v>
      </c>
      <c r="CT168" s="40663" t="s">
        <v>63</v>
      </c>
      <c r="CU168" s="40664"/>
      <c r="CV168" s="406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168" s="40655">
        <f>STRCHECKDATE(V169:CU169)</f>
      </c>
      <c r="CX168" s="40656"/>
      <c r="CY168" s="40656" t="str">
        <f>IF(T168="","",T168)</f>
        <v/>
      </c>
      <c r="CZ168" s="40656"/>
      <c r="DA168" s="40656"/>
      <c r="DB168" s="40657">
        <v>0</v>
      </c>
    </row>
    <row s="51537" customFormat="1" customHeight="1" ht="14.25">
      <c r="A169" s="40638"/>
      <c r="B169" s="40638"/>
      <c r="C169" s="40638"/>
      <c r="D169" s="40638"/>
      <c r="E169" s="40639"/>
      <c r="F169" s="40639"/>
      <c r="G169" s="40639"/>
      <c r="H169" s="40639"/>
      <c r="I169" s="40640"/>
      <c r="J169" s="40640" t="str">
        <f>I162&amp;".1"</f>
        <v>1.6.1.1.1</v>
      </c>
      <c r="K169" s="40641"/>
      <c r="L169" s="40642"/>
      <c r="M169" s="40643"/>
      <c r="N169" s="40643"/>
      <c r="O169" s="40643"/>
      <c r="P169" s="40644"/>
      <c r="Q169" s="40644"/>
      <c r="R169" s="40646"/>
      <c r="S169" s="40667"/>
      <c r="T169" s="40649"/>
      <c r="U169" s="40649"/>
      <c r="V169" s="40668"/>
      <c r="W169" s="40668"/>
      <c r="X169" s="40669" t="str">
        <f>Y168&amp;"-"&amp;AA168</f>
        <v>-</v>
      </c>
      <c r="Y169" s="40670"/>
      <c r="Z169" s="40662"/>
      <c r="AA169" s="40670"/>
      <c r="AB169" s="40662"/>
      <c r="AC169" s="40668"/>
      <c r="AD169" s="40668"/>
      <c r="AE169" s="40669" t="str">
        <f>AF168&amp;"-"&amp;AH168</f>
        <v>45292.691354166665-45473.691516203704</v>
      </c>
      <c r="AF169" s="40670"/>
      <c r="AG169" s="40662"/>
      <c r="AH169" s="40671"/>
      <c r="AI169" s="40662"/>
      <c r="AJ169" s="40668"/>
      <c r="AK169" s="40668"/>
      <c r="AL169" s="40669" t="str">
        <f>AM168&amp;"-"&amp;AO168</f>
        <v>45474.691666666666-45657.69950231481</v>
      </c>
      <c r="AM169" s="40670"/>
      <c r="AN169" s="40662"/>
      <c r="AO169" s="40670"/>
      <c r="AP169" s="40662"/>
      <c r="AQ169" s="40668"/>
      <c r="AR169" s="40668"/>
      <c r="AS169" s="40669" t="str">
        <f>AT168&amp;"-"&amp;AV168</f>
        <v>45658.69962962963-45838.69978009259</v>
      </c>
      <c r="AT169" s="40670"/>
      <c r="AU169" s="40662"/>
      <c r="AV169" s="40670"/>
      <c r="AW169" s="40662"/>
      <c r="AX169" s="40668"/>
      <c r="AY169" s="40668"/>
      <c r="AZ169" s="40669" t="str">
        <f>BA168&amp;"-"&amp;BC168</f>
        <v>45839.700150462966-46022.70049768518</v>
      </c>
      <c r="BA169" s="40670"/>
      <c r="BB169" s="40662"/>
      <c r="BC169" s="40670"/>
      <c r="BD169" s="40662"/>
      <c r="BE169" s="40668"/>
      <c r="BF169" s="40668"/>
      <c r="BG169" s="40669" t="str">
        <f>BH168&amp;"-"&amp;BJ168</f>
        <v>46023.700833333336-46203.70099537037</v>
      </c>
      <c r="BH169" s="40670"/>
      <c r="BI169" s="40662"/>
      <c r="BJ169" s="40670"/>
      <c r="BK169" s="40662"/>
      <c r="BL169" s="40668"/>
      <c r="BM169" s="40668"/>
      <c r="BN169" s="40669" t="str">
        <f>BO168&amp;"-"&amp;BQ168</f>
        <v>46204.701631944445-46387.702199074076</v>
      </c>
      <c r="BO169" s="40670"/>
      <c r="BP169" s="40662"/>
      <c r="BQ169" s="40670"/>
      <c r="BR169" s="40662"/>
      <c r="BS169" s="40668"/>
      <c r="BT169" s="40668"/>
      <c r="BU169" s="40669" t="str">
        <f>BV168&amp;"-"&amp;BX168</f>
        <v>46388.7075-46568.707708333335</v>
      </c>
      <c r="BV169" s="40670"/>
      <c r="BW169" s="40662"/>
      <c r="BX169" s="40670"/>
      <c r="BY169" s="40662"/>
      <c r="BZ169" s="40668"/>
      <c r="CA169" s="40668"/>
      <c r="CB169" s="40669" t="str">
        <f>CC168&amp;"-"&amp;CE168</f>
        <v>46569.707962962966-46752.708182870374</v>
      </c>
      <c r="CC169" s="40670"/>
      <c r="CD169" s="40662"/>
      <c r="CE169" s="40670"/>
      <c r="CF169" s="40662"/>
      <c r="CG169" s="40668"/>
      <c r="CH169" s="40668"/>
      <c r="CI169" s="40669" t="str">
        <f>CJ168&amp;"-"&amp;CL168</f>
        <v>46753.708449074074-46934.70890046296</v>
      </c>
      <c r="CJ169" s="40670"/>
      <c r="CK169" s="40662"/>
      <c r="CL169" s="40670"/>
      <c r="CM169" s="40662"/>
      <c r="CN169" s="40668"/>
      <c r="CO169" s="40668"/>
      <c r="CP169" s="40669" t="str">
        <f>CQ168&amp;"-"&amp;CS168</f>
        <v>46935.709189814814-47118.709699074076</v>
      </c>
      <c r="CQ169" s="40670"/>
      <c r="CR169" s="40662"/>
      <c r="CS169" s="40670"/>
      <c r="CT169" s="40663"/>
      <c r="CU169" s="40672"/>
      <c r="CV169" s="40665"/>
      <c r="CW169" s="40655"/>
      <c r="CX169" s="40656"/>
      <c r="CY169" s="40656" t="str">
        <f>IF(T169="","",T169)</f>
        <v/>
      </c>
      <c r="CZ169" s="40656"/>
      <c r="DA169" s="40656"/>
      <c r="DB169" s="40657">
        <v>0</v>
      </c>
    </row>
    <row s="51538" customFormat="1" customHeight="1" ht="21">
      <c r="A170" s="40638"/>
      <c r="B170" s="40638"/>
      <c r="C170" s="40638"/>
      <c r="D170" s="40638"/>
      <c r="E170" s="40639"/>
      <c r="F170" s="40639"/>
      <c r="G170" s="40639"/>
      <c r="H170" s="40639"/>
      <c r="I170" s="40640"/>
      <c r="J170" s="40641" t="str">
        <f>I162&amp;".1"</f>
        <v>1.6.1.1.1</v>
      </c>
      <c r="K170" s="40638"/>
      <c r="L170" s="40642"/>
      <c r="M170" s="40643"/>
      <c r="N170" s="40643"/>
      <c r="O170" s="40643"/>
      <c r="P170" s="40644"/>
      <c r="Q170" s="40644"/>
      <c r="R170" s="40674"/>
      <c r="S170" s="42708"/>
      <c r="T170" s="42709" t="s">
        <v>601</v>
      </c>
      <c r="U170" s="42710"/>
      <c r="V170" s="42711"/>
      <c r="W170" s="42712"/>
      <c r="X170" s="42713"/>
      <c r="Y170" s="42714"/>
      <c r="Z170" s="42715"/>
      <c r="AA170" s="42716"/>
      <c r="AB170" s="42717"/>
      <c r="AC170" s="42718"/>
      <c r="AD170" s="42719"/>
      <c r="AE170" s="42720"/>
      <c r="AF170" s="42721"/>
      <c r="AG170" s="42722"/>
      <c r="AH170" s="42723"/>
      <c r="AI170" s="42724"/>
      <c r="AJ170" s="42725"/>
      <c r="AK170" s="42726"/>
      <c r="AL170" s="42727"/>
      <c r="AM170" s="42728"/>
      <c r="AN170" s="42729"/>
      <c r="AO170" s="42730"/>
      <c r="AP170" s="42731"/>
      <c r="AQ170" s="42732"/>
      <c r="AR170" s="42733"/>
      <c r="AS170" s="42734"/>
      <c r="AT170" s="42735"/>
      <c r="AU170" s="42736"/>
      <c r="AV170" s="42737"/>
      <c r="AW170" s="42738"/>
      <c r="AX170" s="42739"/>
      <c r="AY170" s="42740"/>
      <c r="AZ170" s="42741"/>
      <c r="BA170" s="42742"/>
      <c r="BB170" s="42743"/>
      <c r="BC170" s="42744"/>
      <c r="BD170" s="42745"/>
      <c r="BE170" s="42746"/>
      <c r="BF170" s="42747"/>
      <c r="BG170" s="42748"/>
      <c r="BH170" s="42749"/>
      <c r="BI170" s="42750"/>
      <c r="BJ170" s="42751"/>
      <c r="BK170" s="42752"/>
      <c r="BL170" s="42753"/>
      <c r="BM170" s="42754"/>
      <c r="BN170" s="42755"/>
      <c r="BO170" s="42756"/>
      <c r="BP170" s="42757"/>
      <c r="BQ170" s="42758"/>
      <c r="BR170" s="42759"/>
      <c r="BS170" s="42760"/>
      <c r="BT170" s="42761"/>
      <c r="BU170" s="42762"/>
      <c r="BV170" s="42763"/>
      <c r="BW170" s="42764"/>
      <c r="BX170" s="42765"/>
      <c r="BY170" s="42766"/>
      <c r="BZ170" s="42767"/>
      <c r="CA170" s="42768"/>
      <c r="CB170" s="42769"/>
      <c r="CC170" s="42770"/>
      <c r="CD170" s="42771"/>
      <c r="CE170" s="42772"/>
      <c r="CF170" s="42773"/>
      <c r="CG170" s="42774"/>
      <c r="CH170" s="42775"/>
      <c r="CI170" s="42776"/>
      <c r="CJ170" s="42777"/>
      <c r="CK170" s="42778"/>
      <c r="CL170" s="42779"/>
      <c r="CM170" s="42780"/>
      <c r="CN170" s="42781"/>
      <c r="CO170" s="42782"/>
      <c r="CP170" s="42783"/>
      <c r="CQ170" s="42784"/>
      <c r="CR170" s="42785"/>
      <c r="CS170" s="42786"/>
      <c r="CT170" s="42787"/>
      <c r="CU170" s="42788"/>
      <c r="CV170" s="40756" t="s">
        <v>602</v>
      </c>
      <c r="CW170" s="40655"/>
      <c r="CX170" s="40656"/>
      <c r="CY170" s="40656" t="str">
        <f>IF(T170="","",T170)</f>
        <v>Добавить значение признака дифференциации</v>
      </c>
      <c r="CZ170" s="40656"/>
      <c r="DA170" s="40656"/>
      <c r="DB170" s="40657">
        <v>0</v>
      </c>
    </row>
    <row s="51620" customFormat="1" customHeight="1" ht="21">
      <c r="A171" s="16967"/>
      <c r="B171" s="16967"/>
      <c r="C171" s="16967"/>
      <c r="D171" s="16967"/>
      <c r="E171" s="16968"/>
      <c r="F171" s="16968" t="s">
        <v>120</v>
      </c>
      <c r="G171" s="16968"/>
      <c r="H171" s="16968"/>
      <c r="I171" s="16989"/>
      <c r="J171" s="16967"/>
      <c r="K171" s="16967"/>
      <c r="L171" s="16970"/>
      <c r="M171" s="16990"/>
      <c r="N171" s="16990"/>
      <c r="O171" s="16990"/>
      <c r="P171" s="16991"/>
      <c r="Q171" s="16991"/>
      <c r="R171" s="16992"/>
      <c r="S171" s="18974"/>
      <c r="T171" s="18975" t="s">
        <v>530</v>
      </c>
      <c r="U171" s="18976"/>
      <c r="V171" s="18977"/>
      <c r="W171" s="18978"/>
      <c r="X171" s="18979"/>
      <c r="Y171" s="18980"/>
      <c r="Z171" s="18981"/>
      <c r="AA171" s="18982"/>
      <c r="AB171" s="18983"/>
      <c r="AC171" s="18984"/>
      <c r="AD171" s="18985"/>
      <c r="AE171" s="18986"/>
      <c r="AF171" s="18987"/>
      <c r="AG171" s="18988"/>
      <c r="AH171" s="18989"/>
      <c r="AI171" s="18990"/>
      <c r="AJ171" s="18991"/>
      <c r="AK171" s="18992"/>
      <c r="AL171" s="18993"/>
      <c r="AM171" s="18994"/>
      <c r="AN171" s="18995"/>
      <c r="AO171" s="18996"/>
      <c r="AP171" s="18997"/>
      <c r="AQ171" s="18998"/>
      <c r="AR171" s="18999"/>
      <c r="AS171" s="19000"/>
      <c r="AT171" s="19001"/>
      <c r="AU171" s="19002"/>
      <c r="AV171" s="19003"/>
      <c r="AW171" s="19004"/>
      <c r="AX171" s="19005"/>
      <c r="AY171" s="19006"/>
      <c r="AZ171" s="19007"/>
      <c r="BA171" s="19008"/>
      <c r="BB171" s="19009"/>
      <c r="BC171" s="19010"/>
      <c r="BD171" s="19011"/>
      <c r="BE171" s="19012"/>
      <c r="BF171" s="19013"/>
      <c r="BG171" s="19014"/>
      <c r="BH171" s="19015"/>
      <c r="BI171" s="19016"/>
      <c r="BJ171" s="19017"/>
      <c r="BK171" s="19018"/>
      <c r="BL171" s="19019"/>
      <c r="BM171" s="19020"/>
      <c r="BN171" s="19021"/>
      <c r="BO171" s="19022"/>
      <c r="BP171" s="19023"/>
      <c r="BQ171" s="19024"/>
      <c r="BR171" s="19025"/>
      <c r="BS171" s="19026"/>
      <c r="BT171" s="19027"/>
      <c r="BU171" s="19028"/>
      <c r="BV171" s="19029"/>
      <c r="BW171" s="19030"/>
      <c r="BX171" s="19031"/>
      <c r="BY171" s="19032"/>
      <c r="BZ171" s="19033"/>
      <c r="CA171" s="19034"/>
      <c r="CB171" s="19035"/>
      <c r="CC171" s="19036"/>
      <c r="CD171" s="19037"/>
      <c r="CE171" s="19038"/>
      <c r="CF171" s="19039"/>
      <c r="CG171" s="19040"/>
      <c r="CH171" s="19041"/>
      <c r="CI171" s="19042"/>
      <c r="CJ171" s="19043"/>
      <c r="CK171" s="19044"/>
      <c r="CL171" s="19045"/>
      <c r="CM171" s="19046"/>
      <c r="CN171" s="26515"/>
      <c r="CO171" s="26516"/>
      <c r="CP171" s="26517"/>
      <c r="CQ171" s="26518"/>
      <c r="CR171" s="26519"/>
      <c r="CS171" s="26520"/>
      <c r="CT171" s="26521"/>
      <c r="CU171" s="19047"/>
      <c r="CV171" s="19048"/>
      <c r="CW171" s="16982"/>
      <c r="CX171" s="16983"/>
      <c r="CY171" s="16983" t="str">
        <f>IF(T171="","",T171)</f>
        <v>Добавить группу потребителей</v>
      </c>
      <c r="CZ171" s="16983"/>
      <c r="DA171" s="16983"/>
      <c r="DB171" s="16984">
        <v>0</v>
      </c>
    </row>
    <row s="51703" customFormat="1" customHeight="1" ht="21">
      <c r="A172" s="16967"/>
      <c r="B172" s="16967"/>
      <c r="C172" s="16967"/>
      <c r="D172" s="16967"/>
      <c r="E172" s="16968"/>
      <c r="F172" s="16968" t="s">
        <v>120</v>
      </c>
      <c r="G172" s="16968"/>
      <c r="H172" s="16969"/>
      <c r="I172" s="16967"/>
      <c r="J172" s="16967"/>
      <c r="K172" s="16967"/>
      <c r="L172" s="16970"/>
      <c r="M172" s="16971"/>
      <c r="N172" s="16971"/>
      <c r="O172" s="17174"/>
      <c r="P172" s="17175"/>
      <c r="Q172" s="17176"/>
      <c r="R172" s="17177"/>
      <c r="S172" s="19050"/>
      <c r="T172" s="19051" t="s">
        <v>603</v>
      </c>
      <c r="U172" s="19052"/>
      <c r="V172" s="19053"/>
      <c r="W172" s="19054"/>
      <c r="X172" s="19055"/>
      <c r="Y172" s="19056"/>
      <c r="Z172" s="19057"/>
      <c r="AA172" s="19058"/>
      <c r="AB172" s="19059"/>
      <c r="AC172" s="19060"/>
      <c r="AD172" s="19061"/>
      <c r="AE172" s="19062"/>
      <c r="AF172" s="19063"/>
      <c r="AG172" s="19064"/>
      <c r="AH172" s="19065"/>
      <c r="AI172" s="19066"/>
      <c r="AJ172" s="19067"/>
      <c r="AK172" s="19068"/>
      <c r="AL172" s="19069"/>
      <c r="AM172" s="19070"/>
      <c r="AN172" s="19071"/>
      <c r="AO172" s="19072"/>
      <c r="AP172" s="19073"/>
      <c r="AQ172" s="19074"/>
      <c r="AR172" s="19075"/>
      <c r="AS172" s="19076"/>
      <c r="AT172" s="19077"/>
      <c r="AU172" s="19078"/>
      <c r="AV172" s="19079"/>
      <c r="AW172" s="19080"/>
      <c r="AX172" s="19081"/>
      <c r="AY172" s="19082"/>
      <c r="AZ172" s="19083"/>
      <c r="BA172" s="19084"/>
      <c r="BB172" s="19085"/>
      <c r="BC172" s="19086"/>
      <c r="BD172" s="19087"/>
      <c r="BE172" s="19088"/>
      <c r="BF172" s="19089"/>
      <c r="BG172" s="19090"/>
      <c r="BH172" s="19091"/>
      <c r="BI172" s="19092"/>
      <c r="BJ172" s="19093"/>
      <c r="BK172" s="19094"/>
      <c r="BL172" s="19095"/>
      <c r="BM172" s="19096"/>
      <c r="BN172" s="19097"/>
      <c r="BO172" s="19098"/>
      <c r="BP172" s="19099"/>
      <c r="BQ172" s="19100"/>
      <c r="BR172" s="19101"/>
      <c r="BS172" s="19102"/>
      <c r="BT172" s="19103"/>
      <c r="BU172" s="19104"/>
      <c r="BV172" s="19105"/>
      <c r="BW172" s="19106"/>
      <c r="BX172" s="19107"/>
      <c r="BY172" s="19108"/>
      <c r="BZ172" s="19109"/>
      <c r="CA172" s="19110"/>
      <c r="CB172" s="19111"/>
      <c r="CC172" s="19112"/>
      <c r="CD172" s="19113"/>
      <c r="CE172" s="19114"/>
      <c r="CF172" s="19115"/>
      <c r="CG172" s="19116"/>
      <c r="CH172" s="19117"/>
      <c r="CI172" s="19118"/>
      <c r="CJ172" s="19119"/>
      <c r="CK172" s="19120"/>
      <c r="CL172" s="19121"/>
      <c r="CM172" s="19122"/>
      <c r="CN172" s="26598"/>
      <c r="CO172" s="26599"/>
      <c r="CP172" s="26600"/>
      <c r="CQ172" s="26601"/>
      <c r="CR172" s="26602"/>
      <c r="CS172" s="26603"/>
      <c r="CT172" s="26604"/>
      <c r="CU172" s="19123"/>
      <c r="CV172" s="19124"/>
      <c r="CW172" s="16982"/>
      <c r="CX172" s="16983"/>
      <c r="CY172" s="16983" t="str">
        <f>IF(T172="","",T172)</f>
        <v>Добавить наименование признака дифференциации</v>
      </c>
      <c r="CZ172" s="16983"/>
      <c r="DA172" s="16983"/>
      <c r="DB172" s="16984">
        <v>0</v>
      </c>
    </row>
    <row s="51786" customFormat="1" customHeight="1" ht="14.25">
      <c r="A173" s="17254"/>
      <c r="B173" s="17254"/>
      <c r="C173" s="17254"/>
      <c r="D173" s="17254"/>
      <c r="E173" s="16968"/>
      <c r="F173" s="16969" t="s">
        <v>120</v>
      </c>
      <c r="G173" s="17254"/>
      <c r="H173" s="17254"/>
      <c r="I173" s="17254"/>
      <c r="J173" s="17254"/>
      <c r="K173" s="17254"/>
      <c r="L173" s="17255"/>
      <c r="M173" s="17256"/>
      <c r="N173" s="17256"/>
      <c r="O173" s="16982"/>
      <c r="P173" s="17257"/>
      <c r="Q173" s="17258"/>
      <c r="R173" s="17257"/>
      <c r="S173" s="17259"/>
      <c r="T173" s="17260" t="s">
        <v>321</v>
      </c>
      <c r="U173" s="17261"/>
      <c r="V173" s="17261"/>
      <c r="W173" s="17261"/>
      <c r="X173" s="17261"/>
      <c r="Y173" s="17261"/>
      <c r="Z173" s="17261"/>
      <c r="AA173" s="17261"/>
      <c r="AB173" s="17261"/>
      <c r="AC173" s="17261"/>
      <c r="AD173" s="17261"/>
      <c r="AE173" s="17261"/>
      <c r="AF173" s="17261"/>
      <c r="AG173" s="17261"/>
      <c r="AH173" s="17261"/>
      <c r="AI173" s="17261"/>
      <c r="AJ173" s="17261"/>
      <c r="AK173" s="17261"/>
      <c r="AL173" s="17261"/>
      <c r="AM173" s="17261"/>
      <c r="AN173" s="17261"/>
      <c r="AO173" s="17261"/>
      <c r="AP173" s="17261"/>
      <c r="AQ173" s="17261"/>
      <c r="AR173" s="17261"/>
      <c r="AS173" s="17261"/>
      <c r="AT173" s="17261"/>
      <c r="AU173" s="17261"/>
      <c r="AV173" s="17261"/>
      <c r="AW173" s="17261"/>
      <c r="AX173" s="17261"/>
      <c r="AY173" s="17261"/>
      <c r="AZ173" s="17261"/>
      <c r="BA173" s="17261"/>
      <c r="BB173" s="17261"/>
      <c r="BC173" s="17261"/>
      <c r="BD173" s="17261"/>
      <c r="BE173" s="17261"/>
      <c r="BF173" s="17261"/>
      <c r="BG173" s="17261"/>
      <c r="BH173" s="17261"/>
      <c r="BI173" s="17261"/>
      <c r="BJ173" s="17261"/>
      <c r="BK173" s="17261"/>
      <c r="BL173" s="17261"/>
      <c r="BM173" s="17261"/>
      <c r="BN173" s="17261"/>
      <c r="BO173" s="17261"/>
      <c r="BP173" s="17261"/>
      <c r="BQ173" s="17261"/>
      <c r="BR173" s="17261"/>
      <c r="BS173" s="17261"/>
      <c r="BT173" s="17261"/>
      <c r="BU173" s="17261"/>
      <c r="BV173" s="17261"/>
      <c r="BW173" s="17261"/>
      <c r="BX173" s="17261"/>
      <c r="BY173" s="17261"/>
      <c r="BZ173" s="17261"/>
      <c r="CA173" s="17261"/>
      <c r="CB173" s="17261"/>
      <c r="CC173" s="17261"/>
      <c r="CD173" s="17261"/>
      <c r="CE173" s="17261"/>
      <c r="CF173" s="17261"/>
      <c r="CG173" s="17261"/>
      <c r="CH173" s="17261"/>
      <c r="CI173" s="17261"/>
      <c r="CJ173" s="17261"/>
      <c r="CK173" s="17261"/>
      <c r="CL173" s="17261"/>
      <c r="CM173" s="17261"/>
      <c r="CN173" s="23902"/>
      <c r="CO173" s="23902"/>
      <c r="CP173" s="23902"/>
      <c r="CQ173" s="23902"/>
      <c r="CR173" s="23902"/>
      <c r="CS173" s="23902"/>
      <c r="CT173" s="23902"/>
      <c r="CU173" s="17261"/>
      <c r="CV173" s="17261"/>
      <c r="CW173" s="16982"/>
      <c r="CX173" s="16983"/>
      <c r="CY173" s="16983" t="str">
        <f>IF(T173="","",T173)</f>
        <v>Добавить централизованную систему для дифференциации</v>
      </c>
      <c r="CZ173" s="16983"/>
      <c r="DA173" s="16983"/>
      <c r="DB173" s="16982">
        <v>0</v>
      </c>
    </row>
    <row s="51787" customFormat="1" customHeight="1" ht="23.25">
      <c r="A174" s="16967"/>
      <c r="B174" s="16967" t="s">
        <v>355</v>
      </c>
      <c r="C174" s="16967"/>
      <c r="D174" s="16967"/>
      <c r="E174" s="16968"/>
      <c r="F174" s="16969" t="s">
        <v>95</v>
      </c>
      <c r="G174" s="16967"/>
      <c r="H174" s="16967"/>
      <c r="I174" s="16967"/>
      <c r="J174" s="16967"/>
      <c r="K174" s="16967"/>
      <c r="L174" s="16970"/>
      <c r="M174" s="16971"/>
      <c r="N174" s="16971"/>
      <c r="O174" s="16971"/>
      <c r="P174" s="16972"/>
      <c r="Q174" s="16973"/>
      <c r="R174" s="16974"/>
      <c r="S174" s="16975" t="str">
        <f>INDEX(PT_DIFFERENTIATION_NUM_TER,MATCH(B174,PT_DIFFERENTIATION_TER_ID,0))</f>
        <v>1.7</v>
      </c>
      <c r="T174" s="16976" t="s">
        <v>515</v>
      </c>
      <c r="U174" s="16977"/>
      <c r="V174" s="16978"/>
      <c r="W174" s="16979"/>
      <c r="X174" s="16979"/>
      <c r="Y174" s="16979"/>
      <c r="Z174" s="16979"/>
      <c r="AA174" s="16979"/>
      <c r="AB174" s="16980"/>
      <c r="AC174" s="16978" t="str">
        <f>INDEX(PT_DIFFERENTIATION_TER,MATCH(B174,PT_DIFFERENTIATION_TER_ID,0))</f>
        <v>Территория 7</v>
      </c>
      <c r="AD174" s="16979"/>
      <c r="AE174" s="16979"/>
      <c r="AF174" s="16979"/>
      <c r="AG174" s="16979"/>
      <c r="AH174" s="16979"/>
      <c r="AI174" s="16979"/>
      <c r="AJ174" s="16978"/>
      <c r="AK174" s="16979"/>
      <c r="AL174" s="16979"/>
      <c r="AM174" s="16979"/>
      <c r="AN174" s="16979"/>
      <c r="AO174" s="16979"/>
      <c r="AP174" s="16980"/>
      <c r="AQ174" s="16978"/>
      <c r="AR174" s="16979"/>
      <c r="AS174" s="16979"/>
      <c r="AT174" s="16979"/>
      <c r="AU174" s="16979"/>
      <c r="AV174" s="16979"/>
      <c r="AW174" s="16980"/>
      <c r="AX174" s="16978"/>
      <c r="AY174" s="16979"/>
      <c r="AZ174" s="16979"/>
      <c r="BA174" s="16979"/>
      <c r="BB174" s="16979"/>
      <c r="BC174" s="16979"/>
      <c r="BD174" s="16980"/>
      <c r="BE174" s="16978"/>
      <c r="BF174" s="16979"/>
      <c r="BG174" s="16979"/>
      <c r="BH174" s="16979"/>
      <c r="BI174" s="16979"/>
      <c r="BJ174" s="16979"/>
      <c r="BK174" s="16980"/>
      <c r="BL174" s="16978"/>
      <c r="BM174" s="16979"/>
      <c r="BN174" s="16979"/>
      <c r="BO174" s="16979"/>
      <c r="BP174" s="16979"/>
      <c r="BQ174" s="16979"/>
      <c r="BR174" s="16980"/>
      <c r="BS174" s="16978"/>
      <c r="BT174" s="16979"/>
      <c r="BU174" s="16979"/>
      <c r="BV174" s="16979"/>
      <c r="BW174" s="16979"/>
      <c r="BX174" s="16979"/>
      <c r="BY174" s="16980"/>
      <c r="BZ174" s="16978"/>
      <c r="CA174" s="16979"/>
      <c r="CB174" s="16979"/>
      <c r="CC174" s="16979"/>
      <c r="CD174" s="16979"/>
      <c r="CE174" s="16979"/>
      <c r="CF174" s="16980"/>
      <c r="CG174" s="16978"/>
      <c r="CH174" s="16979"/>
      <c r="CI174" s="16979"/>
      <c r="CJ174" s="16979"/>
      <c r="CK174" s="16979"/>
      <c r="CL174" s="16979"/>
      <c r="CM174" s="16980"/>
      <c r="CN174" s="23679"/>
      <c r="CO174" s="23680"/>
      <c r="CP174" s="23680"/>
      <c r="CQ174" s="23680"/>
      <c r="CR174" s="23680"/>
      <c r="CS174" s="23680"/>
      <c r="CT174" s="23681"/>
      <c r="CU174" s="16980"/>
      <c r="CV174" s="16981" t="s">
        <v>516</v>
      </c>
      <c r="CW174" s="16982"/>
      <c r="CX174" s="16983"/>
      <c r="CY174" s="16983" t="str">
        <f>IF(T174="","",T174)</f>
        <v>Территория действия тарифа</v>
      </c>
      <c r="CZ174" s="16983"/>
      <c r="DA174" s="16983"/>
      <c r="DB174" s="16984">
        <v>0</v>
      </c>
    </row>
    <row s="51788" customFormat="1" customHeight="1" ht="23.25">
      <c r="A175" s="16967"/>
      <c r="B175" s="16967"/>
      <c r="C175" s="16967" t="s">
        <v>356</v>
      </c>
      <c r="D175" s="16967"/>
      <c r="E175" s="16968"/>
      <c r="F175" s="16968" t="s">
        <v>94</v>
      </c>
      <c r="G175" s="16969">
        <v>1</v>
      </c>
      <c r="H175" s="16967"/>
      <c r="I175" s="16967"/>
      <c r="J175" s="16967"/>
      <c r="K175" s="16967"/>
      <c r="L175" s="16970"/>
      <c r="M175" s="16971"/>
      <c r="N175" s="16971"/>
      <c r="O175" s="16971"/>
      <c r="P175" s="16986"/>
      <c r="Q175" s="16973"/>
      <c r="R175" s="16974"/>
      <c r="S175" s="16975" t="str">
        <f>INDEX(PT_DIFFERENTIATION_NUM_CS,MATCH(C175,PT_DIFFERENTIATION_CS_ID,0))</f>
        <v>1.7.1</v>
      </c>
      <c r="T175" s="16987" t="s">
        <v>631</v>
      </c>
      <c r="U175" s="16977"/>
      <c r="V175" s="16978"/>
      <c r="W175" s="16979"/>
      <c r="X175" s="16979"/>
      <c r="Y175" s="16979"/>
      <c r="Z175" s="16979"/>
      <c r="AA175" s="16979"/>
      <c r="AB175" s="16980"/>
      <c r="AC175" s="16978" t="str">
        <f>INDEX(PT_DIFFERENTIATION_CS,MATCH(C175,PT_DIFFERENTIATION_CS_ID,0))</f>
        <v>с. Снегуровка</v>
      </c>
      <c r="AD175" s="16979"/>
      <c r="AE175" s="16979"/>
      <c r="AF175" s="16979"/>
      <c r="AG175" s="16979"/>
      <c r="AH175" s="16979"/>
      <c r="AI175" s="16979"/>
      <c r="AJ175" s="16978"/>
      <c r="AK175" s="16979"/>
      <c r="AL175" s="16979"/>
      <c r="AM175" s="16979"/>
      <c r="AN175" s="16979"/>
      <c r="AO175" s="16979"/>
      <c r="AP175" s="16980"/>
      <c r="AQ175" s="16978"/>
      <c r="AR175" s="16979"/>
      <c r="AS175" s="16979"/>
      <c r="AT175" s="16979"/>
      <c r="AU175" s="16979"/>
      <c r="AV175" s="16979"/>
      <c r="AW175" s="16980"/>
      <c r="AX175" s="16978"/>
      <c r="AY175" s="16979"/>
      <c r="AZ175" s="16979"/>
      <c r="BA175" s="16979"/>
      <c r="BB175" s="16979"/>
      <c r="BC175" s="16979"/>
      <c r="BD175" s="16980"/>
      <c r="BE175" s="16978"/>
      <c r="BF175" s="16979"/>
      <c r="BG175" s="16979"/>
      <c r="BH175" s="16979"/>
      <c r="BI175" s="16979"/>
      <c r="BJ175" s="16979"/>
      <c r="BK175" s="16980"/>
      <c r="BL175" s="16978"/>
      <c r="BM175" s="16979"/>
      <c r="BN175" s="16979"/>
      <c r="BO175" s="16979"/>
      <c r="BP175" s="16979"/>
      <c r="BQ175" s="16979"/>
      <c r="BR175" s="16980"/>
      <c r="BS175" s="16978"/>
      <c r="BT175" s="16979"/>
      <c r="BU175" s="16979"/>
      <c r="BV175" s="16979"/>
      <c r="BW175" s="16979"/>
      <c r="BX175" s="16979"/>
      <c r="BY175" s="16980"/>
      <c r="BZ175" s="16978"/>
      <c r="CA175" s="16979"/>
      <c r="CB175" s="16979"/>
      <c r="CC175" s="16979"/>
      <c r="CD175" s="16979"/>
      <c r="CE175" s="16979"/>
      <c r="CF175" s="16980"/>
      <c r="CG175" s="16978"/>
      <c r="CH175" s="16979"/>
      <c r="CI175" s="16979"/>
      <c r="CJ175" s="16979"/>
      <c r="CK175" s="16979"/>
      <c r="CL175" s="16979"/>
      <c r="CM175" s="16980"/>
      <c r="CN175" s="23679"/>
      <c r="CO175" s="23680"/>
      <c r="CP175" s="23680"/>
      <c r="CQ175" s="23680"/>
      <c r="CR175" s="23680"/>
      <c r="CS175" s="23680"/>
      <c r="CT175" s="23681"/>
      <c r="CU175" s="16980"/>
      <c r="CV175" s="16981" t="s">
        <v>632</v>
      </c>
      <c r="CW175" s="16982"/>
      <c r="CX175" s="16983"/>
      <c r="CY175" s="16983" t="str">
        <f>IF(T175="","",T175)</f>
        <v>Наименование централизованной системы водоотведения</v>
      </c>
      <c r="CZ175" s="16983"/>
      <c r="DA175" s="16983"/>
      <c r="DB175" s="16984">
        <v>0</v>
      </c>
    </row>
    <row s="51789" customFormat="1" customHeight="1" ht="23.25">
      <c r="A176" s="16967"/>
      <c r="B176" s="16967"/>
      <c r="C176" s="16967"/>
      <c r="D176" s="16967"/>
      <c r="E176" s="16968"/>
      <c r="F176" s="16968" t="s">
        <v>94</v>
      </c>
      <c r="G176" s="16968"/>
      <c r="H176" s="16968"/>
      <c r="I176" s="16989" t="str">
        <f>S175&amp;".1"</f>
        <v>1.7.1.1</v>
      </c>
      <c r="J176" s="16967"/>
      <c r="K176" s="16967"/>
      <c r="L176" s="16970"/>
      <c r="M176" s="16990"/>
      <c r="N176" s="16990"/>
      <c r="O176" s="16990"/>
      <c r="P176" s="16991">
        <v>1</v>
      </c>
      <c r="Q176" s="16991"/>
      <c r="R176" s="16992"/>
      <c r="S176" s="16975" t="str">
        <f>$I176</f>
        <v>1.7.1.1</v>
      </c>
      <c r="T176" s="16993" t="s">
        <v>598</v>
      </c>
      <c r="U176" s="16977"/>
      <c r="V176" s="16994"/>
      <c r="W176" s="16995"/>
      <c r="X176" s="16995"/>
      <c r="Y176" s="16995"/>
      <c r="Z176" s="16995"/>
      <c r="AA176" s="16995"/>
      <c r="AB176" s="16996"/>
      <c r="AC176" s="16997"/>
      <c r="AD176" s="16998"/>
      <c r="AE176" s="16998"/>
      <c r="AF176" s="16998"/>
      <c r="AG176" s="16998"/>
      <c r="AH176" s="16998"/>
      <c r="AI176" s="16998"/>
      <c r="AJ176" s="16994"/>
      <c r="AK176" s="16995"/>
      <c r="AL176" s="16995"/>
      <c r="AM176" s="16995"/>
      <c r="AN176" s="16995"/>
      <c r="AO176" s="16995"/>
      <c r="AP176" s="16996"/>
      <c r="AQ176" s="16994"/>
      <c r="AR176" s="16995"/>
      <c r="AS176" s="16995"/>
      <c r="AT176" s="16995"/>
      <c r="AU176" s="16995"/>
      <c r="AV176" s="16995"/>
      <c r="AW176" s="16996"/>
      <c r="AX176" s="16994"/>
      <c r="AY176" s="16995"/>
      <c r="AZ176" s="16995"/>
      <c r="BA176" s="16995"/>
      <c r="BB176" s="16995"/>
      <c r="BC176" s="16995"/>
      <c r="BD176" s="16996"/>
      <c r="BE176" s="16994"/>
      <c r="BF176" s="16995"/>
      <c r="BG176" s="16995"/>
      <c r="BH176" s="16995"/>
      <c r="BI176" s="16995"/>
      <c r="BJ176" s="16995"/>
      <c r="BK176" s="16996"/>
      <c r="BL176" s="16994"/>
      <c r="BM176" s="16995"/>
      <c r="BN176" s="16995"/>
      <c r="BO176" s="16995"/>
      <c r="BP176" s="16995"/>
      <c r="BQ176" s="16995"/>
      <c r="BR176" s="16996"/>
      <c r="BS176" s="16994"/>
      <c r="BT176" s="16995"/>
      <c r="BU176" s="16995"/>
      <c r="BV176" s="16995"/>
      <c r="BW176" s="16995"/>
      <c r="BX176" s="16995"/>
      <c r="BY176" s="16996"/>
      <c r="BZ176" s="16994"/>
      <c r="CA176" s="16995"/>
      <c r="CB176" s="16995"/>
      <c r="CC176" s="16995"/>
      <c r="CD176" s="16995"/>
      <c r="CE176" s="16995"/>
      <c r="CF176" s="16996"/>
      <c r="CG176" s="16994"/>
      <c r="CH176" s="16995"/>
      <c r="CI176" s="16995"/>
      <c r="CJ176" s="16995"/>
      <c r="CK176" s="16995"/>
      <c r="CL176" s="16995"/>
      <c r="CM176" s="16996"/>
      <c r="CN176" s="23687"/>
      <c r="CO176" s="23688"/>
      <c r="CP176" s="23688"/>
      <c r="CQ176" s="23688"/>
      <c r="CR176" s="23688"/>
      <c r="CS176" s="23688"/>
      <c r="CT176" s="23689"/>
      <c r="CU176" s="16999"/>
      <c r="CV176" s="16981" t="s">
        <v>599</v>
      </c>
      <c r="CW176" s="16982"/>
      <c r="CX176" s="16983"/>
      <c r="CY176" s="16983" t="str">
        <f>IF(T176="","",T176)</f>
        <v>Наименование признака дифференциации</v>
      </c>
      <c r="CZ176" s="16983"/>
      <c r="DA176" s="16983"/>
      <c r="DB176" s="16984">
        <v>0</v>
      </c>
    </row>
    <row s="51790" customFormat="1" customHeight="1" ht="23.25">
      <c r="A177" s="16967"/>
      <c r="B177" s="16967"/>
      <c r="C177" s="16967"/>
      <c r="D177" s="16967"/>
      <c r="E177" s="16968"/>
      <c r="F177" s="16968" t="s">
        <v>94</v>
      </c>
      <c r="G177" s="16968"/>
      <c r="H177" s="16968"/>
      <c r="I177" s="17001"/>
      <c r="J177" s="16989" t="str">
        <f>I176&amp;".1"</f>
        <v>1.7.1.1.1</v>
      </c>
      <c r="K177" s="16967"/>
      <c r="L177" s="16970" t="s">
        <v>524</v>
      </c>
      <c r="M177" s="16990"/>
      <c r="N177" s="16990"/>
      <c r="O177" s="16990"/>
      <c r="P177" s="16991"/>
      <c r="Q177" s="16991">
        <v>1</v>
      </c>
      <c r="R177" s="17002"/>
      <c r="S177" s="16975" t="str">
        <f>$J177</f>
        <v>1.7.1.1.1</v>
      </c>
      <c r="T177" s="17003" t="s">
        <v>525</v>
      </c>
      <c r="U177" s="16977"/>
      <c r="V177" s="17004"/>
      <c r="W177" s="17005"/>
      <c r="X177" s="17005"/>
      <c r="Y177" s="17005"/>
      <c r="Z177" s="17005"/>
      <c r="AA177" s="17005"/>
      <c r="AB177" s="17006"/>
      <c r="AC177" s="17004" t="s">
        <v>636</v>
      </c>
      <c r="AD177" s="17005"/>
      <c r="AE177" s="17005"/>
      <c r="AF177" s="17005"/>
      <c r="AG177" s="17005"/>
      <c r="AH177" s="17005"/>
      <c r="AI177" s="17005"/>
      <c r="AJ177" s="17004"/>
      <c r="AK177" s="17005"/>
      <c r="AL177" s="17005"/>
      <c r="AM177" s="17005"/>
      <c r="AN177" s="17005"/>
      <c r="AO177" s="17005"/>
      <c r="AP177" s="17006"/>
      <c r="AQ177" s="17004"/>
      <c r="AR177" s="17005"/>
      <c r="AS177" s="17005"/>
      <c r="AT177" s="17005"/>
      <c r="AU177" s="17005"/>
      <c r="AV177" s="17005"/>
      <c r="AW177" s="17006"/>
      <c r="AX177" s="17004"/>
      <c r="AY177" s="17005"/>
      <c r="AZ177" s="17005"/>
      <c r="BA177" s="17005"/>
      <c r="BB177" s="17005"/>
      <c r="BC177" s="17005"/>
      <c r="BD177" s="17006"/>
      <c r="BE177" s="17004"/>
      <c r="BF177" s="17005"/>
      <c r="BG177" s="17005"/>
      <c r="BH177" s="17005"/>
      <c r="BI177" s="17005"/>
      <c r="BJ177" s="17005"/>
      <c r="BK177" s="17006"/>
      <c r="BL177" s="17004"/>
      <c r="BM177" s="17005"/>
      <c r="BN177" s="17005"/>
      <c r="BO177" s="17005"/>
      <c r="BP177" s="17005"/>
      <c r="BQ177" s="17005"/>
      <c r="BR177" s="17006"/>
      <c r="BS177" s="17004"/>
      <c r="BT177" s="17005"/>
      <c r="BU177" s="17005"/>
      <c r="BV177" s="17005"/>
      <c r="BW177" s="17005"/>
      <c r="BX177" s="17005"/>
      <c r="BY177" s="17006"/>
      <c r="BZ177" s="17004"/>
      <c r="CA177" s="17005"/>
      <c r="CB177" s="17005"/>
      <c r="CC177" s="17005"/>
      <c r="CD177" s="17005"/>
      <c r="CE177" s="17005"/>
      <c r="CF177" s="17006"/>
      <c r="CG177" s="17004"/>
      <c r="CH177" s="17005"/>
      <c r="CI177" s="17005"/>
      <c r="CJ177" s="17005"/>
      <c r="CK177" s="17005"/>
      <c r="CL177" s="17005"/>
      <c r="CM177" s="17006"/>
      <c r="CN177" s="23693"/>
      <c r="CO177" s="23694"/>
      <c r="CP177" s="23694"/>
      <c r="CQ177" s="23694"/>
      <c r="CR177" s="23694"/>
      <c r="CS177" s="23694"/>
      <c r="CT177" s="23695"/>
      <c r="CU177" s="17006"/>
      <c r="CV177" s="17007" t="s">
        <v>600</v>
      </c>
      <c r="CW177" s="16982"/>
      <c r="CX177" s="16983"/>
      <c r="CY177" s="16983" t="str">
        <f>IF(T177="","",T177)</f>
        <v>Группа потребителей</v>
      </c>
      <c r="CZ177" s="16983"/>
      <c r="DA177" s="16983"/>
      <c r="DB177" s="16984">
        <v>0</v>
      </c>
    </row>
    <row s="51791" customFormat="1" customHeight="1" ht="23.25">
      <c r="A178" s="16967"/>
      <c r="B178" s="16967"/>
      <c r="C178" s="16967"/>
      <c r="D178" s="16967"/>
      <c r="E178" s="16968"/>
      <c r="F178" s="16968" t="s">
        <v>94</v>
      </c>
      <c r="G178" s="16968"/>
      <c r="H178" s="16968"/>
      <c r="I178" s="17001"/>
      <c r="J178" s="17001"/>
      <c r="K178" s="16989" t="str">
        <f>J177&amp;".1"</f>
        <v>1.7.1.1.1.1</v>
      </c>
      <c r="L178" s="16970"/>
      <c r="M178" s="16990"/>
      <c r="N178" s="16990"/>
      <c r="O178" s="16990"/>
      <c r="P178" s="16991"/>
      <c r="Q178" s="16991"/>
      <c r="R178" s="17002">
        <v>1</v>
      </c>
      <c r="S178" s="16975" t="str">
        <f>$K178</f>
        <v>1.7.1.1.1.1</v>
      </c>
      <c r="T178" s="17009"/>
      <c r="U178" s="16977"/>
      <c r="V178" s="17010"/>
      <c r="W178" s="17010"/>
      <c r="X178" s="17011"/>
      <c r="Y178" s="16696"/>
      <c r="Z178" s="17012" t="s">
        <v>63</v>
      </c>
      <c r="AA178" s="16696"/>
      <c r="AB178" s="17012" t="s">
        <v>63</v>
      </c>
      <c r="AC178" s="17010">
        <v>54.01</v>
      </c>
      <c r="AD178" s="17010"/>
      <c r="AE178" s="17011"/>
      <c r="AF178" s="40552">
        <v>45292.71550925926</v>
      </c>
      <c r="AG178" s="17012" t="s">
        <v>63</v>
      </c>
      <c r="AH178" s="40553">
        <v>45473.7156712963</v>
      </c>
      <c r="AI178" s="17012" t="s">
        <v>63</v>
      </c>
      <c r="AJ178" s="17010">
        <v>63.73</v>
      </c>
      <c r="AK178" s="17010"/>
      <c r="AL178" s="17011"/>
      <c r="AM178" s="40552">
        <v>45474.71579861111</v>
      </c>
      <c r="AN178" s="17012" t="s">
        <v>63</v>
      </c>
      <c r="AO178" s="40552">
        <v>45657.7159375</v>
      </c>
      <c r="AP178" s="17012" t="s">
        <v>63</v>
      </c>
      <c r="AQ178" s="17010">
        <v>63.73</v>
      </c>
      <c r="AR178" s="17010"/>
      <c r="AS178" s="17011"/>
      <c r="AT178" s="40552">
        <v>45658.71607638889</v>
      </c>
      <c r="AU178" s="17012" t="s">
        <v>63</v>
      </c>
      <c r="AV178" s="40552">
        <v>45838.716157407405</v>
      </c>
      <c r="AW178" s="17012" t="s">
        <v>63</v>
      </c>
      <c r="AX178" s="17010">
        <v>71.39</v>
      </c>
      <c r="AY178" s="17010"/>
      <c r="AZ178" s="17011"/>
      <c r="BA178" s="40552">
        <v>45839.71633101852</v>
      </c>
      <c r="BB178" s="17012" t="s">
        <v>63</v>
      </c>
      <c r="BC178" s="40552">
        <v>46022.716469907406</v>
      </c>
      <c r="BD178" s="17012" t="s">
        <v>63</v>
      </c>
      <c r="BE178" s="17010">
        <v>71.39</v>
      </c>
      <c r="BF178" s="17010"/>
      <c r="BG178" s="17011"/>
      <c r="BH178" s="40552">
        <v>46023.71666666667</v>
      </c>
      <c r="BI178" s="17012" t="s">
        <v>63</v>
      </c>
      <c r="BJ178" s="40552">
        <v>46203.71686342593</v>
      </c>
      <c r="BK178" s="17012" t="s">
        <v>63</v>
      </c>
      <c r="BL178" s="17010">
        <v>75.67</v>
      </c>
      <c r="BM178" s="17010"/>
      <c r="BN178" s="17011"/>
      <c r="BO178" s="40552">
        <v>46204.71724537037</v>
      </c>
      <c r="BP178" s="17012" t="s">
        <v>63</v>
      </c>
      <c r="BQ178" s="40552">
        <v>46387.71748842593</v>
      </c>
      <c r="BR178" s="17012" t="s">
        <v>63</v>
      </c>
      <c r="BS178" s="17010">
        <v>75.67</v>
      </c>
      <c r="BT178" s="17010"/>
      <c r="BU178" s="17011"/>
      <c r="BV178" s="40552">
        <v>46388.71847222222</v>
      </c>
      <c r="BW178" s="17012" t="s">
        <v>63</v>
      </c>
      <c r="BX178" s="40552">
        <v>46568.718622685185</v>
      </c>
      <c r="BY178" s="17012" t="s">
        <v>63</v>
      </c>
      <c r="BZ178" s="17010">
        <v>80.21</v>
      </c>
      <c r="CA178" s="17010"/>
      <c r="CB178" s="17011"/>
      <c r="CC178" s="40552">
        <v>46569.71890046296</v>
      </c>
      <c r="CD178" s="17012" t="s">
        <v>63</v>
      </c>
      <c r="CE178" s="40552">
        <v>46752.71916666667</v>
      </c>
      <c r="CF178" s="17012" t="s">
        <v>63</v>
      </c>
      <c r="CG178" s="17010">
        <v>80.21</v>
      </c>
      <c r="CH178" s="17010"/>
      <c r="CI178" s="17011"/>
      <c r="CJ178" s="40552">
        <v>46753.7199537037</v>
      </c>
      <c r="CK178" s="17012" t="s">
        <v>63</v>
      </c>
      <c r="CL178" s="40552">
        <v>46934.72025462963</v>
      </c>
      <c r="CM178" s="17012" t="s">
        <v>63</v>
      </c>
      <c r="CN178" s="23700">
        <v>85.61</v>
      </c>
      <c r="CO178" s="23700"/>
      <c r="CP178" s="23701"/>
      <c r="CQ178" s="40552">
        <v>46935.72054398148</v>
      </c>
      <c r="CR178" s="23703" t="s">
        <v>63</v>
      </c>
      <c r="CS178" s="40552">
        <v>47118.72079861111</v>
      </c>
      <c r="CT178" s="23703" t="s">
        <v>63</v>
      </c>
      <c r="CU178" s="17013"/>
      <c r="CV178" s="170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178" s="16982">
        <f>STRCHECKDATE(V179:CU179)</f>
      </c>
      <c r="CX178" s="16983"/>
      <c r="CY178" s="16983" t="str">
        <f>IF(T178="","",T178)</f>
        <v/>
      </c>
      <c r="CZ178" s="16983"/>
      <c r="DA178" s="16983"/>
      <c r="DB178" s="16984">
        <v>0</v>
      </c>
    </row>
    <row s="51792" customFormat="1" customHeight="1" ht="14.25">
      <c r="A179" s="16967"/>
      <c r="B179" s="16967"/>
      <c r="C179" s="16967"/>
      <c r="D179" s="16967"/>
      <c r="E179" s="16968"/>
      <c r="F179" s="16968" t="s">
        <v>94</v>
      </c>
      <c r="G179" s="16968"/>
      <c r="H179" s="16968"/>
      <c r="I179" s="17001"/>
      <c r="J179" s="17001"/>
      <c r="K179" s="16989"/>
      <c r="L179" s="16970"/>
      <c r="M179" s="16990"/>
      <c r="N179" s="16990"/>
      <c r="O179" s="16990"/>
      <c r="P179" s="16991"/>
      <c r="Q179" s="16991"/>
      <c r="R179" s="17002"/>
      <c r="S179" s="17016"/>
      <c r="T179" s="16977"/>
      <c r="U179" s="16977"/>
      <c r="V179" s="17017"/>
      <c r="W179" s="17017"/>
      <c r="X179" s="17018" t="str">
        <f>Y178&amp;"-"&amp;AA178</f>
        <v>-</v>
      </c>
      <c r="Y179" s="17019"/>
      <c r="Z179" s="17012"/>
      <c r="AA179" s="17019"/>
      <c r="AB179" s="17012"/>
      <c r="AC179" s="17017"/>
      <c r="AD179" s="17017"/>
      <c r="AE179" s="17018" t="str">
        <f>AF178&amp;"-"&amp;AH178</f>
        <v>45292.71550925926-45473.7156712963</v>
      </c>
      <c r="AF179" s="17019"/>
      <c r="AG179" s="17012"/>
      <c r="AH179" s="17020"/>
      <c r="AI179" s="17012"/>
      <c r="AJ179" s="17017"/>
      <c r="AK179" s="17017"/>
      <c r="AL179" s="17018" t="str">
        <f>AM178&amp;"-"&amp;AO178</f>
        <v>45474.71579861111-45657.7159375</v>
      </c>
      <c r="AM179" s="17019"/>
      <c r="AN179" s="17012"/>
      <c r="AO179" s="17019"/>
      <c r="AP179" s="17012"/>
      <c r="AQ179" s="17017"/>
      <c r="AR179" s="17017"/>
      <c r="AS179" s="17018" t="str">
        <f>AT178&amp;"-"&amp;AV178</f>
        <v>45658.71607638889-45838.716157407405</v>
      </c>
      <c r="AT179" s="17019"/>
      <c r="AU179" s="17012"/>
      <c r="AV179" s="17019"/>
      <c r="AW179" s="17012"/>
      <c r="AX179" s="17017"/>
      <c r="AY179" s="17017"/>
      <c r="AZ179" s="17018" t="str">
        <f>BA178&amp;"-"&amp;BC178</f>
        <v>45839.71633101852-46022.716469907406</v>
      </c>
      <c r="BA179" s="17019"/>
      <c r="BB179" s="17012"/>
      <c r="BC179" s="17019"/>
      <c r="BD179" s="17012"/>
      <c r="BE179" s="17017"/>
      <c r="BF179" s="17017"/>
      <c r="BG179" s="17018" t="str">
        <f>BH178&amp;"-"&amp;BJ178</f>
        <v>46023.71666666667-46203.71686342593</v>
      </c>
      <c r="BH179" s="17019"/>
      <c r="BI179" s="17012"/>
      <c r="BJ179" s="17019"/>
      <c r="BK179" s="17012"/>
      <c r="BL179" s="17017"/>
      <c r="BM179" s="17017"/>
      <c r="BN179" s="17018" t="str">
        <f>BO178&amp;"-"&amp;BQ178</f>
        <v>46204.71724537037-46387.71748842593</v>
      </c>
      <c r="BO179" s="17019"/>
      <c r="BP179" s="17012"/>
      <c r="BQ179" s="17019"/>
      <c r="BR179" s="17012"/>
      <c r="BS179" s="17017"/>
      <c r="BT179" s="17017"/>
      <c r="BU179" s="17018" t="str">
        <f>BV178&amp;"-"&amp;BX178</f>
        <v>46388.71847222222-46568.718622685185</v>
      </c>
      <c r="BV179" s="17019"/>
      <c r="BW179" s="17012"/>
      <c r="BX179" s="17019"/>
      <c r="BY179" s="17012"/>
      <c r="BZ179" s="17017"/>
      <c r="CA179" s="17017"/>
      <c r="CB179" s="17018" t="str">
        <f>CC178&amp;"-"&amp;CE178</f>
        <v>46569.71890046296-46752.71916666667</v>
      </c>
      <c r="CC179" s="17019"/>
      <c r="CD179" s="17012"/>
      <c r="CE179" s="17019"/>
      <c r="CF179" s="17012"/>
      <c r="CG179" s="17017"/>
      <c r="CH179" s="17017"/>
      <c r="CI179" s="17018" t="str">
        <f>CJ178&amp;"-"&amp;CL178</f>
        <v>46753.7199537037-46934.72025462963</v>
      </c>
      <c r="CJ179" s="17019"/>
      <c r="CK179" s="17012"/>
      <c r="CL179" s="17019"/>
      <c r="CM179" s="17012"/>
      <c r="CN179" s="23708"/>
      <c r="CO179" s="23708"/>
      <c r="CP179" s="23709" t="str">
        <f>CQ178&amp;"-"&amp;CS178</f>
        <v>46935.72054398148-47118.72079861111</v>
      </c>
      <c r="CQ179" s="23710"/>
      <c r="CR179" s="23703"/>
      <c r="CS179" s="23710"/>
      <c r="CT179" s="23703"/>
      <c r="CU179" s="17021"/>
      <c r="CV179" s="17014"/>
      <c r="CW179" s="16982"/>
      <c r="CX179" s="16983"/>
      <c r="CY179" s="16983" t="str">
        <f>IF(T179="","",T179)</f>
        <v/>
      </c>
      <c r="CZ179" s="16983"/>
      <c r="DA179" s="16983"/>
      <c r="DB179" s="16984">
        <v>0</v>
      </c>
    </row>
    <row s="51793" customFormat="1" customHeight="1" ht="21">
      <c r="A180" s="16967"/>
      <c r="B180" s="16967"/>
      <c r="C180" s="16967"/>
      <c r="D180" s="16967"/>
      <c r="E180" s="16968"/>
      <c r="F180" s="16968" t="s">
        <v>94</v>
      </c>
      <c r="G180" s="16968"/>
      <c r="H180" s="16968"/>
      <c r="I180" s="17001"/>
      <c r="J180" s="16989"/>
      <c r="K180" s="16967"/>
      <c r="L180" s="16970"/>
      <c r="M180" s="16990"/>
      <c r="N180" s="16990"/>
      <c r="O180" s="16990"/>
      <c r="P180" s="16991"/>
      <c r="Q180" s="16991"/>
      <c r="R180" s="16992"/>
      <c r="S180" s="19133"/>
      <c r="T180" s="19134" t="s">
        <v>601</v>
      </c>
      <c r="U180" s="19135"/>
      <c r="V180" s="19136"/>
      <c r="W180" s="19137"/>
      <c r="X180" s="19138"/>
      <c r="Y180" s="19139"/>
      <c r="Z180" s="19140"/>
      <c r="AA180" s="19141"/>
      <c r="AB180" s="19142"/>
      <c r="AC180" s="19143"/>
      <c r="AD180" s="19144"/>
      <c r="AE180" s="19145"/>
      <c r="AF180" s="19146"/>
      <c r="AG180" s="19147"/>
      <c r="AH180" s="19148"/>
      <c r="AI180" s="19149"/>
      <c r="AJ180" s="19150"/>
      <c r="AK180" s="19151"/>
      <c r="AL180" s="19152"/>
      <c r="AM180" s="19153"/>
      <c r="AN180" s="19154"/>
      <c r="AO180" s="19155"/>
      <c r="AP180" s="19156"/>
      <c r="AQ180" s="19157"/>
      <c r="AR180" s="19158"/>
      <c r="AS180" s="19159"/>
      <c r="AT180" s="19160"/>
      <c r="AU180" s="19161"/>
      <c r="AV180" s="19162"/>
      <c r="AW180" s="19163"/>
      <c r="AX180" s="19164"/>
      <c r="AY180" s="19165"/>
      <c r="AZ180" s="19166"/>
      <c r="BA180" s="19167"/>
      <c r="BB180" s="19168"/>
      <c r="BC180" s="19169"/>
      <c r="BD180" s="19170"/>
      <c r="BE180" s="19171"/>
      <c r="BF180" s="19172"/>
      <c r="BG180" s="19173"/>
      <c r="BH180" s="19174"/>
      <c r="BI180" s="19175"/>
      <c r="BJ180" s="19176"/>
      <c r="BK180" s="19177"/>
      <c r="BL180" s="19178"/>
      <c r="BM180" s="19179"/>
      <c r="BN180" s="19180"/>
      <c r="BO180" s="19181"/>
      <c r="BP180" s="19182"/>
      <c r="BQ180" s="19183"/>
      <c r="BR180" s="19184"/>
      <c r="BS180" s="19185"/>
      <c r="BT180" s="19186"/>
      <c r="BU180" s="19187"/>
      <c r="BV180" s="19188"/>
      <c r="BW180" s="19189"/>
      <c r="BX180" s="19190"/>
      <c r="BY180" s="19191"/>
      <c r="BZ180" s="19192"/>
      <c r="CA180" s="19193"/>
      <c r="CB180" s="19194"/>
      <c r="CC180" s="19195"/>
      <c r="CD180" s="19196"/>
      <c r="CE180" s="19197"/>
      <c r="CF180" s="19198"/>
      <c r="CG180" s="19199"/>
      <c r="CH180" s="19200"/>
      <c r="CI180" s="19201"/>
      <c r="CJ180" s="19202"/>
      <c r="CK180" s="19203"/>
      <c r="CL180" s="19204"/>
      <c r="CM180" s="19205"/>
      <c r="CN180" s="26688"/>
      <c r="CO180" s="26689"/>
      <c r="CP180" s="26690"/>
      <c r="CQ180" s="26691"/>
      <c r="CR180" s="26692"/>
      <c r="CS180" s="26693"/>
      <c r="CT180" s="26694"/>
      <c r="CU180" s="19206"/>
      <c r="CV180" s="16981" t="s">
        <v>602</v>
      </c>
      <c r="CW180" s="16982"/>
      <c r="CX180" s="16983"/>
      <c r="CY180" s="16983" t="str">
        <f>IF(T180="","",T180)</f>
        <v>Добавить значение признака дифференциации</v>
      </c>
      <c r="CZ180" s="16983"/>
      <c r="DA180" s="16983"/>
      <c r="DB180" s="16984">
        <v>0</v>
      </c>
    </row>
    <row s="51875" customFormat="1" customHeight="1" ht="23.25">
      <c r="A181" s="40638"/>
      <c r="B181" s="40638"/>
      <c r="C181" s="40638"/>
      <c r="D181" s="40638"/>
      <c r="E181" s="40639"/>
      <c r="F181" s="40639"/>
      <c r="G181" s="40639"/>
      <c r="H181" s="40639"/>
      <c r="I181" s="40640"/>
      <c r="J181" s="40641" t="str">
        <f>I176&amp;".2"</f>
        <v>1.7.1.1.2</v>
      </c>
      <c r="K181" s="40638"/>
      <c r="L181" s="40642" t="s">
        <v>524</v>
      </c>
      <c r="M181" s="40643"/>
      <c r="N181" s="40643"/>
      <c r="O181" s="40643"/>
      <c r="P181" s="40644"/>
      <c r="Q181" s="40645" t="s">
        <v>106</v>
      </c>
      <c r="R181" s="40646"/>
      <c r="S181" s="40647" t="str">
        <f>$J181</f>
        <v>1.7.1.1.2</v>
      </c>
      <c r="T181" s="40648" t="s">
        <v>525</v>
      </c>
      <c r="U181" s="40649"/>
      <c r="V181" s="40650"/>
      <c r="W181" s="40651"/>
      <c r="X181" s="40651"/>
      <c r="Y181" s="40651"/>
      <c r="Z181" s="40651"/>
      <c r="AA181" s="40651"/>
      <c r="AB181" s="40652"/>
      <c r="AC181" s="40650" t="s">
        <v>637</v>
      </c>
      <c r="AD181" s="40651"/>
      <c r="AE181" s="40651"/>
      <c r="AF181" s="40651"/>
      <c r="AG181" s="40651"/>
      <c r="AH181" s="40651"/>
      <c r="AI181" s="40651"/>
      <c r="AJ181" s="40650"/>
      <c r="AK181" s="40651"/>
      <c r="AL181" s="40651"/>
      <c r="AM181" s="40651"/>
      <c r="AN181" s="40651"/>
      <c r="AO181" s="40651"/>
      <c r="AP181" s="40652"/>
      <c r="AQ181" s="40650"/>
      <c r="AR181" s="40651"/>
      <c r="AS181" s="40651"/>
      <c r="AT181" s="40651"/>
      <c r="AU181" s="40651"/>
      <c r="AV181" s="40651"/>
      <c r="AW181" s="40652"/>
      <c r="AX181" s="40650"/>
      <c r="AY181" s="40651"/>
      <c r="AZ181" s="40651"/>
      <c r="BA181" s="40651"/>
      <c r="BB181" s="40651"/>
      <c r="BC181" s="40651"/>
      <c r="BD181" s="40652"/>
      <c r="BE181" s="40650"/>
      <c r="BF181" s="40651"/>
      <c r="BG181" s="40651"/>
      <c r="BH181" s="40651"/>
      <c r="BI181" s="40651"/>
      <c r="BJ181" s="40651"/>
      <c r="BK181" s="40652"/>
      <c r="BL181" s="40650"/>
      <c r="BM181" s="40651"/>
      <c r="BN181" s="40651"/>
      <c r="BO181" s="40651"/>
      <c r="BP181" s="40651"/>
      <c r="BQ181" s="40651"/>
      <c r="BR181" s="40652"/>
      <c r="BS181" s="40650"/>
      <c r="BT181" s="40651"/>
      <c r="BU181" s="40651"/>
      <c r="BV181" s="40651"/>
      <c r="BW181" s="40651"/>
      <c r="BX181" s="40651"/>
      <c r="BY181" s="40652"/>
      <c r="BZ181" s="40650"/>
      <c r="CA181" s="40651"/>
      <c r="CB181" s="40651"/>
      <c r="CC181" s="40651"/>
      <c r="CD181" s="40651"/>
      <c r="CE181" s="40651"/>
      <c r="CF181" s="40652"/>
      <c r="CG181" s="40650"/>
      <c r="CH181" s="40651"/>
      <c r="CI181" s="40651"/>
      <c r="CJ181" s="40651"/>
      <c r="CK181" s="40651"/>
      <c r="CL181" s="40651"/>
      <c r="CM181" s="40652"/>
      <c r="CN181" s="40650"/>
      <c r="CO181" s="40651"/>
      <c r="CP181" s="40651"/>
      <c r="CQ181" s="40651"/>
      <c r="CR181" s="40651"/>
      <c r="CS181" s="40651"/>
      <c r="CT181" s="40653"/>
      <c r="CU181" s="40652"/>
      <c r="CV181" s="40654" t="s">
        <v>600</v>
      </c>
      <c r="CW181" s="40655"/>
      <c r="CX181" s="40656"/>
      <c r="CY181" s="40656" t="str">
        <f>IF(T181="","",T181)</f>
        <v>Группа потребителей</v>
      </c>
      <c r="CZ181" s="40656"/>
      <c r="DA181" s="40656"/>
      <c r="DB181" s="40657">
        <v>0</v>
      </c>
    </row>
    <row s="51876" customFormat="1" customHeight="1" ht="23.25">
      <c r="A182" s="40638"/>
      <c r="B182" s="40638"/>
      <c r="C182" s="40638"/>
      <c r="D182" s="40638"/>
      <c r="E182" s="40639"/>
      <c r="F182" s="40639"/>
      <c r="G182" s="40639"/>
      <c r="H182" s="40639"/>
      <c r="I182" s="40640"/>
      <c r="J182" s="40640" t="str">
        <f>I176&amp;".1"</f>
        <v>1.7.1.1.1</v>
      </c>
      <c r="K182" s="40641" t="str">
        <f>J181&amp;".1"</f>
        <v>1.7.1.1.2.1</v>
      </c>
      <c r="L182" s="40642"/>
      <c r="M182" s="40643"/>
      <c r="N182" s="40643"/>
      <c r="O182" s="40643"/>
      <c r="P182" s="40644"/>
      <c r="Q182" s="40644"/>
      <c r="R182" s="40646">
        <v>1</v>
      </c>
      <c r="S182" s="40647" t="str">
        <f>$K182</f>
        <v>1.7.1.1.2.1</v>
      </c>
      <c r="T182" s="40659"/>
      <c r="U182" s="40649"/>
      <c r="V182" s="40660"/>
      <c r="W182" s="40660"/>
      <c r="X182" s="40661"/>
      <c r="Y182" s="40552"/>
      <c r="Z182" s="40662" t="s">
        <v>63</v>
      </c>
      <c r="AA182" s="40552"/>
      <c r="AB182" s="40662" t="s">
        <v>63</v>
      </c>
      <c r="AC182" s="40660">
        <v>45.01</v>
      </c>
      <c r="AD182" s="40660"/>
      <c r="AE182" s="40661"/>
      <c r="AF182" s="40552">
        <v>45292.71561342593</v>
      </c>
      <c r="AG182" s="40662" t="s">
        <v>63</v>
      </c>
      <c r="AH182" s="40553">
        <v>45473.71574074074</v>
      </c>
      <c r="AI182" s="40662" t="s">
        <v>63</v>
      </c>
      <c r="AJ182" s="40660">
        <v>53.11</v>
      </c>
      <c r="AK182" s="40660"/>
      <c r="AL182" s="40661"/>
      <c r="AM182" s="40552">
        <v>45474.71587962963</v>
      </c>
      <c r="AN182" s="40662" t="s">
        <v>63</v>
      </c>
      <c r="AO182" s="40552">
        <v>45657.71597222222</v>
      </c>
      <c r="AP182" s="40662" t="s">
        <v>63</v>
      </c>
      <c r="AQ182" s="40660">
        <v>53.11</v>
      </c>
      <c r="AR182" s="40660"/>
      <c r="AS182" s="40661"/>
      <c r="AT182" s="40552">
        <v>45658.71612268518</v>
      </c>
      <c r="AU182" s="40662" t="s">
        <v>63</v>
      </c>
      <c r="AV182" s="40552">
        <v>45838.71622685185</v>
      </c>
      <c r="AW182" s="40662" t="s">
        <v>63</v>
      </c>
      <c r="AX182" s="40660">
        <v>59.49</v>
      </c>
      <c r="AY182" s="40660"/>
      <c r="AZ182" s="40661"/>
      <c r="BA182" s="40552">
        <v>45839.71640046296</v>
      </c>
      <c r="BB182" s="40662" t="s">
        <v>63</v>
      </c>
      <c r="BC182" s="40552">
        <v>46022.71655092593</v>
      </c>
      <c r="BD182" s="40662" t="s">
        <v>63</v>
      </c>
      <c r="BE182" s="40660">
        <v>59.49</v>
      </c>
      <c r="BF182" s="40660"/>
      <c r="BG182" s="40661"/>
      <c r="BH182" s="40552">
        <v>46023.71675925926</v>
      </c>
      <c r="BI182" s="40662" t="s">
        <v>63</v>
      </c>
      <c r="BJ182" s="40552">
        <v>46203.71712962963</v>
      </c>
      <c r="BK182" s="40662" t="s">
        <v>63</v>
      </c>
      <c r="BL182" s="40660">
        <v>63.06</v>
      </c>
      <c r="BM182" s="40660"/>
      <c r="BN182" s="40661"/>
      <c r="BO182" s="40552">
        <v>46204.717361111114</v>
      </c>
      <c r="BP182" s="40662" t="s">
        <v>63</v>
      </c>
      <c r="BQ182" s="40552">
        <v>46387.71758101852</v>
      </c>
      <c r="BR182" s="40662" t="s">
        <v>63</v>
      </c>
      <c r="BS182" s="40660">
        <v>63.06</v>
      </c>
      <c r="BT182" s="40660"/>
      <c r="BU182" s="40661"/>
      <c r="BV182" s="40552">
        <v>46388.71855324074</v>
      </c>
      <c r="BW182" s="40662" t="s">
        <v>63</v>
      </c>
      <c r="BX182" s="40552">
        <v>46568.718726851854</v>
      </c>
      <c r="BY182" s="40662" t="s">
        <v>63</v>
      </c>
      <c r="BZ182" s="40660">
        <v>66.84</v>
      </c>
      <c r="CA182" s="40660"/>
      <c r="CB182" s="40661"/>
      <c r="CC182" s="40552">
        <v>46388.7190162037</v>
      </c>
      <c r="CD182" s="40662" t="s">
        <v>63</v>
      </c>
      <c r="CE182" s="40552">
        <v>46752.71952546296</v>
      </c>
      <c r="CF182" s="40662" t="s">
        <v>63</v>
      </c>
      <c r="CG182" s="40660">
        <v>66.84</v>
      </c>
      <c r="CH182" s="40660"/>
      <c r="CI182" s="40661"/>
      <c r="CJ182" s="40552">
        <v>46753.72009259259</v>
      </c>
      <c r="CK182" s="40662" t="s">
        <v>63</v>
      </c>
      <c r="CL182" s="40552">
        <v>46934.72038194445</v>
      </c>
      <c r="CM182" s="40662" t="s">
        <v>63</v>
      </c>
      <c r="CN182" s="40660">
        <v>71.34</v>
      </c>
      <c r="CO182" s="40660"/>
      <c r="CP182" s="40661"/>
      <c r="CQ182" s="40552">
        <v>46935.72068287037</v>
      </c>
      <c r="CR182" s="40662" t="s">
        <v>63</v>
      </c>
      <c r="CS182" s="40552">
        <v>47118.72087962963</v>
      </c>
      <c r="CT182" s="40663" t="s">
        <v>63</v>
      </c>
      <c r="CU182" s="40664"/>
      <c r="CV182" s="406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182" s="40655">
        <f>STRCHECKDATE(V183:CU183)</f>
      </c>
      <c r="CX182" s="40656"/>
      <c r="CY182" s="40656" t="str">
        <f>IF(T182="","",T182)</f>
        <v/>
      </c>
      <c r="CZ182" s="40656"/>
      <c r="DA182" s="40656"/>
      <c r="DB182" s="40657">
        <v>0</v>
      </c>
    </row>
    <row s="51877" customFormat="1" customHeight="1" ht="14.25">
      <c r="A183" s="40638"/>
      <c r="B183" s="40638"/>
      <c r="C183" s="40638"/>
      <c r="D183" s="40638"/>
      <c r="E183" s="40639"/>
      <c r="F183" s="40639"/>
      <c r="G183" s="40639"/>
      <c r="H183" s="40639"/>
      <c r="I183" s="40640"/>
      <c r="J183" s="40640" t="str">
        <f>I176&amp;".1"</f>
        <v>1.7.1.1.1</v>
      </c>
      <c r="K183" s="40641"/>
      <c r="L183" s="40642"/>
      <c r="M183" s="40643"/>
      <c r="N183" s="40643"/>
      <c r="O183" s="40643"/>
      <c r="P183" s="40644"/>
      <c r="Q183" s="40644"/>
      <c r="R183" s="40646"/>
      <c r="S183" s="40667"/>
      <c r="T183" s="40649"/>
      <c r="U183" s="40649"/>
      <c r="V183" s="40668"/>
      <c r="W183" s="40668"/>
      <c r="X183" s="40669" t="str">
        <f>Y182&amp;"-"&amp;AA182</f>
        <v>-</v>
      </c>
      <c r="Y183" s="40670"/>
      <c r="Z183" s="40662"/>
      <c r="AA183" s="40670"/>
      <c r="AB183" s="40662"/>
      <c r="AC183" s="40668"/>
      <c r="AD183" s="40668"/>
      <c r="AE183" s="40669" t="str">
        <f>AF182&amp;"-"&amp;AH182</f>
        <v>45292.71561342593-45473.71574074074</v>
      </c>
      <c r="AF183" s="40670"/>
      <c r="AG183" s="40662"/>
      <c r="AH183" s="40671"/>
      <c r="AI183" s="40662"/>
      <c r="AJ183" s="40668"/>
      <c r="AK183" s="40668"/>
      <c r="AL183" s="40669" t="str">
        <f>AM182&amp;"-"&amp;AO182</f>
        <v>45474.71587962963-45657.71597222222</v>
      </c>
      <c r="AM183" s="40670"/>
      <c r="AN183" s="40662"/>
      <c r="AO183" s="40670"/>
      <c r="AP183" s="40662"/>
      <c r="AQ183" s="40668"/>
      <c r="AR183" s="40668"/>
      <c r="AS183" s="40669" t="str">
        <f>AT182&amp;"-"&amp;AV182</f>
        <v>45658.71612268518-45838.71622685185</v>
      </c>
      <c r="AT183" s="40670"/>
      <c r="AU183" s="40662"/>
      <c r="AV183" s="40670"/>
      <c r="AW183" s="40662"/>
      <c r="AX183" s="40668"/>
      <c r="AY183" s="40668"/>
      <c r="AZ183" s="40669" t="str">
        <f>BA182&amp;"-"&amp;BC182</f>
        <v>45839.71640046296-46022.71655092593</v>
      </c>
      <c r="BA183" s="40670"/>
      <c r="BB183" s="40662"/>
      <c r="BC183" s="40670"/>
      <c r="BD183" s="40662"/>
      <c r="BE183" s="40668"/>
      <c r="BF183" s="40668"/>
      <c r="BG183" s="40669" t="str">
        <f>BH182&amp;"-"&amp;BJ182</f>
        <v>46023.71675925926-46203.71712962963</v>
      </c>
      <c r="BH183" s="40670"/>
      <c r="BI183" s="40662"/>
      <c r="BJ183" s="40670"/>
      <c r="BK183" s="40662"/>
      <c r="BL183" s="40668"/>
      <c r="BM183" s="40668"/>
      <c r="BN183" s="40669" t="str">
        <f>BO182&amp;"-"&amp;BQ182</f>
        <v>46204.717361111114-46387.71758101852</v>
      </c>
      <c r="BO183" s="40670"/>
      <c r="BP183" s="40662"/>
      <c r="BQ183" s="40670"/>
      <c r="BR183" s="40662"/>
      <c r="BS183" s="40668"/>
      <c r="BT183" s="40668"/>
      <c r="BU183" s="40669" t="str">
        <f>BV182&amp;"-"&amp;BX182</f>
        <v>46388.71855324074-46568.718726851854</v>
      </c>
      <c r="BV183" s="40670"/>
      <c r="BW183" s="40662"/>
      <c r="BX183" s="40670"/>
      <c r="BY183" s="40662"/>
      <c r="BZ183" s="40668"/>
      <c r="CA183" s="40668"/>
      <c r="CB183" s="40669" t="str">
        <f>CC182&amp;"-"&amp;CE182</f>
        <v>46388.7190162037-46752.71952546296</v>
      </c>
      <c r="CC183" s="40670"/>
      <c r="CD183" s="40662"/>
      <c r="CE183" s="40670"/>
      <c r="CF183" s="40662"/>
      <c r="CG183" s="40668"/>
      <c r="CH183" s="40668"/>
      <c r="CI183" s="40669" t="str">
        <f>CJ182&amp;"-"&amp;CL182</f>
        <v>46753.72009259259-46934.72038194445</v>
      </c>
      <c r="CJ183" s="40670"/>
      <c r="CK183" s="40662"/>
      <c r="CL183" s="40670"/>
      <c r="CM183" s="40662"/>
      <c r="CN183" s="40668"/>
      <c r="CO183" s="40668"/>
      <c r="CP183" s="40669" t="str">
        <f>CQ182&amp;"-"&amp;CS182</f>
        <v>46935.72068287037-47118.72087962963</v>
      </c>
      <c r="CQ183" s="40670"/>
      <c r="CR183" s="40662"/>
      <c r="CS183" s="40670"/>
      <c r="CT183" s="40663"/>
      <c r="CU183" s="40672"/>
      <c r="CV183" s="40665"/>
      <c r="CW183" s="40655"/>
      <c r="CX183" s="40656"/>
      <c r="CY183" s="40656" t="str">
        <f>IF(T183="","",T183)</f>
        <v/>
      </c>
      <c r="CZ183" s="40656"/>
      <c r="DA183" s="40656"/>
      <c r="DB183" s="40657">
        <v>0</v>
      </c>
    </row>
    <row s="51878" customFormat="1" customHeight="1" ht="21">
      <c r="A184" s="40638"/>
      <c r="B184" s="40638"/>
      <c r="C184" s="40638"/>
      <c r="D184" s="40638"/>
      <c r="E184" s="40639"/>
      <c r="F184" s="40639"/>
      <c r="G184" s="40639"/>
      <c r="H184" s="40639"/>
      <c r="I184" s="40640"/>
      <c r="J184" s="40641" t="str">
        <f>I176&amp;".1"</f>
        <v>1.7.1.1.1</v>
      </c>
      <c r="K184" s="40638"/>
      <c r="L184" s="40642"/>
      <c r="M184" s="40643"/>
      <c r="N184" s="40643"/>
      <c r="O184" s="40643"/>
      <c r="P184" s="40644"/>
      <c r="Q184" s="40644"/>
      <c r="R184" s="40674"/>
      <c r="S184" s="43048"/>
      <c r="T184" s="43049" t="s">
        <v>601</v>
      </c>
      <c r="U184" s="43050"/>
      <c r="V184" s="43051"/>
      <c r="W184" s="43052"/>
      <c r="X184" s="43053"/>
      <c r="Y184" s="43054"/>
      <c r="Z184" s="43055"/>
      <c r="AA184" s="43056"/>
      <c r="AB184" s="43057"/>
      <c r="AC184" s="43058"/>
      <c r="AD184" s="43059"/>
      <c r="AE184" s="43060"/>
      <c r="AF184" s="43061"/>
      <c r="AG184" s="43062"/>
      <c r="AH184" s="43063"/>
      <c r="AI184" s="43064"/>
      <c r="AJ184" s="43065"/>
      <c r="AK184" s="43066"/>
      <c r="AL184" s="43067"/>
      <c r="AM184" s="43068"/>
      <c r="AN184" s="43069"/>
      <c r="AO184" s="43070"/>
      <c r="AP184" s="43071"/>
      <c r="AQ184" s="43072"/>
      <c r="AR184" s="43073"/>
      <c r="AS184" s="43074"/>
      <c r="AT184" s="43075"/>
      <c r="AU184" s="43076"/>
      <c r="AV184" s="43077"/>
      <c r="AW184" s="43078"/>
      <c r="AX184" s="43079"/>
      <c r="AY184" s="43080"/>
      <c r="AZ184" s="43081"/>
      <c r="BA184" s="43082"/>
      <c r="BB184" s="43083"/>
      <c r="BC184" s="43084"/>
      <c r="BD184" s="43085"/>
      <c r="BE184" s="43086"/>
      <c r="BF184" s="43087"/>
      <c r="BG184" s="43088"/>
      <c r="BH184" s="43089"/>
      <c r="BI184" s="43090"/>
      <c r="BJ184" s="43091"/>
      <c r="BK184" s="43092"/>
      <c r="BL184" s="43093"/>
      <c r="BM184" s="43094"/>
      <c r="BN184" s="43095"/>
      <c r="BO184" s="43096"/>
      <c r="BP184" s="43097"/>
      <c r="BQ184" s="43098"/>
      <c r="BR184" s="43099"/>
      <c r="BS184" s="43100"/>
      <c r="BT184" s="43101"/>
      <c r="BU184" s="43102"/>
      <c r="BV184" s="43103"/>
      <c r="BW184" s="43104"/>
      <c r="BX184" s="43105"/>
      <c r="BY184" s="43106"/>
      <c r="BZ184" s="43107"/>
      <c r="CA184" s="43108"/>
      <c r="CB184" s="43109"/>
      <c r="CC184" s="43110"/>
      <c r="CD184" s="43111"/>
      <c r="CE184" s="43112"/>
      <c r="CF184" s="43113"/>
      <c r="CG184" s="43114"/>
      <c r="CH184" s="43115"/>
      <c r="CI184" s="43116"/>
      <c r="CJ184" s="43117"/>
      <c r="CK184" s="43118"/>
      <c r="CL184" s="43119"/>
      <c r="CM184" s="43120"/>
      <c r="CN184" s="43121"/>
      <c r="CO184" s="43122"/>
      <c r="CP184" s="43123"/>
      <c r="CQ184" s="43124"/>
      <c r="CR184" s="43125"/>
      <c r="CS184" s="43126"/>
      <c r="CT184" s="43127"/>
      <c r="CU184" s="43128"/>
      <c r="CV184" s="40756" t="s">
        <v>602</v>
      </c>
      <c r="CW184" s="40655"/>
      <c r="CX184" s="40656"/>
      <c r="CY184" s="40656" t="str">
        <f>IF(T184="","",T184)</f>
        <v>Добавить значение признака дифференциации</v>
      </c>
      <c r="CZ184" s="40656"/>
      <c r="DA184" s="40656"/>
      <c r="DB184" s="40657">
        <v>0</v>
      </c>
    </row>
    <row s="51960" customFormat="1" customHeight="1" ht="21">
      <c r="A185" s="16967"/>
      <c r="B185" s="16967"/>
      <c r="C185" s="16967"/>
      <c r="D185" s="16967"/>
      <c r="E185" s="16968"/>
      <c r="F185" s="16968" t="s">
        <v>94</v>
      </c>
      <c r="G185" s="16968"/>
      <c r="H185" s="16968"/>
      <c r="I185" s="16989"/>
      <c r="J185" s="16967"/>
      <c r="K185" s="16967"/>
      <c r="L185" s="16970"/>
      <c r="M185" s="16990"/>
      <c r="N185" s="16990"/>
      <c r="O185" s="16990"/>
      <c r="P185" s="16991"/>
      <c r="Q185" s="16991"/>
      <c r="R185" s="16992"/>
      <c r="S185" s="19208"/>
      <c r="T185" s="19209" t="s">
        <v>530</v>
      </c>
      <c r="U185" s="19210"/>
      <c r="V185" s="19211"/>
      <c r="W185" s="19212"/>
      <c r="X185" s="19213"/>
      <c r="Y185" s="19214"/>
      <c r="Z185" s="19215"/>
      <c r="AA185" s="19216"/>
      <c r="AB185" s="19217"/>
      <c r="AC185" s="19218"/>
      <c r="AD185" s="19219"/>
      <c r="AE185" s="19220"/>
      <c r="AF185" s="19221"/>
      <c r="AG185" s="19222"/>
      <c r="AH185" s="19223"/>
      <c r="AI185" s="19224"/>
      <c r="AJ185" s="19225"/>
      <c r="AK185" s="19226"/>
      <c r="AL185" s="19227"/>
      <c r="AM185" s="19228"/>
      <c r="AN185" s="19229"/>
      <c r="AO185" s="19230"/>
      <c r="AP185" s="19231"/>
      <c r="AQ185" s="19232"/>
      <c r="AR185" s="19233"/>
      <c r="AS185" s="19234"/>
      <c r="AT185" s="19235"/>
      <c r="AU185" s="19236"/>
      <c r="AV185" s="19237"/>
      <c r="AW185" s="19238"/>
      <c r="AX185" s="19239"/>
      <c r="AY185" s="19240"/>
      <c r="AZ185" s="19241"/>
      <c r="BA185" s="19242"/>
      <c r="BB185" s="19243"/>
      <c r="BC185" s="19244"/>
      <c r="BD185" s="19245"/>
      <c r="BE185" s="19246"/>
      <c r="BF185" s="19247"/>
      <c r="BG185" s="19248"/>
      <c r="BH185" s="19249"/>
      <c r="BI185" s="19250"/>
      <c r="BJ185" s="19251"/>
      <c r="BK185" s="19252"/>
      <c r="BL185" s="19253"/>
      <c r="BM185" s="19254"/>
      <c r="BN185" s="19255"/>
      <c r="BO185" s="19256"/>
      <c r="BP185" s="19257"/>
      <c r="BQ185" s="19258"/>
      <c r="BR185" s="19259"/>
      <c r="BS185" s="19260"/>
      <c r="BT185" s="19261"/>
      <c r="BU185" s="19262"/>
      <c r="BV185" s="19263"/>
      <c r="BW185" s="19264"/>
      <c r="BX185" s="19265"/>
      <c r="BY185" s="19266"/>
      <c r="BZ185" s="19267"/>
      <c r="CA185" s="19268"/>
      <c r="CB185" s="19269"/>
      <c r="CC185" s="19270"/>
      <c r="CD185" s="19271"/>
      <c r="CE185" s="19272"/>
      <c r="CF185" s="19273"/>
      <c r="CG185" s="19274"/>
      <c r="CH185" s="19275"/>
      <c r="CI185" s="19276"/>
      <c r="CJ185" s="19277"/>
      <c r="CK185" s="19278"/>
      <c r="CL185" s="19279"/>
      <c r="CM185" s="19280"/>
      <c r="CN185" s="26770"/>
      <c r="CO185" s="26771"/>
      <c r="CP185" s="26772"/>
      <c r="CQ185" s="26773"/>
      <c r="CR185" s="26774"/>
      <c r="CS185" s="26775"/>
      <c r="CT185" s="26776"/>
      <c r="CU185" s="19281"/>
      <c r="CV185" s="19282"/>
      <c r="CW185" s="16982"/>
      <c r="CX185" s="16983"/>
      <c r="CY185" s="16983" t="str">
        <f>IF(T185="","",T185)</f>
        <v>Добавить группу потребителей</v>
      </c>
      <c r="CZ185" s="16983"/>
      <c r="DA185" s="16983"/>
      <c r="DB185" s="16984">
        <v>0</v>
      </c>
    </row>
    <row s="52043" customFormat="1" customHeight="1" ht="21">
      <c r="A186" s="16967"/>
      <c r="B186" s="16967"/>
      <c r="C186" s="16967"/>
      <c r="D186" s="16967"/>
      <c r="E186" s="16968"/>
      <c r="F186" s="16968" t="s">
        <v>94</v>
      </c>
      <c r="G186" s="16968"/>
      <c r="H186" s="16969"/>
      <c r="I186" s="16967"/>
      <c r="J186" s="16967"/>
      <c r="K186" s="16967"/>
      <c r="L186" s="16970"/>
      <c r="M186" s="16971"/>
      <c r="N186" s="16971"/>
      <c r="O186" s="17174"/>
      <c r="P186" s="17175"/>
      <c r="Q186" s="17176"/>
      <c r="R186" s="17177"/>
      <c r="S186" s="19284"/>
      <c r="T186" s="19285" t="s">
        <v>603</v>
      </c>
      <c r="U186" s="19286"/>
      <c r="V186" s="19287"/>
      <c r="W186" s="19288"/>
      <c r="X186" s="19289"/>
      <c r="Y186" s="19290"/>
      <c r="Z186" s="19291"/>
      <c r="AA186" s="19292"/>
      <c r="AB186" s="19293"/>
      <c r="AC186" s="19294"/>
      <c r="AD186" s="19295"/>
      <c r="AE186" s="19296"/>
      <c r="AF186" s="19297"/>
      <c r="AG186" s="19298"/>
      <c r="AH186" s="19299"/>
      <c r="AI186" s="19300"/>
      <c r="AJ186" s="19301"/>
      <c r="AK186" s="19302"/>
      <c r="AL186" s="19303"/>
      <c r="AM186" s="19304"/>
      <c r="AN186" s="19305"/>
      <c r="AO186" s="19306"/>
      <c r="AP186" s="19307"/>
      <c r="AQ186" s="19308"/>
      <c r="AR186" s="19309"/>
      <c r="AS186" s="19310"/>
      <c r="AT186" s="19311"/>
      <c r="AU186" s="19312"/>
      <c r="AV186" s="19313"/>
      <c r="AW186" s="19314"/>
      <c r="AX186" s="19315"/>
      <c r="AY186" s="19316"/>
      <c r="AZ186" s="19317"/>
      <c r="BA186" s="19318"/>
      <c r="BB186" s="19319"/>
      <c r="BC186" s="19320"/>
      <c r="BD186" s="19321"/>
      <c r="BE186" s="19322"/>
      <c r="BF186" s="19323"/>
      <c r="BG186" s="19324"/>
      <c r="BH186" s="19325"/>
      <c r="BI186" s="19326"/>
      <c r="BJ186" s="19327"/>
      <c r="BK186" s="19328"/>
      <c r="BL186" s="19329"/>
      <c r="BM186" s="19330"/>
      <c r="BN186" s="19331"/>
      <c r="BO186" s="19332"/>
      <c r="BP186" s="19333"/>
      <c r="BQ186" s="19334"/>
      <c r="BR186" s="19335"/>
      <c r="BS186" s="19336"/>
      <c r="BT186" s="19337"/>
      <c r="BU186" s="19338"/>
      <c r="BV186" s="19339"/>
      <c r="BW186" s="19340"/>
      <c r="BX186" s="19341"/>
      <c r="BY186" s="19342"/>
      <c r="BZ186" s="19343"/>
      <c r="CA186" s="19344"/>
      <c r="CB186" s="19345"/>
      <c r="CC186" s="19346"/>
      <c r="CD186" s="19347"/>
      <c r="CE186" s="19348"/>
      <c r="CF186" s="19349"/>
      <c r="CG186" s="19350"/>
      <c r="CH186" s="19351"/>
      <c r="CI186" s="19352"/>
      <c r="CJ186" s="19353"/>
      <c r="CK186" s="19354"/>
      <c r="CL186" s="19355"/>
      <c r="CM186" s="19356"/>
      <c r="CN186" s="26853"/>
      <c r="CO186" s="26854"/>
      <c r="CP186" s="26855"/>
      <c r="CQ186" s="26856"/>
      <c r="CR186" s="26857"/>
      <c r="CS186" s="26858"/>
      <c r="CT186" s="26859"/>
      <c r="CU186" s="19357"/>
      <c r="CV186" s="19358"/>
      <c r="CW186" s="16982"/>
      <c r="CX186" s="16983"/>
      <c r="CY186" s="16983" t="str">
        <f>IF(T186="","",T186)</f>
        <v>Добавить наименование признака дифференциации</v>
      </c>
      <c r="CZ186" s="16983"/>
      <c r="DA186" s="16983"/>
      <c r="DB186" s="16984">
        <v>0</v>
      </c>
    </row>
    <row s="52126" customFormat="1" customHeight="1" ht="14.25">
      <c r="A187" s="17254"/>
      <c r="B187" s="17254"/>
      <c r="C187" s="17254"/>
      <c r="D187" s="17254"/>
      <c r="E187" s="16968"/>
      <c r="F187" s="16969" t="s">
        <v>94</v>
      </c>
      <c r="G187" s="17254"/>
      <c r="H187" s="17254"/>
      <c r="I187" s="17254"/>
      <c r="J187" s="17254"/>
      <c r="K187" s="17254"/>
      <c r="L187" s="17255"/>
      <c r="M187" s="17256"/>
      <c r="N187" s="17256"/>
      <c r="O187" s="16982"/>
      <c r="P187" s="17257"/>
      <c r="Q187" s="17258"/>
      <c r="R187" s="17257"/>
      <c r="S187" s="17259"/>
      <c r="T187" s="17260" t="s">
        <v>321</v>
      </c>
      <c r="U187" s="17261"/>
      <c r="V187" s="17261"/>
      <c r="W187" s="17261"/>
      <c r="X187" s="17261"/>
      <c r="Y187" s="17261"/>
      <c r="Z187" s="17261"/>
      <c r="AA187" s="17261"/>
      <c r="AB187" s="17261"/>
      <c r="AC187" s="17261"/>
      <c r="AD187" s="17261"/>
      <c r="AE187" s="17261"/>
      <c r="AF187" s="17261"/>
      <c r="AG187" s="17261"/>
      <c r="AH187" s="17261"/>
      <c r="AI187" s="17261"/>
      <c r="AJ187" s="17261"/>
      <c r="AK187" s="17261"/>
      <c r="AL187" s="17261"/>
      <c r="AM187" s="17261"/>
      <c r="AN187" s="17261"/>
      <c r="AO187" s="17261"/>
      <c r="AP187" s="17261"/>
      <c r="AQ187" s="17261"/>
      <c r="AR187" s="17261"/>
      <c r="AS187" s="17261"/>
      <c r="AT187" s="17261"/>
      <c r="AU187" s="17261"/>
      <c r="AV187" s="17261"/>
      <c r="AW187" s="17261"/>
      <c r="AX187" s="17261"/>
      <c r="AY187" s="17261"/>
      <c r="AZ187" s="17261"/>
      <c r="BA187" s="17261"/>
      <c r="BB187" s="17261"/>
      <c r="BC187" s="17261"/>
      <c r="BD187" s="17261"/>
      <c r="BE187" s="17261"/>
      <c r="BF187" s="17261"/>
      <c r="BG187" s="17261"/>
      <c r="BH187" s="17261"/>
      <c r="BI187" s="17261"/>
      <c r="BJ187" s="17261"/>
      <c r="BK187" s="17261"/>
      <c r="BL187" s="17261"/>
      <c r="BM187" s="17261"/>
      <c r="BN187" s="17261"/>
      <c r="BO187" s="17261"/>
      <c r="BP187" s="17261"/>
      <c r="BQ187" s="17261"/>
      <c r="BR187" s="17261"/>
      <c r="BS187" s="17261"/>
      <c r="BT187" s="17261"/>
      <c r="BU187" s="17261"/>
      <c r="BV187" s="17261"/>
      <c r="BW187" s="17261"/>
      <c r="BX187" s="17261"/>
      <c r="BY187" s="17261"/>
      <c r="BZ187" s="17261"/>
      <c r="CA187" s="17261"/>
      <c r="CB187" s="17261"/>
      <c r="CC187" s="17261"/>
      <c r="CD187" s="17261"/>
      <c r="CE187" s="17261"/>
      <c r="CF187" s="17261"/>
      <c r="CG187" s="17261"/>
      <c r="CH187" s="17261"/>
      <c r="CI187" s="17261"/>
      <c r="CJ187" s="17261"/>
      <c r="CK187" s="17261"/>
      <c r="CL187" s="17261"/>
      <c r="CM187" s="17261"/>
      <c r="CN187" s="23902"/>
      <c r="CO187" s="23902"/>
      <c r="CP187" s="23902"/>
      <c r="CQ187" s="23902"/>
      <c r="CR187" s="23902"/>
      <c r="CS187" s="23902"/>
      <c r="CT187" s="23902"/>
      <c r="CU187" s="17261"/>
      <c r="CV187" s="17261"/>
      <c r="CW187" s="16982"/>
      <c r="CX187" s="16983"/>
      <c r="CY187" s="16983" t="str">
        <f>IF(T187="","",T187)</f>
        <v>Добавить централизованную систему для дифференциации</v>
      </c>
      <c r="CZ187" s="16983"/>
      <c r="DA187" s="16983"/>
      <c r="DB187" s="16982">
        <v>0</v>
      </c>
    </row>
    <row s="52127" customFormat="1" customHeight="1" ht="23.25">
      <c r="A188" s="16967"/>
      <c r="B188" s="16967" t="s">
        <v>359</v>
      </c>
      <c r="C188" s="16967"/>
      <c r="D188" s="16967"/>
      <c r="E188" s="16968"/>
      <c r="F188" s="16969" t="s">
        <v>134</v>
      </c>
      <c r="G188" s="16967"/>
      <c r="H188" s="16967"/>
      <c r="I188" s="16967"/>
      <c r="J188" s="16967"/>
      <c r="K188" s="16967"/>
      <c r="L188" s="16970"/>
      <c r="M188" s="16971"/>
      <c r="N188" s="16971"/>
      <c r="O188" s="16971"/>
      <c r="P188" s="16972"/>
      <c r="Q188" s="16973"/>
      <c r="R188" s="16974"/>
      <c r="S188" s="16975" t="str">
        <f>INDEX(PT_DIFFERENTIATION_NUM_TER,MATCH(B188,PT_DIFFERENTIATION_TER_ID,0))</f>
        <v>1.8</v>
      </c>
      <c r="T188" s="16976" t="s">
        <v>515</v>
      </c>
      <c r="U188" s="16977"/>
      <c r="V188" s="16978"/>
      <c r="W188" s="16979"/>
      <c r="X188" s="16979"/>
      <c r="Y188" s="16979"/>
      <c r="Z188" s="16979"/>
      <c r="AA188" s="16979"/>
      <c r="AB188" s="16980"/>
      <c r="AC188" s="16978" t="str">
        <f>INDEX(PT_DIFFERENTIATION_TER,MATCH(B188,PT_DIFFERENTIATION_TER_ID,0))</f>
        <v>Территория 8</v>
      </c>
      <c r="AD188" s="16979"/>
      <c r="AE188" s="16979"/>
      <c r="AF188" s="16979"/>
      <c r="AG188" s="16979"/>
      <c r="AH188" s="16979"/>
      <c r="AI188" s="16979"/>
      <c r="AJ188" s="16978"/>
      <c r="AK188" s="16979"/>
      <c r="AL188" s="16979"/>
      <c r="AM188" s="16979"/>
      <c r="AN188" s="16979"/>
      <c r="AO188" s="16979"/>
      <c r="AP188" s="16980"/>
      <c r="AQ188" s="16978"/>
      <c r="AR188" s="16979"/>
      <c r="AS188" s="16979"/>
      <c r="AT188" s="16979"/>
      <c r="AU188" s="16979"/>
      <c r="AV188" s="16979"/>
      <c r="AW188" s="16980"/>
      <c r="AX188" s="16978"/>
      <c r="AY188" s="16979"/>
      <c r="AZ188" s="16979"/>
      <c r="BA188" s="16979"/>
      <c r="BB188" s="16979"/>
      <c r="BC188" s="16979"/>
      <c r="BD188" s="16980"/>
      <c r="BE188" s="16978"/>
      <c r="BF188" s="16979"/>
      <c r="BG188" s="16979"/>
      <c r="BH188" s="16979"/>
      <c r="BI188" s="16979"/>
      <c r="BJ188" s="16979"/>
      <c r="BK188" s="16980"/>
      <c r="BL188" s="16978"/>
      <c r="BM188" s="16979"/>
      <c r="BN188" s="16979"/>
      <c r="BO188" s="16979"/>
      <c r="BP188" s="16979"/>
      <c r="BQ188" s="16979"/>
      <c r="BR188" s="16980"/>
      <c r="BS188" s="16978"/>
      <c r="BT188" s="16979"/>
      <c r="BU188" s="16979"/>
      <c r="BV188" s="16979"/>
      <c r="BW188" s="16979"/>
      <c r="BX188" s="16979"/>
      <c r="BY188" s="16980"/>
      <c r="BZ188" s="16978"/>
      <c r="CA188" s="16979"/>
      <c r="CB188" s="16979"/>
      <c r="CC188" s="16979"/>
      <c r="CD188" s="16979"/>
      <c r="CE188" s="16979"/>
      <c r="CF188" s="16980"/>
      <c r="CG188" s="16978"/>
      <c r="CH188" s="16979"/>
      <c r="CI188" s="16979"/>
      <c r="CJ188" s="16979"/>
      <c r="CK188" s="16979"/>
      <c r="CL188" s="16979"/>
      <c r="CM188" s="16980"/>
      <c r="CN188" s="23679"/>
      <c r="CO188" s="23680"/>
      <c r="CP188" s="23680"/>
      <c r="CQ188" s="23680"/>
      <c r="CR188" s="23680"/>
      <c r="CS188" s="23680"/>
      <c r="CT188" s="23681"/>
      <c r="CU188" s="16980"/>
      <c r="CV188" s="16981" t="s">
        <v>516</v>
      </c>
      <c r="CW188" s="16982"/>
      <c r="CX188" s="16983"/>
      <c r="CY188" s="16983" t="str">
        <f>IF(T188="","",T188)</f>
        <v>Территория действия тарифа</v>
      </c>
      <c r="CZ188" s="16983"/>
      <c r="DA188" s="16983"/>
      <c r="DB188" s="16984">
        <v>0</v>
      </c>
    </row>
    <row s="52128" customFormat="1" customHeight="1" ht="23.25">
      <c r="A189" s="16967"/>
      <c r="B189" s="16967"/>
      <c r="C189" s="16967" t="s">
        <v>360</v>
      </c>
      <c r="D189" s="16967"/>
      <c r="E189" s="16968"/>
      <c r="F189" s="16968" t="s">
        <v>95</v>
      </c>
      <c r="G189" s="16969">
        <v>1</v>
      </c>
      <c r="H189" s="16967"/>
      <c r="I189" s="16967"/>
      <c r="J189" s="16967"/>
      <c r="K189" s="16967"/>
      <c r="L189" s="16970"/>
      <c r="M189" s="16971"/>
      <c r="N189" s="16971"/>
      <c r="O189" s="16971"/>
      <c r="P189" s="16986"/>
      <c r="Q189" s="16973"/>
      <c r="R189" s="16974"/>
      <c r="S189" s="16975" t="str">
        <f>INDEX(PT_DIFFERENTIATION_NUM_CS,MATCH(C189,PT_DIFFERENTIATION_CS_ID,0))</f>
        <v>1.8.1</v>
      </c>
      <c r="T189" s="16987" t="s">
        <v>631</v>
      </c>
      <c r="U189" s="16977"/>
      <c r="V189" s="16978"/>
      <c r="W189" s="16979"/>
      <c r="X189" s="16979"/>
      <c r="Y189" s="16979"/>
      <c r="Z189" s="16979"/>
      <c r="AA189" s="16979"/>
      <c r="AB189" s="16980"/>
      <c r="AC189" s="16978" t="str">
        <f>INDEX(PT_DIFFERENTIATION_CS,MATCH(C189,PT_DIFFERENTIATION_CS_ID,0))</f>
        <v>с. Черниговка</v>
      </c>
      <c r="AD189" s="16979"/>
      <c r="AE189" s="16979"/>
      <c r="AF189" s="16979"/>
      <c r="AG189" s="16979"/>
      <c r="AH189" s="16979"/>
      <c r="AI189" s="16979"/>
      <c r="AJ189" s="16978"/>
      <c r="AK189" s="16979"/>
      <c r="AL189" s="16979"/>
      <c r="AM189" s="16979"/>
      <c r="AN189" s="16979"/>
      <c r="AO189" s="16979"/>
      <c r="AP189" s="16980"/>
      <c r="AQ189" s="16978"/>
      <c r="AR189" s="16979"/>
      <c r="AS189" s="16979"/>
      <c r="AT189" s="16979"/>
      <c r="AU189" s="16979"/>
      <c r="AV189" s="16979"/>
      <c r="AW189" s="16980"/>
      <c r="AX189" s="16978"/>
      <c r="AY189" s="16979"/>
      <c r="AZ189" s="16979"/>
      <c r="BA189" s="16979"/>
      <c r="BB189" s="16979"/>
      <c r="BC189" s="16979"/>
      <c r="BD189" s="16980"/>
      <c r="BE189" s="16978"/>
      <c r="BF189" s="16979"/>
      <c r="BG189" s="16979"/>
      <c r="BH189" s="16979"/>
      <c r="BI189" s="16979"/>
      <c r="BJ189" s="16979"/>
      <c r="BK189" s="16980"/>
      <c r="BL189" s="16978"/>
      <c r="BM189" s="16979"/>
      <c r="BN189" s="16979"/>
      <c r="BO189" s="16979"/>
      <c r="BP189" s="16979"/>
      <c r="BQ189" s="16979"/>
      <c r="BR189" s="16980"/>
      <c r="BS189" s="16978"/>
      <c r="BT189" s="16979"/>
      <c r="BU189" s="16979"/>
      <c r="BV189" s="16979"/>
      <c r="BW189" s="16979"/>
      <c r="BX189" s="16979"/>
      <c r="BY189" s="16980"/>
      <c r="BZ189" s="16978"/>
      <c r="CA189" s="16979"/>
      <c r="CB189" s="16979"/>
      <c r="CC189" s="16979"/>
      <c r="CD189" s="16979"/>
      <c r="CE189" s="16979"/>
      <c r="CF189" s="16980"/>
      <c r="CG189" s="16978"/>
      <c r="CH189" s="16979"/>
      <c r="CI189" s="16979"/>
      <c r="CJ189" s="16979"/>
      <c r="CK189" s="16979"/>
      <c r="CL189" s="16979"/>
      <c r="CM189" s="16980"/>
      <c r="CN189" s="23679"/>
      <c r="CO189" s="23680"/>
      <c r="CP189" s="23680"/>
      <c r="CQ189" s="23680"/>
      <c r="CR189" s="23680"/>
      <c r="CS189" s="23680"/>
      <c r="CT189" s="23681"/>
      <c r="CU189" s="16980"/>
      <c r="CV189" s="16981" t="s">
        <v>632</v>
      </c>
      <c r="CW189" s="16982"/>
      <c r="CX189" s="16983"/>
      <c r="CY189" s="16983" t="str">
        <f>IF(T189="","",T189)</f>
        <v>Наименование централизованной системы водоотведения</v>
      </c>
      <c r="CZ189" s="16983"/>
      <c r="DA189" s="16983"/>
      <c r="DB189" s="16984">
        <v>0</v>
      </c>
    </row>
    <row s="52129" customFormat="1" customHeight="1" ht="23.25">
      <c r="A190" s="16967"/>
      <c r="B190" s="16967"/>
      <c r="C190" s="16967"/>
      <c r="D190" s="16967"/>
      <c r="E190" s="16968"/>
      <c r="F190" s="16968" t="s">
        <v>95</v>
      </c>
      <c r="G190" s="16968"/>
      <c r="H190" s="16968"/>
      <c r="I190" s="16989" t="str">
        <f>S189&amp;".1"</f>
        <v>1.8.1.1</v>
      </c>
      <c r="J190" s="16967"/>
      <c r="K190" s="16967"/>
      <c r="L190" s="16970"/>
      <c r="M190" s="16990"/>
      <c r="N190" s="16990"/>
      <c r="O190" s="16990"/>
      <c r="P190" s="16991">
        <v>1</v>
      </c>
      <c r="Q190" s="16991"/>
      <c r="R190" s="16992"/>
      <c r="S190" s="16975" t="str">
        <f>$I190</f>
        <v>1.8.1.1</v>
      </c>
      <c r="T190" s="16993" t="s">
        <v>598</v>
      </c>
      <c r="U190" s="16977"/>
      <c r="V190" s="16994"/>
      <c r="W190" s="16995"/>
      <c r="X190" s="16995"/>
      <c r="Y190" s="16995"/>
      <c r="Z190" s="16995"/>
      <c r="AA190" s="16995"/>
      <c r="AB190" s="16996"/>
      <c r="AC190" s="16997"/>
      <c r="AD190" s="16998"/>
      <c r="AE190" s="16998"/>
      <c r="AF190" s="16998"/>
      <c r="AG190" s="16998"/>
      <c r="AH190" s="16998"/>
      <c r="AI190" s="16998"/>
      <c r="AJ190" s="16994"/>
      <c r="AK190" s="16995"/>
      <c r="AL190" s="16995"/>
      <c r="AM190" s="16995"/>
      <c r="AN190" s="16995"/>
      <c r="AO190" s="16995"/>
      <c r="AP190" s="16996"/>
      <c r="AQ190" s="16994"/>
      <c r="AR190" s="16995"/>
      <c r="AS190" s="16995"/>
      <c r="AT190" s="16995"/>
      <c r="AU190" s="16995"/>
      <c r="AV190" s="16995"/>
      <c r="AW190" s="16996"/>
      <c r="AX190" s="16994"/>
      <c r="AY190" s="16995"/>
      <c r="AZ190" s="16995"/>
      <c r="BA190" s="16995"/>
      <c r="BB190" s="16995"/>
      <c r="BC190" s="16995"/>
      <c r="BD190" s="16996"/>
      <c r="BE190" s="16994"/>
      <c r="BF190" s="16995"/>
      <c r="BG190" s="16995"/>
      <c r="BH190" s="16995"/>
      <c r="BI190" s="16995"/>
      <c r="BJ190" s="16995"/>
      <c r="BK190" s="16996"/>
      <c r="BL190" s="16994"/>
      <c r="BM190" s="16995"/>
      <c r="BN190" s="16995"/>
      <c r="BO190" s="16995"/>
      <c r="BP190" s="16995"/>
      <c r="BQ190" s="16995"/>
      <c r="BR190" s="16996"/>
      <c r="BS190" s="16994"/>
      <c r="BT190" s="16995"/>
      <c r="BU190" s="16995"/>
      <c r="BV190" s="16995"/>
      <c r="BW190" s="16995"/>
      <c r="BX190" s="16995"/>
      <c r="BY190" s="16996"/>
      <c r="BZ190" s="16994"/>
      <c r="CA190" s="16995"/>
      <c r="CB190" s="16995"/>
      <c r="CC190" s="16995"/>
      <c r="CD190" s="16995"/>
      <c r="CE190" s="16995"/>
      <c r="CF190" s="16996"/>
      <c r="CG190" s="16994"/>
      <c r="CH190" s="16995"/>
      <c r="CI190" s="16995"/>
      <c r="CJ190" s="16995"/>
      <c r="CK190" s="16995"/>
      <c r="CL190" s="16995"/>
      <c r="CM190" s="16996"/>
      <c r="CN190" s="23687"/>
      <c r="CO190" s="23688"/>
      <c r="CP190" s="23688"/>
      <c r="CQ190" s="23688"/>
      <c r="CR190" s="23688"/>
      <c r="CS190" s="23688"/>
      <c r="CT190" s="23689"/>
      <c r="CU190" s="16999"/>
      <c r="CV190" s="16981" t="s">
        <v>599</v>
      </c>
      <c r="CW190" s="16982"/>
      <c r="CX190" s="16983"/>
      <c r="CY190" s="16983" t="str">
        <f>IF(T190="","",T190)</f>
        <v>Наименование признака дифференциации</v>
      </c>
      <c r="CZ190" s="16983"/>
      <c r="DA190" s="16983"/>
      <c r="DB190" s="16984">
        <v>0</v>
      </c>
    </row>
    <row s="52130" customFormat="1" customHeight="1" ht="23.25">
      <c r="A191" s="16967"/>
      <c r="B191" s="16967"/>
      <c r="C191" s="16967"/>
      <c r="D191" s="16967"/>
      <c r="E191" s="16968"/>
      <c r="F191" s="16968" t="s">
        <v>95</v>
      </c>
      <c r="G191" s="16968"/>
      <c r="H191" s="16968"/>
      <c r="I191" s="17001"/>
      <c r="J191" s="16989" t="str">
        <f>I190&amp;".1"</f>
        <v>1.8.1.1.1</v>
      </c>
      <c r="K191" s="16967"/>
      <c r="L191" s="16970" t="s">
        <v>524</v>
      </c>
      <c r="M191" s="16990"/>
      <c r="N191" s="16990"/>
      <c r="O191" s="16990"/>
      <c r="P191" s="16991"/>
      <c r="Q191" s="16991">
        <v>1</v>
      </c>
      <c r="R191" s="17002"/>
      <c r="S191" s="16975" t="str">
        <f>$J191</f>
        <v>1.8.1.1.1</v>
      </c>
      <c r="T191" s="17003" t="s">
        <v>525</v>
      </c>
      <c r="U191" s="16977"/>
      <c r="V191" s="17004"/>
      <c r="W191" s="17005"/>
      <c r="X191" s="17005"/>
      <c r="Y191" s="17005"/>
      <c r="Z191" s="17005"/>
      <c r="AA191" s="17005"/>
      <c r="AB191" s="17006"/>
      <c r="AC191" s="17004" t="s">
        <v>636</v>
      </c>
      <c r="AD191" s="17005"/>
      <c r="AE191" s="17005"/>
      <c r="AF191" s="17005"/>
      <c r="AG191" s="17005"/>
      <c r="AH191" s="17005"/>
      <c r="AI191" s="17005"/>
      <c r="AJ191" s="17004"/>
      <c r="AK191" s="17005"/>
      <c r="AL191" s="17005"/>
      <c r="AM191" s="17005"/>
      <c r="AN191" s="17005"/>
      <c r="AO191" s="17005"/>
      <c r="AP191" s="17006"/>
      <c r="AQ191" s="17004"/>
      <c r="AR191" s="17005"/>
      <c r="AS191" s="17005"/>
      <c r="AT191" s="17005"/>
      <c r="AU191" s="17005"/>
      <c r="AV191" s="17005"/>
      <c r="AW191" s="17006"/>
      <c r="AX191" s="17004"/>
      <c r="AY191" s="17005"/>
      <c r="AZ191" s="17005"/>
      <c r="BA191" s="17005"/>
      <c r="BB191" s="17005"/>
      <c r="BC191" s="17005"/>
      <c r="BD191" s="17006"/>
      <c r="BE191" s="17004"/>
      <c r="BF191" s="17005"/>
      <c r="BG191" s="17005"/>
      <c r="BH191" s="17005"/>
      <c r="BI191" s="17005"/>
      <c r="BJ191" s="17005"/>
      <c r="BK191" s="17006"/>
      <c r="BL191" s="17004"/>
      <c r="BM191" s="17005"/>
      <c r="BN191" s="17005"/>
      <c r="BO191" s="17005"/>
      <c r="BP191" s="17005"/>
      <c r="BQ191" s="17005"/>
      <c r="BR191" s="17006"/>
      <c r="BS191" s="17004"/>
      <c r="BT191" s="17005"/>
      <c r="BU191" s="17005"/>
      <c r="BV191" s="17005"/>
      <c r="BW191" s="17005"/>
      <c r="BX191" s="17005"/>
      <c r="BY191" s="17006"/>
      <c r="BZ191" s="17004"/>
      <c r="CA191" s="17005"/>
      <c r="CB191" s="17005"/>
      <c r="CC191" s="17005"/>
      <c r="CD191" s="17005"/>
      <c r="CE191" s="17005"/>
      <c r="CF191" s="17006"/>
      <c r="CG191" s="17004"/>
      <c r="CH191" s="17005"/>
      <c r="CI191" s="17005"/>
      <c r="CJ191" s="17005"/>
      <c r="CK191" s="17005"/>
      <c r="CL191" s="17005"/>
      <c r="CM191" s="17006"/>
      <c r="CN191" s="23693"/>
      <c r="CO191" s="23694"/>
      <c r="CP191" s="23694"/>
      <c r="CQ191" s="23694"/>
      <c r="CR191" s="23694"/>
      <c r="CS191" s="23694"/>
      <c r="CT191" s="23695"/>
      <c r="CU191" s="17006"/>
      <c r="CV191" s="17007" t="s">
        <v>600</v>
      </c>
      <c r="CW191" s="16982"/>
      <c r="CX191" s="16983"/>
      <c r="CY191" s="16983" t="str">
        <f>IF(T191="","",T191)</f>
        <v>Группа потребителей</v>
      </c>
      <c r="CZ191" s="16983"/>
      <c r="DA191" s="16983"/>
      <c r="DB191" s="16984">
        <v>0</v>
      </c>
    </row>
    <row s="52131" customFormat="1" customHeight="1" ht="23.25">
      <c r="A192" s="16967"/>
      <c r="B192" s="16967"/>
      <c r="C192" s="16967"/>
      <c r="D192" s="16967"/>
      <c r="E192" s="16968"/>
      <c r="F192" s="16968" t="s">
        <v>95</v>
      </c>
      <c r="G192" s="16968"/>
      <c r="H192" s="16968"/>
      <c r="I192" s="17001"/>
      <c r="J192" s="17001"/>
      <c r="K192" s="16989" t="str">
        <f>J191&amp;".1"</f>
        <v>1.8.1.1.1.1</v>
      </c>
      <c r="L192" s="16970"/>
      <c r="M192" s="16990"/>
      <c r="N192" s="16990"/>
      <c r="O192" s="16990"/>
      <c r="P192" s="16991"/>
      <c r="Q192" s="16991"/>
      <c r="R192" s="17002">
        <v>1</v>
      </c>
      <c r="S192" s="16975" t="str">
        <f>$K192</f>
        <v>1.8.1.1.1.1</v>
      </c>
      <c r="T192" s="17009"/>
      <c r="U192" s="16977"/>
      <c r="V192" s="17010"/>
      <c r="W192" s="17010"/>
      <c r="X192" s="17011"/>
      <c r="Y192" s="16696"/>
      <c r="Z192" s="17012" t="s">
        <v>63</v>
      </c>
      <c r="AA192" s="16696"/>
      <c r="AB192" s="17012" t="s">
        <v>63</v>
      </c>
      <c r="AC192" s="17010">
        <v>36.84</v>
      </c>
      <c r="AD192" s="17010"/>
      <c r="AE192" s="17011"/>
      <c r="AF192" s="40552">
        <v>45292.72565972222</v>
      </c>
      <c r="AG192" s="17012" t="s">
        <v>63</v>
      </c>
      <c r="AH192" s="40553">
        <v>45473.72586805555</v>
      </c>
      <c r="AI192" s="17012" t="s">
        <v>63</v>
      </c>
      <c r="AJ192" s="17010">
        <v>47.89</v>
      </c>
      <c r="AK192" s="17010"/>
      <c r="AL192" s="17011"/>
      <c r="AM192" s="40552">
        <v>45474.72615740741</v>
      </c>
      <c r="AN192" s="17012" t="s">
        <v>63</v>
      </c>
      <c r="AO192" s="40552">
        <v>45657.726319444446</v>
      </c>
      <c r="AP192" s="17012" t="s">
        <v>63</v>
      </c>
      <c r="AQ192" s="17010">
        <v>47.89</v>
      </c>
      <c r="AR192" s="17010"/>
      <c r="AS192" s="17011"/>
      <c r="AT192" s="40552">
        <v>45658.72646990741</v>
      </c>
      <c r="AU192" s="17012" t="s">
        <v>63</v>
      </c>
      <c r="AV192" s="40552">
        <v>45838.72662037037</v>
      </c>
      <c r="AW192" s="17012" t="s">
        <v>63</v>
      </c>
      <c r="AX192" s="17010">
        <v>59.39</v>
      </c>
      <c r="AY192" s="17010"/>
      <c r="AZ192" s="17011"/>
      <c r="BA192" s="40552">
        <v>45839.72688657408</v>
      </c>
      <c r="BB192" s="17012" t="s">
        <v>63</v>
      </c>
      <c r="BC192" s="40552">
        <v>46022.727164351854</v>
      </c>
      <c r="BD192" s="17012" t="s">
        <v>63</v>
      </c>
      <c r="BE192" s="17010">
        <v>59.39</v>
      </c>
      <c r="BF192" s="17010"/>
      <c r="BG192" s="17011"/>
      <c r="BH192" s="40552">
        <v>46023.727326388886</v>
      </c>
      <c r="BI192" s="17012" t="s">
        <v>63</v>
      </c>
      <c r="BJ192" s="40552">
        <v>46203.72746527778</v>
      </c>
      <c r="BK192" s="17012" t="s">
        <v>63</v>
      </c>
      <c r="BL192" s="17010">
        <v>61.18</v>
      </c>
      <c r="BM192" s="17010"/>
      <c r="BN192" s="17011"/>
      <c r="BO192" s="40552">
        <v>46204.72777777778</v>
      </c>
      <c r="BP192" s="17012" t="s">
        <v>63</v>
      </c>
      <c r="BQ192" s="40552">
        <v>46387.72800925926</v>
      </c>
      <c r="BR192" s="17012" t="s">
        <v>63</v>
      </c>
      <c r="BS192" s="17010">
        <v>61.18</v>
      </c>
      <c r="BT192" s="17010"/>
      <c r="BU192" s="17011"/>
      <c r="BV192" s="40552">
        <v>46388.72835648148</v>
      </c>
      <c r="BW192" s="17012" t="s">
        <v>63</v>
      </c>
      <c r="BX192" s="40552">
        <v>46568.72859953704</v>
      </c>
      <c r="BY192" s="17012" t="s">
        <v>63</v>
      </c>
      <c r="BZ192" s="17010">
        <v>61.79</v>
      </c>
      <c r="CA192" s="17010"/>
      <c r="CB192" s="17011"/>
      <c r="CC192" s="40552">
        <v>46569.728993055556</v>
      </c>
      <c r="CD192" s="17012" t="s">
        <v>63</v>
      </c>
      <c r="CE192" s="40552">
        <v>46752.72935185185</v>
      </c>
      <c r="CF192" s="17012" t="s">
        <v>63</v>
      </c>
      <c r="CG192" s="17010">
        <v>61.79</v>
      </c>
      <c r="CH192" s="17010"/>
      <c r="CI192" s="17011"/>
      <c r="CJ192" s="40552">
        <v>46753.72976851852</v>
      </c>
      <c r="CK192" s="17012" t="s">
        <v>63</v>
      </c>
      <c r="CL192" s="40552">
        <v>46934.72996527778</v>
      </c>
      <c r="CM192" s="17012" t="s">
        <v>63</v>
      </c>
      <c r="CN192" s="23700">
        <v>62.23</v>
      </c>
      <c r="CO192" s="23700"/>
      <c r="CP192" s="23701"/>
      <c r="CQ192" s="40552">
        <v>46935.73032407407</v>
      </c>
      <c r="CR192" s="23703" t="s">
        <v>63</v>
      </c>
      <c r="CS192" s="40552">
        <v>47118.73059027778</v>
      </c>
      <c r="CT192" s="23703" t="s">
        <v>63</v>
      </c>
      <c r="CU192" s="17013"/>
      <c r="CV192" s="170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192" s="16982">
        <f>STRCHECKDATE(V193:CU193)</f>
      </c>
      <c r="CX192" s="16983"/>
      <c r="CY192" s="16983" t="str">
        <f>IF(T192="","",T192)</f>
        <v/>
      </c>
      <c r="CZ192" s="16983"/>
      <c r="DA192" s="16983"/>
      <c r="DB192" s="16984">
        <v>0</v>
      </c>
    </row>
    <row s="52132" customFormat="1" customHeight="1" ht="14.25">
      <c r="A193" s="16967"/>
      <c r="B193" s="16967"/>
      <c r="C193" s="16967"/>
      <c r="D193" s="16967"/>
      <c r="E193" s="16968"/>
      <c r="F193" s="16968" t="s">
        <v>95</v>
      </c>
      <c r="G193" s="16968"/>
      <c r="H193" s="16968"/>
      <c r="I193" s="17001"/>
      <c r="J193" s="17001"/>
      <c r="K193" s="16989"/>
      <c r="L193" s="16970"/>
      <c r="M193" s="16990"/>
      <c r="N193" s="16990"/>
      <c r="O193" s="16990"/>
      <c r="P193" s="16991"/>
      <c r="Q193" s="16991"/>
      <c r="R193" s="17002"/>
      <c r="S193" s="17016"/>
      <c r="T193" s="16977"/>
      <c r="U193" s="16977"/>
      <c r="V193" s="17017"/>
      <c r="W193" s="17017"/>
      <c r="X193" s="17018" t="str">
        <f>Y192&amp;"-"&amp;AA192</f>
        <v>-</v>
      </c>
      <c r="Y193" s="17019"/>
      <c r="Z193" s="17012"/>
      <c r="AA193" s="17019"/>
      <c r="AB193" s="17012"/>
      <c r="AC193" s="17017"/>
      <c r="AD193" s="17017"/>
      <c r="AE193" s="17018" t="str">
        <f>AF192&amp;"-"&amp;AH192</f>
        <v>45292.72565972222-45473.72586805555</v>
      </c>
      <c r="AF193" s="17019"/>
      <c r="AG193" s="17012"/>
      <c r="AH193" s="17020"/>
      <c r="AI193" s="17012"/>
      <c r="AJ193" s="17017"/>
      <c r="AK193" s="17017"/>
      <c r="AL193" s="17018" t="str">
        <f>AM192&amp;"-"&amp;AO192</f>
        <v>45474.72615740741-45657.726319444446</v>
      </c>
      <c r="AM193" s="17019"/>
      <c r="AN193" s="17012"/>
      <c r="AO193" s="17019"/>
      <c r="AP193" s="17012"/>
      <c r="AQ193" s="17017"/>
      <c r="AR193" s="17017"/>
      <c r="AS193" s="17018" t="str">
        <f>AT192&amp;"-"&amp;AV192</f>
        <v>45658.72646990741-45838.72662037037</v>
      </c>
      <c r="AT193" s="17019"/>
      <c r="AU193" s="17012"/>
      <c r="AV193" s="17019"/>
      <c r="AW193" s="17012"/>
      <c r="AX193" s="17017"/>
      <c r="AY193" s="17017"/>
      <c r="AZ193" s="17018" t="str">
        <f>BA192&amp;"-"&amp;BC192</f>
        <v>45839.72688657408-46022.727164351854</v>
      </c>
      <c r="BA193" s="17019"/>
      <c r="BB193" s="17012"/>
      <c r="BC193" s="17019"/>
      <c r="BD193" s="17012"/>
      <c r="BE193" s="17017"/>
      <c r="BF193" s="17017"/>
      <c r="BG193" s="17018" t="str">
        <f>BH192&amp;"-"&amp;BJ192</f>
        <v>46023.727326388886-46203.72746527778</v>
      </c>
      <c r="BH193" s="17019"/>
      <c r="BI193" s="17012"/>
      <c r="BJ193" s="17019"/>
      <c r="BK193" s="17012"/>
      <c r="BL193" s="17017"/>
      <c r="BM193" s="17017"/>
      <c r="BN193" s="17018" t="str">
        <f>BO192&amp;"-"&amp;BQ192</f>
        <v>46204.72777777778-46387.72800925926</v>
      </c>
      <c r="BO193" s="17019"/>
      <c r="BP193" s="17012"/>
      <c r="BQ193" s="17019"/>
      <c r="BR193" s="17012"/>
      <c r="BS193" s="17017"/>
      <c r="BT193" s="17017"/>
      <c r="BU193" s="17018" t="str">
        <f>BV192&amp;"-"&amp;BX192</f>
        <v>46388.72835648148-46568.72859953704</v>
      </c>
      <c r="BV193" s="17019"/>
      <c r="BW193" s="17012"/>
      <c r="BX193" s="17019"/>
      <c r="BY193" s="17012"/>
      <c r="BZ193" s="17017"/>
      <c r="CA193" s="17017"/>
      <c r="CB193" s="17018" t="str">
        <f>CC192&amp;"-"&amp;CE192</f>
        <v>46569.728993055556-46752.72935185185</v>
      </c>
      <c r="CC193" s="17019"/>
      <c r="CD193" s="17012"/>
      <c r="CE193" s="17019"/>
      <c r="CF193" s="17012"/>
      <c r="CG193" s="17017"/>
      <c r="CH193" s="17017"/>
      <c r="CI193" s="17018" t="str">
        <f>CJ192&amp;"-"&amp;CL192</f>
        <v>46753.72976851852-46934.72996527778</v>
      </c>
      <c r="CJ193" s="17019"/>
      <c r="CK193" s="17012"/>
      <c r="CL193" s="17019"/>
      <c r="CM193" s="17012"/>
      <c r="CN193" s="23708"/>
      <c r="CO193" s="23708"/>
      <c r="CP193" s="23709" t="str">
        <f>CQ192&amp;"-"&amp;CS192</f>
        <v>46935.73032407407-47118.73059027778</v>
      </c>
      <c r="CQ193" s="23710"/>
      <c r="CR193" s="23703"/>
      <c r="CS193" s="23710"/>
      <c r="CT193" s="23703"/>
      <c r="CU193" s="17021"/>
      <c r="CV193" s="17014"/>
      <c r="CW193" s="16982"/>
      <c r="CX193" s="16983"/>
      <c r="CY193" s="16983" t="str">
        <f>IF(T193="","",T193)</f>
        <v/>
      </c>
      <c r="CZ193" s="16983"/>
      <c r="DA193" s="16983"/>
      <c r="DB193" s="16984">
        <v>0</v>
      </c>
    </row>
    <row s="52133" customFormat="1" customHeight="1" ht="21">
      <c r="A194" s="16967"/>
      <c r="B194" s="16967"/>
      <c r="C194" s="16967"/>
      <c r="D194" s="16967"/>
      <c r="E194" s="16968"/>
      <c r="F194" s="16968" t="s">
        <v>95</v>
      </c>
      <c r="G194" s="16968"/>
      <c r="H194" s="16968"/>
      <c r="I194" s="17001"/>
      <c r="J194" s="16989"/>
      <c r="K194" s="16967"/>
      <c r="L194" s="16970"/>
      <c r="M194" s="16990"/>
      <c r="N194" s="16990"/>
      <c r="O194" s="16990"/>
      <c r="P194" s="16991"/>
      <c r="Q194" s="16991"/>
      <c r="R194" s="16992"/>
      <c r="S194" s="19367"/>
      <c r="T194" s="19368" t="s">
        <v>601</v>
      </c>
      <c r="U194" s="19369"/>
      <c r="V194" s="19370"/>
      <c r="W194" s="19371"/>
      <c r="X194" s="19372"/>
      <c r="Y194" s="19373"/>
      <c r="Z194" s="19374"/>
      <c r="AA194" s="19375"/>
      <c r="AB194" s="19376"/>
      <c r="AC194" s="19377"/>
      <c r="AD194" s="19378"/>
      <c r="AE194" s="19379"/>
      <c r="AF194" s="19380"/>
      <c r="AG194" s="19381"/>
      <c r="AH194" s="19382"/>
      <c r="AI194" s="19383"/>
      <c r="AJ194" s="19384"/>
      <c r="AK194" s="19385"/>
      <c r="AL194" s="19386"/>
      <c r="AM194" s="19387"/>
      <c r="AN194" s="19388"/>
      <c r="AO194" s="19389"/>
      <c r="AP194" s="19390"/>
      <c r="AQ194" s="19391"/>
      <c r="AR194" s="19392"/>
      <c r="AS194" s="19393"/>
      <c r="AT194" s="19394"/>
      <c r="AU194" s="19395"/>
      <c r="AV194" s="19396"/>
      <c r="AW194" s="19397"/>
      <c r="AX194" s="19398"/>
      <c r="AY194" s="19399"/>
      <c r="AZ194" s="19400"/>
      <c r="BA194" s="19401"/>
      <c r="BB194" s="19402"/>
      <c r="BC194" s="19403"/>
      <c r="BD194" s="19404"/>
      <c r="BE194" s="19405"/>
      <c r="BF194" s="19406"/>
      <c r="BG194" s="19407"/>
      <c r="BH194" s="19408"/>
      <c r="BI194" s="19409"/>
      <c r="BJ194" s="19410"/>
      <c r="BK194" s="19411"/>
      <c r="BL194" s="19412"/>
      <c r="BM194" s="19413"/>
      <c r="BN194" s="19414"/>
      <c r="BO194" s="19415"/>
      <c r="BP194" s="19416"/>
      <c r="BQ194" s="19417"/>
      <c r="BR194" s="19418"/>
      <c r="BS194" s="19419"/>
      <c r="BT194" s="19420"/>
      <c r="BU194" s="19421"/>
      <c r="BV194" s="19422"/>
      <c r="BW194" s="19423"/>
      <c r="BX194" s="19424"/>
      <c r="BY194" s="19425"/>
      <c r="BZ194" s="19426"/>
      <c r="CA194" s="19427"/>
      <c r="CB194" s="19428"/>
      <c r="CC194" s="19429"/>
      <c r="CD194" s="19430"/>
      <c r="CE194" s="19431"/>
      <c r="CF194" s="19432"/>
      <c r="CG194" s="19433"/>
      <c r="CH194" s="19434"/>
      <c r="CI194" s="19435"/>
      <c r="CJ194" s="19436"/>
      <c r="CK194" s="19437"/>
      <c r="CL194" s="19438"/>
      <c r="CM194" s="19439"/>
      <c r="CN194" s="26943"/>
      <c r="CO194" s="26944"/>
      <c r="CP194" s="26945"/>
      <c r="CQ194" s="26946"/>
      <c r="CR194" s="26947"/>
      <c r="CS194" s="26948"/>
      <c r="CT194" s="26949"/>
      <c r="CU194" s="19440"/>
      <c r="CV194" s="16981" t="s">
        <v>602</v>
      </c>
      <c r="CW194" s="16982"/>
      <c r="CX194" s="16983"/>
      <c r="CY194" s="16983" t="str">
        <f>IF(T194="","",T194)</f>
        <v>Добавить значение признака дифференциации</v>
      </c>
      <c r="CZ194" s="16983"/>
      <c r="DA194" s="16983"/>
      <c r="DB194" s="16984">
        <v>0</v>
      </c>
    </row>
    <row s="52215" customFormat="1" customHeight="1" ht="23.25">
      <c r="A195" s="40638"/>
      <c r="B195" s="40638"/>
      <c r="C195" s="40638"/>
      <c r="D195" s="40638"/>
      <c r="E195" s="40639"/>
      <c r="F195" s="40639"/>
      <c r="G195" s="40639"/>
      <c r="H195" s="40639"/>
      <c r="I195" s="40640"/>
      <c r="J195" s="40641" t="str">
        <f>I190&amp;".2"</f>
        <v>1.8.1.1.2</v>
      </c>
      <c r="K195" s="40638"/>
      <c r="L195" s="40642" t="s">
        <v>524</v>
      </c>
      <c r="M195" s="40643"/>
      <c r="N195" s="40643"/>
      <c r="O195" s="40643"/>
      <c r="P195" s="40644"/>
      <c r="Q195" s="40645" t="s">
        <v>106</v>
      </c>
      <c r="R195" s="40646"/>
      <c r="S195" s="40647" t="str">
        <f>$J195</f>
        <v>1.8.1.1.2</v>
      </c>
      <c r="T195" s="40648" t="s">
        <v>525</v>
      </c>
      <c r="U195" s="40649"/>
      <c r="V195" s="40650"/>
      <c r="W195" s="40651"/>
      <c r="X195" s="40651"/>
      <c r="Y195" s="40651"/>
      <c r="Z195" s="40651"/>
      <c r="AA195" s="40651"/>
      <c r="AB195" s="40652"/>
      <c r="AC195" s="40650" t="s">
        <v>637</v>
      </c>
      <c r="AD195" s="40651"/>
      <c r="AE195" s="40651"/>
      <c r="AF195" s="40651"/>
      <c r="AG195" s="40651"/>
      <c r="AH195" s="40651"/>
      <c r="AI195" s="40651"/>
      <c r="AJ195" s="40650"/>
      <c r="AK195" s="40651"/>
      <c r="AL195" s="40651"/>
      <c r="AM195" s="40651"/>
      <c r="AN195" s="40651"/>
      <c r="AO195" s="40651"/>
      <c r="AP195" s="40652"/>
      <c r="AQ195" s="40650"/>
      <c r="AR195" s="40651"/>
      <c r="AS195" s="40651"/>
      <c r="AT195" s="40651"/>
      <c r="AU195" s="40651"/>
      <c r="AV195" s="40651"/>
      <c r="AW195" s="40652"/>
      <c r="AX195" s="40650"/>
      <c r="AY195" s="40651"/>
      <c r="AZ195" s="40651"/>
      <c r="BA195" s="40651"/>
      <c r="BB195" s="40651"/>
      <c r="BC195" s="40651"/>
      <c r="BD195" s="40652"/>
      <c r="BE195" s="40650"/>
      <c r="BF195" s="40651"/>
      <c r="BG195" s="40651"/>
      <c r="BH195" s="40651"/>
      <c r="BI195" s="40651"/>
      <c r="BJ195" s="40651"/>
      <c r="BK195" s="40652"/>
      <c r="BL195" s="40650"/>
      <c r="BM195" s="40651"/>
      <c r="BN195" s="40651"/>
      <c r="BO195" s="40651"/>
      <c r="BP195" s="40651"/>
      <c r="BQ195" s="40651"/>
      <c r="BR195" s="40652"/>
      <c r="BS195" s="40650"/>
      <c r="BT195" s="40651"/>
      <c r="BU195" s="40651"/>
      <c r="BV195" s="40651"/>
      <c r="BW195" s="40651"/>
      <c r="BX195" s="40651"/>
      <c r="BY195" s="40652"/>
      <c r="BZ195" s="40650"/>
      <c r="CA195" s="40651"/>
      <c r="CB195" s="40651"/>
      <c r="CC195" s="40651"/>
      <c r="CD195" s="40651"/>
      <c r="CE195" s="40651"/>
      <c r="CF195" s="40652"/>
      <c r="CG195" s="40650"/>
      <c r="CH195" s="40651"/>
      <c r="CI195" s="40651"/>
      <c r="CJ195" s="40651"/>
      <c r="CK195" s="40651"/>
      <c r="CL195" s="40651"/>
      <c r="CM195" s="40652"/>
      <c r="CN195" s="40650"/>
      <c r="CO195" s="40651"/>
      <c r="CP195" s="40651"/>
      <c r="CQ195" s="40651"/>
      <c r="CR195" s="40651"/>
      <c r="CS195" s="40651"/>
      <c r="CT195" s="40653"/>
      <c r="CU195" s="40652"/>
      <c r="CV195" s="40654" t="s">
        <v>600</v>
      </c>
      <c r="CW195" s="40655"/>
      <c r="CX195" s="40656"/>
      <c r="CY195" s="40656" t="str">
        <f>IF(T195="","",T195)</f>
        <v>Группа потребителей</v>
      </c>
      <c r="CZ195" s="40656"/>
      <c r="DA195" s="40656"/>
      <c r="DB195" s="40657">
        <v>0</v>
      </c>
    </row>
    <row s="52216" customFormat="1" customHeight="1" ht="23.25">
      <c r="A196" s="40638"/>
      <c r="B196" s="40638"/>
      <c r="C196" s="40638"/>
      <c r="D196" s="40638"/>
      <c r="E196" s="40639"/>
      <c r="F196" s="40639"/>
      <c r="G196" s="40639"/>
      <c r="H196" s="40639"/>
      <c r="I196" s="40640"/>
      <c r="J196" s="40640" t="str">
        <f>I190&amp;".1"</f>
        <v>1.8.1.1.1</v>
      </c>
      <c r="K196" s="40641" t="str">
        <f>J195&amp;".1"</f>
        <v>1.8.1.1.2.1</v>
      </c>
      <c r="L196" s="40642"/>
      <c r="M196" s="40643"/>
      <c r="N196" s="40643"/>
      <c r="O196" s="40643"/>
      <c r="P196" s="40644"/>
      <c r="Q196" s="40644"/>
      <c r="R196" s="40646">
        <v>1</v>
      </c>
      <c r="S196" s="40647" t="str">
        <f>$K196</f>
        <v>1.8.1.1.2.1</v>
      </c>
      <c r="T196" s="40659"/>
      <c r="U196" s="40649"/>
      <c r="V196" s="40660"/>
      <c r="W196" s="40660"/>
      <c r="X196" s="40661"/>
      <c r="Y196" s="40552"/>
      <c r="Z196" s="40662" t="s">
        <v>63</v>
      </c>
      <c r="AA196" s="40552"/>
      <c r="AB196" s="40662" t="s">
        <v>63</v>
      </c>
      <c r="AC196" s="40660">
        <v>30.7</v>
      </c>
      <c r="AD196" s="40660"/>
      <c r="AE196" s="40661"/>
      <c r="AF196" s="40552">
        <v>45292.72577546296</v>
      </c>
      <c r="AG196" s="40662" t="s">
        <v>63</v>
      </c>
      <c r="AH196" s="40553">
        <v>45473.72599537037</v>
      </c>
      <c r="AI196" s="40662" t="s">
        <v>63</v>
      </c>
      <c r="AJ196" s="40660">
        <v>39.91</v>
      </c>
      <c r="AK196" s="40660"/>
      <c r="AL196" s="40661"/>
      <c r="AM196" s="40552">
        <v>45474.72625</v>
      </c>
      <c r="AN196" s="40662" t="s">
        <v>63</v>
      </c>
      <c r="AO196" s="40552">
        <v>45657.72636574074</v>
      </c>
      <c r="AP196" s="40662" t="s">
        <v>63</v>
      </c>
      <c r="AQ196" s="40660">
        <v>39.91</v>
      </c>
      <c r="AR196" s="40660"/>
      <c r="AS196" s="40661"/>
      <c r="AT196" s="40552">
        <v>45658.7265625</v>
      </c>
      <c r="AU196" s="40662" t="s">
        <v>63</v>
      </c>
      <c r="AV196" s="40552">
        <v>45838.72677083333</v>
      </c>
      <c r="AW196" s="40662" t="s">
        <v>63</v>
      </c>
      <c r="AX196" s="40660">
        <v>49.49</v>
      </c>
      <c r="AY196" s="40660"/>
      <c r="AZ196" s="40661"/>
      <c r="BA196" s="40552">
        <v>45839.727002314816</v>
      </c>
      <c r="BB196" s="40662" t="s">
        <v>63</v>
      </c>
      <c r="BC196" s="40552">
        <v>46022.72724537037</v>
      </c>
      <c r="BD196" s="40662" t="s">
        <v>63</v>
      </c>
      <c r="BE196" s="40660">
        <v>49.49</v>
      </c>
      <c r="BF196" s="40660"/>
      <c r="BG196" s="40661"/>
      <c r="BH196" s="40552">
        <v>46023.72739583333</v>
      </c>
      <c r="BI196" s="40662" t="s">
        <v>63</v>
      </c>
      <c r="BJ196" s="40552">
        <v>46203.72759259259</v>
      </c>
      <c r="BK196" s="40662" t="s">
        <v>63</v>
      </c>
      <c r="BL196" s="40660">
        <v>50.98</v>
      </c>
      <c r="BM196" s="40660"/>
      <c r="BN196" s="40661"/>
      <c r="BO196" s="40552">
        <v>46204.72789351852</v>
      </c>
      <c r="BP196" s="40662" t="s">
        <v>63</v>
      </c>
      <c r="BQ196" s="40552">
        <v>46387.72809027778</v>
      </c>
      <c r="BR196" s="40662" t="s">
        <v>63</v>
      </c>
      <c r="BS196" s="40660">
        <v>50.98</v>
      </c>
      <c r="BT196" s="40660"/>
      <c r="BU196" s="40661"/>
      <c r="BV196" s="40552">
        <v>46388.728483796294</v>
      </c>
      <c r="BW196" s="40662" t="s">
        <v>63</v>
      </c>
      <c r="BX196" s="40552">
        <v>46568.72872685185</v>
      </c>
      <c r="BY196" s="40662" t="s">
        <v>63</v>
      </c>
      <c r="BZ196" s="40660">
        <v>51.49</v>
      </c>
      <c r="CA196" s="40660"/>
      <c r="CB196" s="40661"/>
      <c r="CC196" s="40552">
        <v>46569.72914351852</v>
      </c>
      <c r="CD196" s="40662" t="s">
        <v>63</v>
      </c>
      <c r="CE196" s="40552">
        <v>46752.729467592595</v>
      </c>
      <c r="CF196" s="40662" t="s">
        <v>63</v>
      </c>
      <c r="CG196" s="40660">
        <v>51.49</v>
      </c>
      <c r="CH196" s="40660"/>
      <c r="CI196" s="40661"/>
      <c r="CJ196" s="40552">
        <v>46753.729849537034</v>
      </c>
      <c r="CK196" s="40662" t="s">
        <v>63</v>
      </c>
      <c r="CL196" s="40552">
        <v>46934.730104166665</v>
      </c>
      <c r="CM196" s="40662" t="s">
        <v>63</v>
      </c>
      <c r="CN196" s="40660">
        <v>51.86</v>
      </c>
      <c r="CO196" s="40660"/>
      <c r="CP196" s="40661"/>
      <c r="CQ196" s="40552">
        <v>46935.73045138889</v>
      </c>
      <c r="CR196" s="40662" t="s">
        <v>63</v>
      </c>
      <c r="CS196" s="40552">
        <v>47118.730671296296</v>
      </c>
      <c r="CT196" s="40663" t="s">
        <v>63</v>
      </c>
      <c r="CU196" s="40664"/>
      <c r="CV196" s="406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196" s="40655">
        <f>STRCHECKDATE(V197:CU197)</f>
      </c>
      <c r="CX196" s="40656"/>
      <c r="CY196" s="40656" t="str">
        <f>IF(T196="","",T196)</f>
        <v/>
      </c>
      <c r="CZ196" s="40656"/>
      <c r="DA196" s="40656"/>
      <c r="DB196" s="40657">
        <v>0</v>
      </c>
    </row>
    <row s="52217" customFormat="1" customHeight="1" ht="14.25">
      <c r="A197" s="40638"/>
      <c r="B197" s="40638"/>
      <c r="C197" s="40638"/>
      <c r="D197" s="40638"/>
      <c r="E197" s="40639"/>
      <c r="F197" s="40639"/>
      <c r="G197" s="40639"/>
      <c r="H197" s="40639"/>
      <c r="I197" s="40640"/>
      <c r="J197" s="40640" t="str">
        <f>I190&amp;".1"</f>
        <v>1.8.1.1.1</v>
      </c>
      <c r="K197" s="40641"/>
      <c r="L197" s="40642"/>
      <c r="M197" s="40643"/>
      <c r="N197" s="40643"/>
      <c r="O197" s="40643"/>
      <c r="P197" s="40644"/>
      <c r="Q197" s="40644"/>
      <c r="R197" s="40646"/>
      <c r="S197" s="40667"/>
      <c r="T197" s="40649"/>
      <c r="U197" s="40649"/>
      <c r="V197" s="40668"/>
      <c r="W197" s="40668"/>
      <c r="X197" s="40669" t="str">
        <f>Y196&amp;"-"&amp;AA196</f>
        <v>-</v>
      </c>
      <c r="Y197" s="40670"/>
      <c r="Z197" s="40662"/>
      <c r="AA197" s="40670"/>
      <c r="AB197" s="40662"/>
      <c r="AC197" s="40668"/>
      <c r="AD197" s="40668"/>
      <c r="AE197" s="40669" t="str">
        <f>AF196&amp;"-"&amp;AH196</f>
        <v>45292.72577546296-45473.72599537037</v>
      </c>
      <c r="AF197" s="40670"/>
      <c r="AG197" s="40662"/>
      <c r="AH197" s="40671"/>
      <c r="AI197" s="40662"/>
      <c r="AJ197" s="40668"/>
      <c r="AK197" s="40668"/>
      <c r="AL197" s="40669" t="str">
        <f>AM196&amp;"-"&amp;AO196</f>
        <v>45474.72625-45657.72636574074</v>
      </c>
      <c r="AM197" s="40670"/>
      <c r="AN197" s="40662"/>
      <c r="AO197" s="40670"/>
      <c r="AP197" s="40662"/>
      <c r="AQ197" s="40668"/>
      <c r="AR197" s="40668"/>
      <c r="AS197" s="40669" t="str">
        <f>AT196&amp;"-"&amp;AV196</f>
        <v>45658.7265625-45838.72677083333</v>
      </c>
      <c r="AT197" s="40670"/>
      <c r="AU197" s="40662"/>
      <c r="AV197" s="40670"/>
      <c r="AW197" s="40662"/>
      <c r="AX197" s="40668"/>
      <c r="AY197" s="40668"/>
      <c r="AZ197" s="40669" t="str">
        <f>BA196&amp;"-"&amp;BC196</f>
        <v>45839.727002314816-46022.72724537037</v>
      </c>
      <c r="BA197" s="40670"/>
      <c r="BB197" s="40662"/>
      <c r="BC197" s="40670"/>
      <c r="BD197" s="40662"/>
      <c r="BE197" s="40668"/>
      <c r="BF197" s="40668"/>
      <c r="BG197" s="40669" t="str">
        <f>BH196&amp;"-"&amp;BJ196</f>
        <v>46023.72739583333-46203.72759259259</v>
      </c>
      <c r="BH197" s="40670"/>
      <c r="BI197" s="40662"/>
      <c r="BJ197" s="40670"/>
      <c r="BK197" s="40662"/>
      <c r="BL197" s="40668"/>
      <c r="BM197" s="40668"/>
      <c r="BN197" s="40669" t="str">
        <f>BO196&amp;"-"&amp;BQ196</f>
        <v>46204.72789351852-46387.72809027778</v>
      </c>
      <c r="BO197" s="40670"/>
      <c r="BP197" s="40662"/>
      <c r="BQ197" s="40670"/>
      <c r="BR197" s="40662"/>
      <c r="BS197" s="40668"/>
      <c r="BT197" s="40668"/>
      <c r="BU197" s="40669" t="str">
        <f>BV196&amp;"-"&amp;BX196</f>
        <v>46388.728483796294-46568.72872685185</v>
      </c>
      <c r="BV197" s="40670"/>
      <c r="BW197" s="40662"/>
      <c r="BX197" s="40670"/>
      <c r="BY197" s="40662"/>
      <c r="BZ197" s="40668"/>
      <c r="CA197" s="40668"/>
      <c r="CB197" s="40669" t="str">
        <f>CC196&amp;"-"&amp;CE196</f>
        <v>46569.72914351852-46752.729467592595</v>
      </c>
      <c r="CC197" s="40670"/>
      <c r="CD197" s="40662"/>
      <c r="CE197" s="40670"/>
      <c r="CF197" s="40662"/>
      <c r="CG197" s="40668"/>
      <c r="CH197" s="40668"/>
      <c r="CI197" s="40669" t="str">
        <f>CJ196&amp;"-"&amp;CL196</f>
        <v>46753.729849537034-46934.730104166665</v>
      </c>
      <c r="CJ197" s="40670"/>
      <c r="CK197" s="40662"/>
      <c r="CL197" s="40670"/>
      <c r="CM197" s="40662"/>
      <c r="CN197" s="40668"/>
      <c r="CO197" s="40668"/>
      <c r="CP197" s="40669" t="str">
        <f>CQ196&amp;"-"&amp;CS196</f>
        <v>46935.73045138889-47118.730671296296</v>
      </c>
      <c r="CQ197" s="40670"/>
      <c r="CR197" s="40662"/>
      <c r="CS197" s="40670"/>
      <c r="CT197" s="40663"/>
      <c r="CU197" s="40672"/>
      <c r="CV197" s="40665"/>
      <c r="CW197" s="40655"/>
      <c r="CX197" s="40656"/>
      <c r="CY197" s="40656" t="str">
        <f>IF(T197="","",T197)</f>
        <v/>
      </c>
      <c r="CZ197" s="40656"/>
      <c r="DA197" s="40656"/>
      <c r="DB197" s="40657">
        <v>0</v>
      </c>
    </row>
    <row s="52218" customFormat="1" customHeight="1" ht="21">
      <c r="A198" s="40638"/>
      <c r="B198" s="40638"/>
      <c r="C198" s="40638"/>
      <c r="D198" s="40638"/>
      <c r="E198" s="40639"/>
      <c r="F198" s="40639"/>
      <c r="G198" s="40639"/>
      <c r="H198" s="40639"/>
      <c r="I198" s="40640"/>
      <c r="J198" s="40641" t="str">
        <f>I190&amp;".1"</f>
        <v>1.8.1.1.1</v>
      </c>
      <c r="K198" s="40638"/>
      <c r="L198" s="40642"/>
      <c r="M198" s="40643"/>
      <c r="N198" s="40643"/>
      <c r="O198" s="40643"/>
      <c r="P198" s="40644"/>
      <c r="Q198" s="40644"/>
      <c r="R198" s="40674"/>
      <c r="S198" s="43388"/>
      <c r="T198" s="43389" t="s">
        <v>601</v>
      </c>
      <c r="U198" s="43390"/>
      <c r="V198" s="43391"/>
      <c r="W198" s="43392"/>
      <c r="X198" s="43393"/>
      <c r="Y198" s="43394"/>
      <c r="Z198" s="43395"/>
      <c r="AA198" s="43396"/>
      <c r="AB198" s="43397"/>
      <c r="AC198" s="43398"/>
      <c r="AD198" s="43399"/>
      <c r="AE198" s="43400"/>
      <c r="AF198" s="43401"/>
      <c r="AG198" s="43402"/>
      <c r="AH198" s="43403"/>
      <c r="AI198" s="43404"/>
      <c r="AJ198" s="43405"/>
      <c r="AK198" s="43406"/>
      <c r="AL198" s="43407"/>
      <c r="AM198" s="43408"/>
      <c r="AN198" s="43409"/>
      <c r="AO198" s="43410"/>
      <c r="AP198" s="43411"/>
      <c r="AQ198" s="43412"/>
      <c r="AR198" s="43413"/>
      <c r="AS198" s="43414"/>
      <c r="AT198" s="43415"/>
      <c r="AU198" s="43416"/>
      <c r="AV198" s="43417"/>
      <c r="AW198" s="43418"/>
      <c r="AX198" s="43419"/>
      <c r="AY198" s="43420"/>
      <c r="AZ198" s="43421"/>
      <c r="BA198" s="43422"/>
      <c r="BB198" s="43423"/>
      <c r="BC198" s="43424"/>
      <c r="BD198" s="43425"/>
      <c r="BE198" s="43426"/>
      <c r="BF198" s="43427"/>
      <c r="BG198" s="43428"/>
      <c r="BH198" s="43429"/>
      <c r="BI198" s="43430"/>
      <c r="BJ198" s="43431"/>
      <c r="BK198" s="43432"/>
      <c r="BL198" s="43433"/>
      <c r="BM198" s="43434"/>
      <c r="BN198" s="43435"/>
      <c r="BO198" s="43436"/>
      <c r="BP198" s="43437"/>
      <c r="BQ198" s="43438"/>
      <c r="BR198" s="43439"/>
      <c r="BS198" s="43440"/>
      <c r="BT198" s="43441"/>
      <c r="BU198" s="43442"/>
      <c r="BV198" s="43443"/>
      <c r="BW198" s="43444"/>
      <c r="BX198" s="43445"/>
      <c r="BY198" s="43446"/>
      <c r="BZ198" s="43447"/>
      <c r="CA198" s="43448"/>
      <c r="CB198" s="43449"/>
      <c r="CC198" s="43450"/>
      <c r="CD198" s="43451"/>
      <c r="CE198" s="43452"/>
      <c r="CF198" s="43453"/>
      <c r="CG198" s="43454"/>
      <c r="CH198" s="43455"/>
      <c r="CI198" s="43456"/>
      <c r="CJ198" s="43457"/>
      <c r="CK198" s="43458"/>
      <c r="CL198" s="43459"/>
      <c r="CM198" s="43460"/>
      <c r="CN198" s="43461"/>
      <c r="CO198" s="43462"/>
      <c r="CP198" s="43463"/>
      <c r="CQ198" s="43464"/>
      <c r="CR198" s="43465"/>
      <c r="CS198" s="43466"/>
      <c r="CT198" s="43467"/>
      <c r="CU198" s="43468"/>
      <c r="CV198" s="40756" t="s">
        <v>602</v>
      </c>
      <c r="CW198" s="40655"/>
      <c r="CX198" s="40656"/>
      <c r="CY198" s="40656" t="str">
        <f>IF(T198="","",T198)</f>
        <v>Добавить значение признака дифференциации</v>
      </c>
      <c r="CZ198" s="40656"/>
      <c r="DA198" s="40656"/>
      <c r="DB198" s="40657">
        <v>0</v>
      </c>
    </row>
    <row s="52300" customFormat="1" customHeight="1" ht="21">
      <c r="A199" s="16967"/>
      <c r="B199" s="16967"/>
      <c r="C199" s="16967"/>
      <c r="D199" s="16967"/>
      <c r="E199" s="16968"/>
      <c r="F199" s="16968" t="s">
        <v>95</v>
      </c>
      <c r="G199" s="16968"/>
      <c r="H199" s="16968"/>
      <c r="I199" s="16989"/>
      <c r="J199" s="16967"/>
      <c r="K199" s="16967"/>
      <c r="L199" s="16970"/>
      <c r="M199" s="16990"/>
      <c r="N199" s="16990"/>
      <c r="O199" s="16990"/>
      <c r="P199" s="16991"/>
      <c r="Q199" s="16991"/>
      <c r="R199" s="16992"/>
      <c r="S199" s="19442"/>
      <c r="T199" s="19443" t="s">
        <v>530</v>
      </c>
      <c r="U199" s="19444"/>
      <c r="V199" s="19445"/>
      <c r="W199" s="19446"/>
      <c r="X199" s="19447"/>
      <c r="Y199" s="19448"/>
      <c r="Z199" s="19449"/>
      <c r="AA199" s="19450"/>
      <c r="AB199" s="19451"/>
      <c r="AC199" s="19452"/>
      <c r="AD199" s="19453"/>
      <c r="AE199" s="19454"/>
      <c r="AF199" s="19455"/>
      <c r="AG199" s="19456"/>
      <c r="AH199" s="19457"/>
      <c r="AI199" s="19458"/>
      <c r="AJ199" s="19459"/>
      <c r="AK199" s="19460"/>
      <c r="AL199" s="19461"/>
      <c r="AM199" s="19462"/>
      <c r="AN199" s="19463"/>
      <c r="AO199" s="19464"/>
      <c r="AP199" s="19465"/>
      <c r="AQ199" s="19466"/>
      <c r="AR199" s="19467"/>
      <c r="AS199" s="19468"/>
      <c r="AT199" s="19469"/>
      <c r="AU199" s="19470"/>
      <c r="AV199" s="19471"/>
      <c r="AW199" s="19472"/>
      <c r="AX199" s="19473"/>
      <c r="AY199" s="19474"/>
      <c r="AZ199" s="19475"/>
      <c r="BA199" s="19476"/>
      <c r="BB199" s="19477"/>
      <c r="BC199" s="19478"/>
      <c r="BD199" s="19479"/>
      <c r="BE199" s="19480"/>
      <c r="BF199" s="19481"/>
      <c r="BG199" s="19482"/>
      <c r="BH199" s="19483"/>
      <c r="BI199" s="19484"/>
      <c r="BJ199" s="19485"/>
      <c r="BK199" s="19486"/>
      <c r="BL199" s="19487"/>
      <c r="BM199" s="19488"/>
      <c r="BN199" s="19489"/>
      <c r="BO199" s="19490"/>
      <c r="BP199" s="19491"/>
      <c r="BQ199" s="19492"/>
      <c r="BR199" s="19493"/>
      <c r="BS199" s="19494"/>
      <c r="BT199" s="19495"/>
      <c r="BU199" s="19496"/>
      <c r="BV199" s="19497"/>
      <c r="BW199" s="19498"/>
      <c r="BX199" s="19499"/>
      <c r="BY199" s="19500"/>
      <c r="BZ199" s="19501"/>
      <c r="CA199" s="19502"/>
      <c r="CB199" s="19503"/>
      <c r="CC199" s="19504"/>
      <c r="CD199" s="19505"/>
      <c r="CE199" s="19506"/>
      <c r="CF199" s="19507"/>
      <c r="CG199" s="19508"/>
      <c r="CH199" s="19509"/>
      <c r="CI199" s="19510"/>
      <c r="CJ199" s="19511"/>
      <c r="CK199" s="19512"/>
      <c r="CL199" s="19513"/>
      <c r="CM199" s="19514"/>
      <c r="CN199" s="27025"/>
      <c r="CO199" s="27026"/>
      <c r="CP199" s="27027"/>
      <c r="CQ199" s="27028"/>
      <c r="CR199" s="27029"/>
      <c r="CS199" s="27030"/>
      <c r="CT199" s="27031"/>
      <c r="CU199" s="19515"/>
      <c r="CV199" s="19516"/>
      <c r="CW199" s="16982"/>
      <c r="CX199" s="16983"/>
      <c r="CY199" s="16983" t="str">
        <f>IF(T199="","",T199)</f>
        <v>Добавить группу потребителей</v>
      </c>
      <c r="CZ199" s="16983"/>
      <c r="DA199" s="16983"/>
      <c r="DB199" s="16984">
        <v>0</v>
      </c>
    </row>
    <row s="52383" customFormat="1" customHeight="1" ht="21">
      <c r="A200" s="16967"/>
      <c r="B200" s="16967"/>
      <c r="C200" s="16967"/>
      <c r="D200" s="16967"/>
      <c r="E200" s="16968"/>
      <c r="F200" s="16968" t="s">
        <v>95</v>
      </c>
      <c r="G200" s="16968"/>
      <c r="H200" s="16969"/>
      <c r="I200" s="16967"/>
      <c r="J200" s="16967"/>
      <c r="K200" s="16967"/>
      <c r="L200" s="16970"/>
      <c r="M200" s="16971"/>
      <c r="N200" s="16971"/>
      <c r="O200" s="17174"/>
      <c r="P200" s="17175"/>
      <c r="Q200" s="17176"/>
      <c r="R200" s="17177"/>
      <c r="S200" s="19518"/>
      <c r="T200" s="19519" t="s">
        <v>603</v>
      </c>
      <c r="U200" s="19520"/>
      <c r="V200" s="19521"/>
      <c r="W200" s="19522"/>
      <c r="X200" s="19523"/>
      <c r="Y200" s="19524"/>
      <c r="Z200" s="19525"/>
      <c r="AA200" s="19526"/>
      <c r="AB200" s="19527"/>
      <c r="AC200" s="19528"/>
      <c r="AD200" s="19529"/>
      <c r="AE200" s="19530"/>
      <c r="AF200" s="19531"/>
      <c r="AG200" s="19532"/>
      <c r="AH200" s="19533"/>
      <c r="AI200" s="19534"/>
      <c r="AJ200" s="19535"/>
      <c r="AK200" s="19536"/>
      <c r="AL200" s="19537"/>
      <c r="AM200" s="19538"/>
      <c r="AN200" s="19539"/>
      <c r="AO200" s="19540"/>
      <c r="AP200" s="19541"/>
      <c r="AQ200" s="19542"/>
      <c r="AR200" s="19543"/>
      <c r="AS200" s="19544"/>
      <c r="AT200" s="19545"/>
      <c r="AU200" s="19546"/>
      <c r="AV200" s="19547"/>
      <c r="AW200" s="19548"/>
      <c r="AX200" s="19549"/>
      <c r="AY200" s="19550"/>
      <c r="AZ200" s="19551"/>
      <c r="BA200" s="19552"/>
      <c r="BB200" s="19553"/>
      <c r="BC200" s="19554"/>
      <c r="BD200" s="19555"/>
      <c r="BE200" s="19556"/>
      <c r="BF200" s="19557"/>
      <c r="BG200" s="19558"/>
      <c r="BH200" s="19559"/>
      <c r="BI200" s="19560"/>
      <c r="BJ200" s="19561"/>
      <c r="BK200" s="19562"/>
      <c r="BL200" s="19563"/>
      <c r="BM200" s="19564"/>
      <c r="BN200" s="19565"/>
      <c r="BO200" s="19566"/>
      <c r="BP200" s="19567"/>
      <c r="BQ200" s="19568"/>
      <c r="BR200" s="19569"/>
      <c r="BS200" s="19570"/>
      <c r="BT200" s="19571"/>
      <c r="BU200" s="19572"/>
      <c r="BV200" s="19573"/>
      <c r="BW200" s="19574"/>
      <c r="BX200" s="19575"/>
      <c r="BY200" s="19576"/>
      <c r="BZ200" s="19577"/>
      <c r="CA200" s="19578"/>
      <c r="CB200" s="19579"/>
      <c r="CC200" s="19580"/>
      <c r="CD200" s="19581"/>
      <c r="CE200" s="19582"/>
      <c r="CF200" s="19583"/>
      <c r="CG200" s="19584"/>
      <c r="CH200" s="19585"/>
      <c r="CI200" s="19586"/>
      <c r="CJ200" s="19587"/>
      <c r="CK200" s="19588"/>
      <c r="CL200" s="19589"/>
      <c r="CM200" s="19590"/>
      <c r="CN200" s="27108"/>
      <c r="CO200" s="27109"/>
      <c r="CP200" s="27110"/>
      <c r="CQ200" s="27111"/>
      <c r="CR200" s="27112"/>
      <c r="CS200" s="27113"/>
      <c r="CT200" s="27114"/>
      <c r="CU200" s="19591"/>
      <c r="CV200" s="19592"/>
      <c r="CW200" s="16982"/>
      <c r="CX200" s="16983"/>
      <c r="CY200" s="16983" t="str">
        <f>IF(T200="","",T200)</f>
        <v>Добавить наименование признака дифференциации</v>
      </c>
      <c r="CZ200" s="16983"/>
      <c r="DA200" s="16983"/>
      <c r="DB200" s="16984">
        <v>0</v>
      </c>
    </row>
    <row s="52466" customFormat="1" customHeight="1" ht="14.25">
      <c r="A201" s="17254"/>
      <c r="B201" s="17254"/>
      <c r="C201" s="17254"/>
      <c r="D201" s="17254"/>
      <c r="E201" s="16968"/>
      <c r="F201" s="16969" t="s">
        <v>95</v>
      </c>
      <c r="G201" s="17254"/>
      <c r="H201" s="17254"/>
      <c r="I201" s="17254"/>
      <c r="J201" s="17254"/>
      <c r="K201" s="17254"/>
      <c r="L201" s="17255"/>
      <c r="M201" s="17256"/>
      <c r="N201" s="17256"/>
      <c r="O201" s="16982"/>
      <c r="P201" s="17257"/>
      <c r="Q201" s="17258"/>
      <c r="R201" s="17257"/>
      <c r="S201" s="17259"/>
      <c r="T201" s="17260" t="s">
        <v>321</v>
      </c>
      <c r="U201" s="17261"/>
      <c r="V201" s="17261"/>
      <c r="W201" s="17261"/>
      <c r="X201" s="17261"/>
      <c r="Y201" s="17261"/>
      <c r="Z201" s="17261"/>
      <c r="AA201" s="17261"/>
      <c r="AB201" s="17261"/>
      <c r="AC201" s="17261"/>
      <c r="AD201" s="17261"/>
      <c r="AE201" s="17261"/>
      <c r="AF201" s="17261"/>
      <c r="AG201" s="17261"/>
      <c r="AH201" s="17261"/>
      <c r="AI201" s="17261"/>
      <c r="AJ201" s="17261"/>
      <c r="AK201" s="17261"/>
      <c r="AL201" s="17261"/>
      <c r="AM201" s="17261"/>
      <c r="AN201" s="17261"/>
      <c r="AO201" s="17261"/>
      <c r="AP201" s="17261"/>
      <c r="AQ201" s="17261"/>
      <c r="AR201" s="17261"/>
      <c r="AS201" s="17261"/>
      <c r="AT201" s="17261"/>
      <c r="AU201" s="17261"/>
      <c r="AV201" s="17261"/>
      <c r="AW201" s="17261"/>
      <c r="AX201" s="17261"/>
      <c r="AY201" s="17261"/>
      <c r="AZ201" s="17261"/>
      <c r="BA201" s="17261"/>
      <c r="BB201" s="17261"/>
      <c r="BC201" s="17261"/>
      <c r="BD201" s="17261"/>
      <c r="BE201" s="17261"/>
      <c r="BF201" s="17261"/>
      <c r="BG201" s="17261"/>
      <c r="BH201" s="17261"/>
      <c r="BI201" s="17261"/>
      <c r="BJ201" s="17261"/>
      <c r="BK201" s="17261"/>
      <c r="BL201" s="17261"/>
      <c r="BM201" s="17261"/>
      <c r="BN201" s="17261"/>
      <c r="BO201" s="17261"/>
      <c r="BP201" s="17261"/>
      <c r="BQ201" s="17261"/>
      <c r="BR201" s="17261"/>
      <c r="BS201" s="17261"/>
      <c r="BT201" s="17261"/>
      <c r="BU201" s="17261"/>
      <c r="BV201" s="17261"/>
      <c r="BW201" s="17261"/>
      <c r="BX201" s="17261"/>
      <c r="BY201" s="17261"/>
      <c r="BZ201" s="17261"/>
      <c r="CA201" s="17261"/>
      <c r="CB201" s="17261"/>
      <c r="CC201" s="17261"/>
      <c r="CD201" s="17261"/>
      <c r="CE201" s="17261"/>
      <c r="CF201" s="17261"/>
      <c r="CG201" s="17261"/>
      <c r="CH201" s="17261"/>
      <c r="CI201" s="17261"/>
      <c r="CJ201" s="17261"/>
      <c r="CK201" s="17261"/>
      <c r="CL201" s="17261"/>
      <c r="CM201" s="17261"/>
      <c r="CN201" s="23902"/>
      <c r="CO201" s="23902"/>
      <c r="CP201" s="23902"/>
      <c r="CQ201" s="23902"/>
      <c r="CR201" s="23902"/>
      <c r="CS201" s="23902"/>
      <c r="CT201" s="23902"/>
      <c r="CU201" s="17261"/>
      <c r="CV201" s="17261"/>
      <c r="CW201" s="16982"/>
      <c r="CX201" s="16983"/>
      <c r="CY201" s="16983" t="str">
        <f>IF(T201="","",T201)</f>
        <v>Добавить централизованную систему для дифференциации</v>
      </c>
      <c r="CZ201" s="16983"/>
      <c r="DA201" s="16983"/>
      <c r="DB201" s="16982">
        <v>0</v>
      </c>
    </row>
    <row s="52467" customFormat="1" customHeight="1" ht="23.25">
      <c r="A202" s="16967"/>
      <c r="B202" s="16967" t="s">
        <v>363</v>
      </c>
      <c r="C202" s="16967"/>
      <c r="D202" s="16967"/>
      <c r="E202" s="16968"/>
      <c r="F202" s="16969" t="s">
        <v>139</v>
      </c>
      <c r="G202" s="16967"/>
      <c r="H202" s="16967"/>
      <c r="I202" s="16967"/>
      <c r="J202" s="16967"/>
      <c r="K202" s="16967"/>
      <c r="L202" s="16970"/>
      <c r="M202" s="16971"/>
      <c r="N202" s="16971"/>
      <c r="O202" s="16971"/>
      <c r="P202" s="16972"/>
      <c r="Q202" s="16973"/>
      <c r="R202" s="16974"/>
      <c r="S202" s="16975" t="str">
        <f>INDEX(PT_DIFFERENTIATION_NUM_TER,MATCH(B202,PT_DIFFERENTIATION_TER_ID,0))</f>
        <v>1.9</v>
      </c>
      <c r="T202" s="16976" t="s">
        <v>515</v>
      </c>
      <c r="U202" s="16977"/>
      <c r="V202" s="16978"/>
      <c r="W202" s="16979"/>
      <c r="X202" s="16979"/>
      <c r="Y202" s="16979"/>
      <c r="Z202" s="16979"/>
      <c r="AA202" s="16979"/>
      <c r="AB202" s="16980"/>
      <c r="AC202" s="16978" t="str">
        <f>INDEX(PT_DIFFERENTIATION_TER,MATCH(B202,PT_DIFFERENTIATION_TER_ID,0))</f>
        <v>Территория 9</v>
      </c>
      <c r="AD202" s="16979"/>
      <c r="AE202" s="16979"/>
      <c r="AF202" s="16979"/>
      <c r="AG202" s="16979"/>
      <c r="AH202" s="16979"/>
      <c r="AI202" s="16979"/>
      <c r="AJ202" s="16978"/>
      <c r="AK202" s="16979"/>
      <c r="AL202" s="16979"/>
      <c r="AM202" s="16979"/>
      <c r="AN202" s="16979"/>
      <c r="AO202" s="16979"/>
      <c r="AP202" s="16980"/>
      <c r="AQ202" s="16978"/>
      <c r="AR202" s="16979"/>
      <c r="AS202" s="16979"/>
      <c r="AT202" s="16979"/>
      <c r="AU202" s="16979"/>
      <c r="AV202" s="16979"/>
      <c r="AW202" s="16980"/>
      <c r="AX202" s="16978"/>
      <c r="AY202" s="16979"/>
      <c r="AZ202" s="16979"/>
      <c r="BA202" s="16979"/>
      <c r="BB202" s="16979"/>
      <c r="BC202" s="16979"/>
      <c r="BD202" s="16980"/>
      <c r="BE202" s="16978"/>
      <c r="BF202" s="16979"/>
      <c r="BG202" s="16979"/>
      <c r="BH202" s="16979"/>
      <c r="BI202" s="16979"/>
      <c r="BJ202" s="16979"/>
      <c r="BK202" s="16980"/>
      <c r="BL202" s="16978"/>
      <c r="BM202" s="16979"/>
      <c r="BN202" s="16979"/>
      <c r="BO202" s="16979"/>
      <c r="BP202" s="16979"/>
      <c r="BQ202" s="16979"/>
      <c r="BR202" s="16980"/>
      <c r="BS202" s="16978"/>
      <c r="BT202" s="16979"/>
      <c r="BU202" s="16979"/>
      <c r="BV202" s="16979"/>
      <c r="BW202" s="16979"/>
      <c r="BX202" s="16979"/>
      <c r="BY202" s="16980"/>
      <c r="BZ202" s="16978"/>
      <c r="CA202" s="16979"/>
      <c r="CB202" s="16979"/>
      <c r="CC202" s="16979"/>
      <c r="CD202" s="16979"/>
      <c r="CE202" s="16979"/>
      <c r="CF202" s="16980"/>
      <c r="CG202" s="16978"/>
      <c r="CH202" s="16979"/>
      <c r="CI202" s="16979"/>
      <c r="CJ202" s="16979"/>
      <c r="CK202" s="16979"/>
      <c r="CL202" s="16979"/>
      <c r="CM202" s="16980"/>
      <c r="CN202" s="23679"/>
      <c r="CO202" s="23680"/>
      <c r="CP202" s="23680"/>
      <c r="CQ202" s="23680"/>
      <c r="CR202" s="23680"/>
      <c r="CS202" s="23680"/>
      <c r="CT202" s="23681"/>
      <c r="CU202" s="16980"/>
      <c r="CV202" s="16981" t="s">
        <v>516</v>
      </c>
      <c r="CW202" s="16982"/>
      <c r="CX202" s="16983"/>
      <c r="CY202" s="16983" t="str">
        <f>IF(T202="","",T202)</f>
        <v>Территория действия тарифа</v>
      </c>
      <c r="CZ202" s="16983"/>
      <c r="DA202" s="16983"/>
      <c r="DB202" s="16984">
        <v>0</v>
      </c>
    </row>
    <row s="52468" customFormat="1" customHeight="1" ht="23.25">
      <c r="A203" s="16967"/>
      <c r="B203" s="16967"/>
      <c r="C203" s="16967" t="s">
        <v>364</v>
      </c>
      <c r="D203" s="16967"/>
      <c r="E203" s="16968"/>
      <c r="F203" s="16968" t="s">
        <v>134</v>
      </c>
      <c r="G203" s="16969">
        <v>1</v>
      </c>
      <c r="H203" s="16967"/>
      <c r="I203" s="16967"/>
      <c r="J203" s="16967"/>
      <c r="K203" s="16967"/>
      <c r="L203" s="16970"/>
      <c r="M203" s="16971"/>
      <c r="N203" s="16971"/>
      <c r="O203" s="16971"/>
      <c r="P203" s="16986"/>
      <c r="Q203" s="16973"/>
      <c r="R203" s="16974"/>
      <c r="S203" s="16975" t="str">
        <f>INDEX(PT_DIFFERENTIATION_NUM_CS,MATCH(C203,PT_DIFFERENTIATION_CS_ID,0))</f>
        <v>1.9.1</v>
      </c>
      <c r="T203" s="16987" t="s">
        <v>631</v>
      </c>
      <c r="U203" s="16977"/>
      <c r="V203" s="16978"/>
      <c r="W203" s="16979"/>
      <c r="X203" s="16979"/>
      <c r="Y203" s="16979"/>
      <c r="Z203" s="16979"/>
      <c r="AA203" s="16979"/>
      <c r="AB203" s="16980"/>
      <c r="AC203" s="16978" t="str">
        <f>INDEX(PT_DIFFERENTIATION_CS,MATCH(C203,PT_DIFFERENTIATION_CS_ID,0))</f>
        <v>с. Романовка</v>
      </c>
      <c r="AD203" s="16979"/>
      <c r="AE203" s="16979"/>
      <c r="AF203" s="16979"/>
      <c r="AG203" s="16979"/>
      <c r="AH203" s="16979"/>
      <c r="AI203" s="16979"/>
      <c r="AJ203" s="16978"/>
      <c r="AK203" s="16979"/>
      <c r="AL203" s="16979"/>
      <c r="AM203" s="16979"/>
      <c r="AN203" s="16979"/>
      <c r="AO203" s="16979"/>
      <c r="AP203" s="16980"/>
      <c r="AQ203" s="16978"/>
      <c r="AR203" s="16979"/>
      <c r="AS203" s="16979"/>
      <c r="AT203" s="16979"/>
      <c r="AU203" s="16979"/>
      <c r="AV203" s="16979"/>
      <c r="AW203" s="16980"/>
      <c r="AX203" s="16978"/>
      <c r="AY203" s="16979"/>
      <c r="AZ203" s="16979"/>
      <c r="BA203" s="16979"/>
      <c r="BB203" s="16979"/>
      <c r="BC203" s="16979"/>
      <c r="BD203" s="16980"/>
      <c r="BE203" s="16978"/>
      <c r="BF203" s="16979"/>
      <c r="BG203" s="16979"/>
      <c r="BH203" s="16979"/>
      <c r="BI203" s="16979"/>
      <c r="BJ203" s="16979"/>
      <c r="BK203" s="16980"/>
      <c r="BL203" s="16978"/>
      <c r="BM203" s="16979"/>
      <c r="BN203" s="16979"/>
      <c r="BO203" s="16979"/>
      <c r="BP203" s="16979"/>
      <c r="BQ203" s="16979"/>
      <c r="BR203" s="16980"/>
      <c r="BS203" s="16978"/>
      <c r="BT203" s="16979"/>
      <c r="BU203" s="16979"/>
      <c r="BV203" s="16979"/>
      <c r="BW203" s="16979"/>
      <c r="BX203" s="16979"/>
      <c r="BY203" s="16980"/>
      <c r="BZ203" s="16978"/>
      <c r="CA203" s="16979"/>
      <c r="CB203" s="16979"/>
      <c r="CC203" s="16979"/>
      <c r="CD203" s="16979"/>
      <c r="CE203" s="16979"/>
      <c r="CF203" s="16980"/>
      <c r="CG203" s="16978"/>
      <c r="CH203" s="16979"/>
      <c r="CI203" s="16979"/>
      <c r="CJ203" s="16979"/>
      <c r="CK203" s="16979"/>
      <c r="CL203" s="16979"/>
      <c r="CM203" s="16980"/>
      <c r="CN203" s="23679"/>
      <c r="CO203" s="23680"/>
      <c r="CP203" s="23680"/>
      <c r="CQ203" s="23680"/>
      <c r="CR203" s="23680"/>
      <c r="CS203" s="23680"/>
      <c r="CT203" s="23681"/>
      <c r="CU203" s="16980"/>
      <c r="CV203" s="16981" t="s">
        <v>632</v>
      </c>
      <c r="CW203" s="16982"/>
      <c r="CX203" s="16983"/>
      <c r="CY203" s="16983" t="str">
        <f>IF(T203="","",T203)</f>
        <v>Наименование централизованной системы водоотведения</v>
      </c>
      <c r="CZ203" s="16983"/>
      <c r="DA203" s="16983"/>
      <c r="DB203" s="16984">
        <v>0</v>
      </c>
    </row>
    <row s="52469" customFormat="1" customHeight="1" ht="23.25">
      <c r="A204" s="16967"/>
      <c r="B204" s="16967"/>
      <c r="C204" s="16967"/>
      <c r="D204" s="16967"/>
      <c r="E204" s="16968"/>
      <c r="F204" s="16968" t="s">
        <v>134</v>
      </c>
      <c r="G204" s="16968"/>
      <c r="H204" s="16968"/>
      <c r="I204" s="16989" t="str">
        <f>S203&amp;".1"</f>
        <v>1.9.1.1</v>
      </c>
      <c r="J204" s="16967"/>
      <c r="K204" s="16967"/>
      <c r="L204" s="16970"/>
      <c r="M204" s="16990"/>
      <c r="N204" s="16990"/>
      <c r="O204" s="16990"/>
      <c r="P204" s="16991">
        <v>1</v>
      </c>
      <c r="Q204" s="16991"/>
      <c r="R204" s="16992"/>
      <c r="S204" s="16975" t="str">
        <f>$I204</f>
        <v>1.9.1.1</v>
      </c>
      <c r="T204" s="16993" t="s">
        <v>598</v>
      </c>
      <c r="U204" s="16977"/>
      <c r="V204" s="16994"/>
      <c r="W204" s="16995"/>
      <c r="X204" s="16995"/>
      <c r="Y204" s="16995"/>
      <c r="Z204" s="16995"/>
      <c r="AA204" s="16995"/>
      <c r="AB204" s="16996"/>
      <c r="AC204" s="16997"/>
      <c r="AD204" s="16998"/>
      <c r="AE204" s="16998"/>
      <c r="AF204" s="16998"/>
      <c r="AG204" s="16998"/>
      <c r="AH204" s="16998"/>
      <c r="AI204" s="16998"/>
      <c r="AJ204" s="16994"/>
      <c r="AK204" s="16995"/>
      <c r="AL204" s="16995"/>
      <c r="AM204" s="16995"/>
      <c r="AN204" s="16995"/>
      <c r="AO204" s="16995"/>
      <c r="AP204" s="16996"/>
      <c r="AQ204" s="16994"/>
      <c r="AR204" s="16995"/>
      <c r="AS204" s="16995"/>
      <c r="AT204" s="16995"/>
      <c r="AU204" s="16995"/>
      <c r="AV204" s="16995"/>
      <c r="AW204" s="16996"/>
      <c r="AX204" s="16994"/>
      <c r="AY204" s="16995"/>
      <c r="AZ204" s="16995"/>
      <c r="BA204" s="16995"/>
      <c r="BB204" s="16995"/>
      <c r="BC204" s="16995"/>
      <c r="BD204" s="16996"/>
      <c r="BE204" s="16994"/>
      <c r="BF204" s="16995"/>
      <c r="BG204" s="16995"/>
      <c r="BH204" s="16995"/>
      <c r="BI204" s="16995"/>
      <c r="BJ204" s="16995"/>
      <c r="BK204" s="16996"/>
      <c r="BL204" s="16994"/>
      <c r="BM204" s="16995"/>
      <c r="BN204" s="16995"/>
      <c r="BO204" s="16995"/>
      <c r="BP204" s="16995"/>
      <c r="BQ204" s="16995"/>
      <c r="BR204" s="16996"/>
      <c r="BS204" s="16994"/>
      <c r="BT204" s="16995"/>
      <c r="BU204" s="16995"/>
      <c r="BV204" s="16995"/>
      <c r="BW204" s="16995"/>
      <c r="BX204" s="16995"/>
      <c r="BY204" s="16996"/>
      <c r="BZ204" s="16994"/>
      <c r="CA204" s="16995"/>
      <c r="CB204" s="16995"/>
      <c r="CC204" s="16995"/>
      <c r="CD204" s="16995"/>
      <c r="CE204" s="16995"/>
      <c r="CF204" s="16996"/>
      <c r="CG204" s="16994"/>
      <c r="CH204" s="16995"/>
      <c r="CI204" s="16995"/>
      <c r="CJ204" s="16995"/>
      <c r="CK204" s="16995"/>
      <c r="CL204" s="16995"/>
      <c r="CM204" s="16996"/>
      <c r="CN204" s="23687"/>
      <c r="CO204" s="23688"/>
      <c r="CP204" s="23688"/>
      <c r="CQ204" s="23688"/>
      <c r="CR204" s="23688"/>
      <c r="CS204" s="23688"/>
      <c r="CT204" s="23689"/>
      <c r="CU204" s="16999"/>
      <c r="CV204" s="16981" t="s">
        <v>599</v>
      </c>
      <c r="CW204" s="16982"/>
      <c r="CX204" s="16983"/>
      <c r="CY204" s="16983" t="str">
        <f>IF(T204="","",T204)</f>
        <v>Наименование признака дифференциации</v>
      </c>
      <c r="CZ204" s="16983"/>
      <c r="DA204" s="16983"/>
      <c r="DB204" s="16984">
        <v>0</v>
      </c>
    </row>
    <row s="52470" customFormat="1" customHeight="1" ht="23.25">
      <c r="A205" s="16967"/>
      <c r="B205" s="16967"/>
      <c r="C205" s="16967"/>
      <c r="D205" s="16967"/>
      <c r="E205" s="16968"/>
      <c r="F205" s="16968" t="s">
        <v>134</v>
      </c>
      <c r="G205" s="16968"/>
      <c r="H205" s="16968"/>
      <c r="I205" s="17001"/>
      <c r="J205" s="16989" t="str">
        <f>I204&amp;".1"</f>
        <v>1.9.1.1.1</v>
      </c>
      <c r="K205" s="16967"/>
      <c r="L205" s="16970" t="s">
        <v>524</v>
      </c>
      <c r="M205" s="16990"/>
      <c r="N205" s="16990"/>
      <c r="O205" s="16990"/>
      <c r="P205" s="16991"/>
      <c r="Q205" s="16991">
        <v>1</v>
      </c>
      <c r="R205" s="17002"/>
      <c r="S205" s="16975" t="str">
        <f>$J205</f>
        <v>1.9.1.1.1</v>
      </c>
      <c r="T205" s="17003" t="s">
        <v>525</v>
      </c>
      <c r="U205" s="16977"/>
      <c r="V205" s="17004"/>
      <c r="W205" s="17005"/>
      <c r="X205" s="17005"/>
      <c r="Y205" s="17005"/>
      <c r="Z205" s="17005"/>
      <c r="AA205" s="17005"/>
      <c r="AB205" s="17006"/>
      <c r="AC205" s="17004" t="s">
        <v>636</v>
      </c>
      <c r="AD205" s="17005"/>
      <c r="AE205" s="17005"/>
      <c r="AF205" s="17005"/>
      <c r="AG205" s="17005"/>
      <c r="AH205" s="17005"/>
      <c r="AI205" s="17005"/>
      <c r="AJ205" s="17004"/>
      <c r="AK205" s="17005"/>
      <c r="AL205" s="17005"/>
      <c r="AM205" s="17005"/>
      <c r="AN205" s="17005"/>
      <c r="AO205" s="17005"/>
      <c r="AP205" s="17006"/>
      <c r="AQ205" s="17004"/>
      <c r="AR205" s="17005"/>
      <c r="AS205" s="17005"/>
      <c r="AT205" s="17005"/>
      <c r="AU205" s="17005"/>
      <c r="AV205" s="17005"/>
      <c r="AW205" s="17006"/>
      <c r="AX205" s="17004"/>
      <c r="AY205" s="17005"/>
      <c r="AZ205" s="17005"/>
      <c r="BA205" s="17005"/>
      <c r="BB205" s="17005"/>
      <c r="BC205" s="17005"/>
      <c r="BD205" s="17006"/>
      <c r="BE205" s="17004"/>
      <c r="BF205" s="17005"/>
      <c r="BG205" s="17005"/>
      <c r="BH205" s="17005"/>
      <c r="BI205" s="17005"/>
      <c r="BJ205" s="17005"/>
      <c r="BK205" s="17006"/>
      <c r="BL205" s="17004"/>
      <c r="BM205" s="17005"/>
      <c r="BN205" s="17005"/>
      <c r="BO205" s="17005"/>
      <c r="BP205" s="17005"/>
      <c r="BQ205" s="17005"/>
      <c r="BR205" s="17006"/>
      <c r="BS205" s="17004"/>
      <c r="BT205" s="17005"/>
      <c r="BU205" s="17005"/>
      <c r="BV205" s="17005"/>
      <c r="BW205" s="17005"/>
      <c r="BX205" s="17005"/>
      <c r="BY205" s="17006"/>
      <c r="BZ205" s="17004"/>
      <c r="CA205" s="17005"/>
      <c r="CB205" s="17005"/>
      <c r="CC205" s="17005"/>
      <c r="CD205" s="17005"/>
      <c r="CE205" s="17005"/>
      <c r="CF205" s="17006"/>
      <c r="CG205" s="17004"/>
      <c r="CH205" s="17005"/>
      <c r="CI205" s="17005"/>
      <c r="CJ205" s="17005"/>
      <c r="CK205" s="17005"/>
      <c r="CL205" s="17005"/>
      <c r="CM205" s="17006"/>
      <c r="CN205" s="23693"/>
      <c r="CO205" s="23694"/>
      <c r="CP205" s="23694"/>
      <c r="CQ205" s="23694"/>
      <c r="CR205" s="23694"/>
      <c r="CS205" s="23694"/>
      <c r="CT205" s="23695"/>
      <c r="CU205" s="17006"/>
      <c r="CV205" s="17007" t="s">
        <v>600</v>
      </c>
      <c r="CW205" s="16982"/>
      <c r="CX205" s="16983"/>
      <c r="CY205" s="16983" t="str">
        <f>IF(T205="","",T205)</f>
        <v>Группа потребителей</v>
      </c>
      <c r="CZ205" s="16983"/>
      <c r="DA205" s="16983"/>
      <c r="DB205" s="16984">
        <v>0</v>
      </c>
    </row>
    <row s="52471" customFormat="1" customHeight="1" ht="23.25">
      <c r="A206" s="16967"/>
      <c r="B206" s="16967"/>
      <c r="C206" s="16967"/>
      <c r="D206" s="16967"/>
      <c r="E206" s="16968"/>
      <c r="F206" s="16968" t="s">
        <v>134</v>
      </c>
      <c r="G206" s="16968"/>
      <c r="H206" s="16968"/>
      <c r="I206" s="17001"/>
      <c r="J206" s="17001"/>
      <c r="K206" s="16989" t="str">
        <f>J205&amp;".1"</f>
        <v>1.9.1.1.1.1</v>
      </c>
      <c r="L206" s="16970"/>
      <c r="M206" s="16990"/>
      <c r="N206" s="16990"/>
      <c r="O206" s="16990"/>
      <c r="P206" s="16991"/>
      <c r="Q206" s="16991"/>
      <c r="R206" s="17002">
        <v>1</v>
      </c>
      <c r="S206" s="16975" t="str">
        <f>$K206</f>
        <v>1.9.1.1.1.1</v>
      </c>
      <c r="T206" s="17009"/>
      <c r="U206" s="16977"/>
      <c r="V206" s="17010"/>
      <c r="W206" s="17010"/>
      <c r="X206" s="17011"/>
      <c r="Y206" s="16696"/>
      <c r="Z206" s="17012" t="s">
        <v>63</v>
      </c>
      <c r="AA206" s="16696"/>
      <c r="AB206" s="17012" t="s">
        <v>63</v>
      </c>
      <c r="AC206" s="17010">
        <v>28.13</v>
      </c>
      <c r="AD206" s="17010"/>
      <c r="AE206" s="17011"/>
      <c r="AF206" s="40552">
        <v>45292.734375</v>
      </c>
      <c r="AG206" s="17012" t="s">
        <v>63</v>
      </c>
      <c r="AH206" s="40553">
        <v>45473.73457175926</v>
      </c>
      <c r="AI206" s="17012" t="s">
        <v>63</v>
      </c>
      <c r="AJ206" s="17010">
        <v>36.56</v>
      </c>
      <c r="AK206" s="17010"/>
      <c r="AL206" s="17011"/>
      <c r="AM206" s="40552">
        <v>45474.73472222222</v>
      </c>
      <c r="AN206" s="17012" t="s">
        <v>63</v>
      </c>
      <c r="AO206" s="40552">
        <v>45657.734872685185</v>
      </c>
      <c r="AP206" s="17012" t="s">
        <v>63</v>
      </c>
      <c r="AQ206" s="17010">
        <v>36.56</v>
      </c>
      <c r="AR206" s="17010"/>
      <c r="AS206" s="17011"/>
      <c r="AT206" s="40552">
        <v>45658.73502314815</v>
      </c>
      <c r="AU206" s="17012" t="s">
        <v>63</v>
      </c>
      <c r="AV206" s="40552">
        <v>45838.735127314816</v>
      </c>
      <c r="AW206" s="17012" t="s">
        <v>63</v>
      </c>
      <c r="AX206" s="17010">
        <v>46.6</v>
      </c>
      <c r="AY206" s="17010"/>
      <c r="AZ206" s="17011"/>
      <c r="BA206" s="40552">
        <v>45839.73533564815</v>
      </c>
      <c r="BB206" s="17012" t="s">
        <v>63</v>
      </c>
      <c r="BC206" s="40552">
        <v>46022.73552083333</v>
      </c>
      <c r="BD206" s="17012" t="s">
        <v>63</v>
      </c>
      <c r="BE206" s="17010">
        <v>41.08</v>
      </c>
      <c r="BF206" s="17010"/>
      <c r="BG206" s="17011"/>
      <c r="BH206" s="40552">
        <v>46023.73601851852</v>
      </c>
      <c r="BI206" s="17012" t="s">
        <v>63</v>
      </c>
      <c r="BJ206" s="40552">
        <v>46203.7362037037</v>
      </c>
      <c r="BK206" s="17012" t="s">
        <v>63</v>
      </c>
      <c r="BL206" s="17010">
        <v>41.1</v>
      </c>
      <c r="BM206" s="17010"/>
      <c r="BN206" s="17011"/>
      <c r="BO206" s="40552">
        <v>46204.73650462963</v>
      </c>
      <c r="BP206" s="17012" t="s">
        <v>63</v>
      </c>
      <c r="BQ206" s="40552">
        <v>46387.73673611111</v>
      </c>
      <c r="BR206" s="17012" t="s">
        <v>63</v>
      </c>
      <c r="BS206" s="17010">
        <v>41.1</v>
      </c>
      <c r="BT206" s="17010"/>
      <c r="BU206" s="17011"/>
      <c r="BV206" s="40552">
        <v>46388.737175925926</v>
      </c>
      <c r="BW206" s="17012" t="s">
        <v>63</v>
      </c>
      <c r="BX206" s="40552">
        <v>46568.73730324074</v>
      </c>
      <c r="BY206" s="17012" t="s">
        <v>63</v>
      </c>
      <c r="BZ206" s="17010">
        <v>41.77</v>
      </c>
      <c r="CA206" s="17010"/>
      <c r="CB206" s="17011"/>
      <c r="CC206" s="40552">
        <v>46569.73768518519</v>
      </c>
      <c r="CD206" s="17012" t="s">
        <v>63</v>
      </c>
      <c r="CE206" s="40552">
        <v>46752.73805555556</v>
      </c>
      <c r="CF206" s="17012" t="s">
        <v>63</v>
      </c>
      <c r="CG206" s="17010">
        <v>41.77</v>
      </c>
      <c r="CH206" s="17010"/>
      <c r="CI206" s="17011"/>
      <c r="CJ206" s="40552">
        <v>46753.738344907404</v>
      </c>
      <c r="CK206" s="17012" t="s">
        <v>63</v>
      </c>
      <c r="CL206" s="40552">
        <v>46934.73876157407</v>
      </c>
      <c r="CM206" s="17012" t="s">
        <v>63</v>
      </c>
      <c r="CN206" s="23700">
        <v>43.6</v>
      </c>
      <c r="CO206" s="23700"/>
      <c r="CP206" s="23701"/>
      <c r="CQ206" s="40552">
        <v>46935.739120370374</v>
      </c>
      <c r="CR206" s="23703" t="s">
        <v>63</v>
      </c>
      <c r="CS206" s="40552">
        <v>47118.739328703705</v>
      </c>
      <c r="CT206" s="23703" t="s">
        <v>63</v>
      </c>
      <c r="CU206" s="17013"/>
      <c r="CV206" s="170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206" s="16982">
        <f>STRCHECKDATE(V207:CU207)</f>
      </c>
      <c r="CX206" s="16983"/>
      <c r="CY206" s="16983" t="str">
        <f>IF(T206="","",T206)</f>
        <v/>
      </c>
      <c r="CZ206" s="16983"/>
      <c r="DA206" s="16983"/>
      <c r="DB206" s="16984">
        <v>0</v>
      </c>
    </row>
    <row s="52472" customFormat="1" customHeight="1" ht="14.25">
      <c r="A207" s="16967"/>
      <c r="B207" s="16967"/>
      <c r="C207" s="16967"/>
      <c r="D207" s="16967"/>
      <c r="E207" s="16968"/>
      <c r="F207" s="16968" t="s">
        <v>134</v>
      </c>
      <c r="G207" s="16968"/>
      <c r="H207" s="16968"/>
      <c r="I207" s="17001"/>
      <c r="J207" s="17001"/>
      <c r="K207" s="16989"/>
      <c r="L207" s="16970"/>
      <c r="M207" s="16990"/>
      <c r="N207" s="16990"/>
      <c r="O207" s="16990"/>
      <c r="P207" s="16991"/>
      <c r="Q207" s="16991"/>
      <c r="R207" s="17002"/>
      <c r="S207" s="17016"/>
      <c r="T207" s="16977"/>
      <c r="U207" s="16977"/>
      <c r="V207" s="17017"/>
      <c r="W207" s="17017"/>
      <c r="X207" s="17018" t="str">
        <f>Y206&amp;"-"&amp;AA206</f>
        <v>-</v>
      </c>
      <c r="Y207" s="17019"/>
      <c r="Z207" s="17012"/>
      <c r="AA207" s="17019"/>
      <c r="AB207" s="17012"/>
      <c r="AC207" s="17017"/>
      <c r="AD207" s="17017"/>
      <c r="AE207" s="17018" t="str">
        <f>AF206&amp;"-"&amp;AH206</f>
        <v>45292.734375-45473.73457175926</v>
      </c>
      <c r="AF207" s="17019"/>
      <c r="AG207" s="17012"/>
      <c r="AH207" s="17020"/>
      <c r="AI207" s="17012"/>
      <c r="AJ207" s="17017"/>
      <c r="AK207" s="17017"/>
      <c r="AL207" s="17018" t="str">
        <f>AM206&amp;"-"&amp;AO206</f>
        <v>45474.73472222222-45657.734872685185</v>
      </c>
      <c r="AM207" s="17019"/>
      <c r="AN207" s="17012"/>
      <c r="AO207" s="17019"/>
      <c r="AP207" s="17012"/>
      <c r="AQ207" s="17017"/>
      <c r="AR207" s="17017"/>
      <c r="AS207" s="17018" t="str">
        <f>AT206&amp;"-"&amp;AV206</f>
        <v>45658.73502314815-45838.735127314816</v>
      </c>
      <c r="AT207" s="17019"/>
      <c r="AU207" s="17012"/>
      <c r="AV207" s="17019"/>
      <c r="AW207" s="17012"/>
      <c r="AX207" s="17017"/>
      <c r="AY207" s="17017"/>
      <c r="AZ207" s="17018" t="str">
        <f>BA206&amp;"-"&amp;BC206</f>
        <v>45839.73533564815-46022.73552083333</v>
      </c>
      <c r="BA207" s="17019"/>
      <c r="BB207" s="17012"/>
      <c r="BC207" s="17019"/>
      <c r="BD207" s="17012"/>
      <c r="BE207" s="17017"/>
      <c r="BF207" s="17017"/>
      <c r="BG207" s="17018" t="str">
        <f>BH206&amp;"-"&amp;BJ206</f>
        <v>46023.73601851852-46203.7362037037</v>
      </c>
      <c r="BH207" s="17019"/>
      <c r="BI207" s="17012"/>
      <c r="BJ207" s="17019"/>
      <c r="BK207" s="17012"/>
      <c r="BL207" s="17017"/>
      <c r="BM207" s="17017"/>
      <c r="BN207" s="17018" t="str">
        <f>BO206&amp;"-"&amp;BQ206</f>
        <v>46204.73650462963-46387.73673611111</v>
      </c>
      <c r="BO207" s="17019"/>
      <c r="BP207" s="17012"/>
      <c r="BQ207" s="17019"/>
      <c r="BR207" s="17012"/>
      <c r="BS207" s="17017"/>
      <c r="BT207" s="17017"/>
      <c r="BU207" s="17018" t="str">
        <f>BV206&amp;"-"&amp;BX206</f>
        <v>46388.737175925926-46568.73730324074</v>
      </c>
      <c r="BV207" s="17019"/>
      <c r="BW207" s="17012"/>
      <c r="BX207" s="17019"/>
      <c r="BY207" s="17012"/>
      <c r="BZ207" s="17017"/>
      <c r="CA207" s="17017"/>
      <c r="CB207" s="17018" t="str">
        <f>CC206&amp;"-"&amp;CE206</f>
        <v>46569.73768518519-46752.73805555556</v>
      </c>
      <c r="CC207" s="17019"/>
      <c r="CD207" s="17012"/>
      <c r="CE207" s="17019"/>
      <c r="CF207" s="17012"/>
      <c r="CG207" s="17017"/>
      <c r="CH207" s="17017"/>
      <c r="CI207" s="17018" t="str">
        <f>CJ206&amp;"-"&amp;CL206</f>
        <v>46753.738344907404-46934.73876157407</v>
      </c>
      <c r="CJ207" s="17019"/>
      <c r="CK207" s="17012"/>
      <c r="CL207" s="17019"/>
      <c r="CM207" s="17012"/>
      <c r="CN207" s="23708"/>
      <c r="CO207" s="23708"/>
      <c r="CP207" s="23709" t="str">
        <f>CQ206&amp;"-"&amp;CS206</f>
        <v>46935.739120370374-47118.739328703705</v>
      </c>
      <c r="CQ207" s="23710"/>
      <c r="CR207" s="23703"/>
      <c r="CS207" s="23710"/>
      <c r="CT207" s="23703"/>
      <c r="CU207" s="17021"/>
      <c r="CV207" s="17014"/>
      <c r="CW207" s="16982"/>
      <c r="CX207" s="16983"/>
      <c r="CY207" s="16983" t="str">
        <f>IF(T207="","",T207)</f>
        <v/>
      </c>
      <c r="CZ207" s="16983"/>
      <c r="DA207" s="16983"/>
      <c r="DB207" s="16984">
        <v>0</v>
      </c>
    </row>
    <row s="52473" customFormat="1" customHeight="1" ht="21">
      <c r="A208" s="16967"/>
      <c r="B208" s="16967"/>
      <c r="C208" s="16967"/>
      <c r="D208" s="16967"/>
      <c r="E208" s="16968"/>
      <c r="F208" s="16968" t="s">
        <v>134</v>
      </c>
      <c r="G208" s="16968"/>
      <c r="H208" s="16968"/>
      <c r="I208" s="17001"/>
      <c r="J208" s="16989"/>
      <c r="K208" s="16967"/>
      <c r="L208" s="16970"/>
      <c r="M208" s="16990"/>
      <c r="N208" s="16990"/>
      <c r="O208" s="16990"/>
      <c r="P208" s="16991"/>
      <c r="Q208" s="16991"/>
      <c r="R208" s="16992"/>
      <c r="S208" s="19601"/>
      <c r="T208" s="19602" t="s">
        <v>601</v>
      </c>
      <c r="U208" s="19603"/>
      <c r="V208" s="19604"/>
      <c r="W208" s="19605"/>
      <c r="X208" s="19606"/>
      <c r="Y208" s="19607"/>
      <c r="Z208" s="19608"/>
      <c r="AA208" s="19609"/>
      <c r="AB208" s="19610"/>
      <c r="AC208" s="19611"/>
      <c r="AD208" s="19612"/>
      <c r="AE208" s="19613"/>
      <c r="AF208" s="19614"/>
      <c r="AG208" s="19615"/>
      <c r="AH208" s="19616"/>
      <c r="AI208" s="19617"/>
      <c r="AJ208" s="19618"/>
      <c r="AK208" s="19619"/>
      <c r="AL208" s="19620"/>
      <c r="AM208" s="19621"/>
      <c r="AN208" s="19622"/>
      <c r="AO208" s="19623"/>
      <c r="AP208" s="19624"/>
      <c r="AQ208" s="19625"/>
      <c r="AR208" s="19626"/>
      <c r="AS208" s="19627"/>
      <c r="AT208" s="19628"/>
      <c r="AU208" s="19629"/>
      <c r="AV208" s="19630"/>
      <c r="AW208" s="19631"/>
      <c r="AX208" s="19632"/>
      <c r="AY208" s="19633"/>
      <c r="AZ208" s="19634"/>
      <c r="BA208" s="19635"/>
      <c r="BB208" s="19636"/>
      <c r="BC208" s="19637"/>
      <c r="BD208" s="19638"/>
      <c r="BE208" s="19639"/>
      <c r="BF208" s="19640"/>
      <c r="BG208" s="19641"/>
      <c r="BH208" s="19642"/>
      <c r="BI208" s="19643"/>
      <c r="BJ208" s="19644"/>
      <c r="BK208" s="19645"/>
      <c r="BL208" s="19646"/>
      <c r="BM208" s="19647"/>
      <c r="BN208" s="19648"/>
      <c r="BO208" s="19649"/>
      <c r="BP208" s="19650"/>
      <c r="BQ208" s="19651"/>
      <c r="BR208" s="19652"/>
      <c r="BS208" s="19653"/>
      <c r="BT208" s="19654"/>
      <c r="BU208" s="19655"/>
      <c r="BV208" s="19656"/>
      <c r="BW208" s="19657"/>
      <c r="BX208" s="19658"/>
      <c r="BY208" s="19659"/>
      <c r="BZ208" s="19660"/>
      <c r="CA208" s="19661"/>
      <c r="CB208" s="19662"/>
      <c r="CC208" s="19663"/>
      <c r="CD208" s="19664"/>
      <c r="CE208" s="19665"/>
      <c r="CF208" s="19666"/>
      <c r="CG208" s="19667"/>
      <c r="CH208" s="19668"/>
      <c r="CI208" s="19669"/>
      <c r="CJ208" s="19670"/>
      <c r="CK208" s="19671"/>
      <c r="CL208" s="19672"/>
      <c r="CM208" s="19673"/>
      <c r="CN208" s="27198"/>
      <c r="CO208" s="27199"/>
      <c r="CP208" s="27200"/>
      <c r="CQ208" s="27201"/>
      <c r="CR208" s="27202"/>
      <c r="CS208" s="27203"/>
      <c r="CT208" s="27204"/>
      <c r="CU208" s="19674"/>
      <c r="CV208" s="16981" t="s">
        <v>602</v>
      </c>
      <c r="CW208" s="16982"/>
      <c r="CX208" s="16983"/>
      <c r="CY208" s="16983" t="str">
        <f>IF(T208="","",T208)</f>
        <v>Добавить значение признака дифференциации</v>
      </c>
      <c r="CZ208" s="16983"/>
      <c r="DA208" s="16983"/>
      <c r="DB208" s="16984">
        <v>0</v>
      </c>
    </row>
    <row s="52555" customFormat="1" customHeight="1" ht="23.25">
      <c r="A209" s="40638"/>
      <c r="B209" s="40638"/>
      <c r="C209" s="40638"/>
      <c r="D209" s="40638"/>
      <c r="E209" s="40639"/>
      <c r="F209" s="40639"/>
      <c r="G209" s="40639"/>
      <c r="H209" s="40639"/>
      <c r="I209" s="40640"/>
      <c r="J209" s="40641" t="str">
        <f>I204&amp;".2"</f>
        <v>1.9.1.1.2</v>
      </c>
      <c r="K209" s="40638"/>
      <c r="L209" s="40642" t="s">
        <v>524</v>
      </c>
      <c r="M209" s="40643"/>
      <c r="N209" s="40643"/>
      <c r="O209" s="40643"/>
      <c r="P209" s="40644"/>
      <c r="Q209" s="40645" t="s">
        <v>106</v>
      </c>
      <c r="R209" s="40646"/>
      <c r="S209" s="40647" t="str">
        <f>$J209</f>
        <v>1.9.1.1.2</v>
      </c>
      <c r="T209" s="40648" t="s">
        <v>525</v>
      </c>
      <c r="U209" s="40649"/>
      <c r="V209" s="40650"/>
      <c r="W209" s="40651"/>
      <c r="X209" s="40651"/>
      <c r="Y209" s="40651"/>
      <c r="Z209" s="40651"/>
      <c r="AA209" s="40651"/>
      <c r="AB209" s="40652"/>
      <c r="AC209" s="40650" t="s">
        <v>637</v>
      </c>
      <c r="AD209" s="40651"/>
      <c r="AE209" s="40651"/>
      <c r="AF209" s="40651"/>
      <c r="AG209" s="40651"/>
      <c r="AH209" s="40651"/>
      <c r="AI209" s="40651"/>
      <c r="AJ209" s="40650"/>
      <c r="AK209" s="40651"/>
      <c r="AL209" s="40651"/>
      <c r="AM209" s="40651"/>
      <c r="AN209" s="40651"/>
      <c r="AO209" s="40651"/>
      <c r="AP209" s="40652"/>
      <c r="AQ209" s="40650"/>
      <c r="AR209" s="40651"/>
      <c r="AS209" s="40651"/>
      <c r="AT209" s="40651"/>
      <c r="AU209" s="40651"/>
      <c r="AV209" s="40651"/>
      <c r="AW209" s="40652"/>
      <c r="AX209" s="40650"/>
      <c r="AY209" s="40651"/>
      <c r="AZ209" s="40651"/>
      <c r="BA209" s="40651"/>
      <c r="BB209" s="40651"/>
      <c r="BC209" s="40651"/>
      <c r="BD209" s="40652"/>
      <c r="BE209" s="40650"/>
      <c r="BF209" s="40651"/>
      <c r="BG209" s="40651"/>
      <c r="BH209" s="40651"/>
      <c r="BI209" s="40651"/>
      <c r="BJ209" s="40651"/>
      <c r="BK209" s="40652"/>
      <c r="BL209" s="40650"/>
      <c r="BM209" s="40651"/>
      <c r="BN209" s="40651"/>
      <c r="BO209" s="40651"/>
      <c r="BP209" s="40651"/>
      <c r="BQ209" s="40651"/>
      <c r="BR209" s="40652"/>
      <c r="BS209" s="40650"/>
      <c r="BT209" s="40651"/>
      <c r="BU209" s="40651"/>
      <c r="BV209" s="40651"/>
      <c r="BW209" s="40651"/>
      <c r="BX209" s="40651"/>
      <c r="BY209" s="40652"/>
      <c r="BZ209" s="40650"/>
      <c r="CA209" s="40651"/>
      <c r="CB209" s="40651"/>
      <c r="CC209" s="40651"/>
      <c r="CD209" s="40651"/>
      <c r="CE209" s="40651"/>
      <c r="CF209" s="40652"/>
      <c r="CG209" s="40650"/>
      <c r="CH209" s="40651"/>
      <c r="CI209" s="40651"/>
      <c r="CJ209" s="40651"/>
      <c r="CK209" s="40651"/>
      <c r="CL209" s="40651"/>
      <c r="CM209" s="40652"/>
      <c r="CN209" s="40650"/>
      <c r="CO209" s="40651"/>
      <c r="CP209" s="40651"/>
      <c r="CQ209" s="40651"/>
      <c r="CR209" s="40651"/>
      <c r="CS209" s="40651"/>
      <c r="CT209" s="40653"/>
      <c r="CU209" s="40652"/>
      <c r="CV209" s="40654" t="s">
        <v>600</v>
      </c>
      <c r="CW209" s="40655"/>
      <c r="CX209" s="40656"/>
      <c r="CY209" s="40656" t="str">
        <f>IF(T209="","",T209)</f>
        <v>Группа потребителей</v>
      </c>
      <c r="CZ209" s="40656"/>
      <c r="DA209" s="40656"/>
      <c r="DB209" s="40657">
        <v>0</v>
      </c>
    </row>
    <row s="52556" customFormat="1" customHeight="1" ht="23.25">
      <c r="A210" s="40638"/>
      <c r="B210" s="40638"/>
      <c r="C210" s="40638"/>
      <c r="D210" s="40638"/>
      <c r="E210" s="40639"/>
      <c r="F210" s="40639"/>
      <c r="G210" s="40639"/>
      <c r="H210" s="40639"/>
      <c r="I210" s="40640"/>
      <c r="J210" s="40640" t="str">
        <f>I204&amp;".1"</f>
        <v>1.9.1.1.1</v>
      </c>
      <c r="K210" s="40641" t="str">
        <f>J209&amp;".1"</f>
        <v>1.9.1.1.2.1</v>
      </c>
      <c r="L210" s="40642"/>
      <c r="M210" s="40643"/>
      <c r="N210" s="40643"/>
      <c r="O210" s="40643"/>
      <c r="P210" s="40644"/>
      <c r="Q210" s="40644"/>
      <c r="R210" s="40646">
        <v>1</v>
      </c>
      <c r="S210" s="40647" t="str">
        <f>$K210</f>
        <v>1.9.1.1.2.1</v>
      </c>
      <c r="T210" s="40659"/>
      <c r="U210" s="40649"/>
      <c r="V210" s="40660"/>
      <c r="W210" s="40660"/>
      <c r="X210" s="40661"/>
      <c r="Y210" s="40552"/>
      <c r="Z210" s="40662" t="s">
        <v>63</v>
      </c>
      <c r="AA210" s="40552"/>
      <c r="AB210" s="40662" t="s">
        <v>63</v>
      </c>
      <c r="AC210" s="40660">
        <v>23.44</v>
      </c>
      <c r="AD210" s="40660"/>
      <c r="AE210" s="40661"/>
      <c r="AF210" s="40552">
        <v>45292.734502314815</v>
      </c>
      <c r="AG210" s="40662" t="s">
        <v>63</v>
      </c>
      <c r="AH210" s="40553">
        <v>45473.7346412037</v>
      </c>
      <c r="AI210" s="40662" t="s">
        <v>63</v>
      </c>
      <c r="AJ210" s="40660">
        <v>30.47</v>
      </c>
      <c r="AK210" s="40660"/>
      <c r="AL210" s="40661"/>
      <c r="AM210" s="40552">
        <v>45474.73480324074</v>
      </c>
      <c r="AN210" s="40662" t="s">
        <v>63</v>
      </c>
      <c r="AO210" s="40552">
        <v>45657.734918981485</v>
      </c>
      <c r="AP210" s="40662" t="s">
        <v>63</v>
      </c>
      <c r="AQ210" s="40660">
        <v>30.47</v>
      </c>
      <c r="AR210" s="40660"/>
      <c r="AS210" s="40661"/>
      <c r="AT210" s="40552">
        <v>45658.73509259259</v>
      </c>
      <c r="AU210" s="40662" t="s">
        <v>63</v>
      </c>
      <c r="AV210" s="40552">
        <v>45838.73520833333</v>
      </c>
      <c r="AW210" s="40662" t="s">
        <v>63</v>
      </c>
      <c r="AX210" s="40660">
        <v>38.83</v>
      </c>
      <c r="AY210" s="40660"/>
      <c r="AZ210" s="40661"/>
      <c r="BA210" s="40552">
        <v>45839.735451388886</v>
      </c>
      <c r="BB210" s="40662" t="s">
        <v>63</v>
      </c>
      <c r="BC210" s="40552">
        <v>46022.735601851855</v>
      </c>
      <c r="BD210" s="40662" t="s">
        <v>63</v>
      </c>
      <c r="BE210" s="40660">
        <v>34.23</v>
      </c>
      <c r="BF210" s="40660"/>
      <c r="BG210" s="40661"/>
      <c r="BH210" s="40552">
        <v>46023.736134259256</v>
      </c>
      <c r="BI210" s="40662" t="s">
        <v>63</v>
      </c>
      <c r="BJ210" s="40552">
        <v>46203.73631944445</v>
      </c>
      <c r="BK210" s="40662" t="s">
        <v>63</v>
      </c>
      <c r="BL210" s="40660">
        <v>34.25</v>
      </c>
      <c r="BM210" s="40660"/>
      <c r="BN210" s="40661"/>
      <c r="BO210" s="40552">
        <v>46204.73662037037</v>
      </c>
      <c r="BP210" s="40662" t="s">
        <v>63</v>
      </c>
      <c r="BQ210" s="40552">
        <v>46387.73703703703</v>
      </c>
      <c r="BR210" s="40662" t="s">
        <v>63</v>
      </c>
      <c r="BS210" s="40660">
        <v>34.25</v>
      </c>
      <c r="BT210" s="40660"/>
      <c r="BU210" s="40661"/>
      <c r="BV210" s="40552">
        <v>46388.73724537037</v>
      </c>
      <c r="BW210" s="40662" t="s">
        <v>63</v>
      </c>
      <c r="BX210" s="40552">
        <v>46568.737488425926</v>
      </c>
      <c r="BY210" s="40662" t="s">
        <v>63</v>
      </c>
      <c r="BZ210" s="40660">
        <v>34.81</v>
      </c>
      <c r="CA210" s="40660"/>
      <c r="CB210" s="40661"/>
      <c r="CC210" s="40552">
        <v>46569.73793981481</v>
      </c>
      <c r="CD210" s="40662" t="s">
        <v>63</v>
      </c>
      <c r="CE210" s="40552">
        <v>46752.738125</v>
      </c>
      <c r="CF210" s="40662" t="s">
        <v>63</v>
      </c>
      <c r="CG210" s="40660">
        <v>34.81</v>
      </c>
      <c r="CH210" s="40660"/>
      <c r="CI210" s="40661"/>
      <c r="CJ210" s="40552">
        <v>46753.73869212963</v>
      </c>
      <c r="CK210" s="40662" t="s">
        <v>63</v>
      </c>
      <c r="CL210" s="40552">
        <v>46934.738900462966</v>
      </c>
      <c r="CM210" s="40662" t="s">
        <v>63</v>
      </c>
      <c r="CN210" s="40660">
        <v>36.33</v>
      </c>
      <c r="CO210" s="40660"/>
      <c r="CP210" s="40661"/>
      <c r="CQ210" s="40552">
        <v>46935.739224537036</v>
      </c>
      <c r="CR210" s="40662" t="s">
        <v>63</v>
      </c>
      <c r="CS210" s="40552">
        <v>47118.73939814815</v>
      </c>
      <c r="CT210" s="40663" t="s">
        <v>63</v>
      </c>
      <c r="CU210" s="40664"/>
      <c r="CV210" s="406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210" s="40655">
        <f>STRCHECKDATE(V211:CU211)</f>
      </c>
      <c r="CX210" s="40656"/>
      <c r="CY210" s="40656" t="str">
        <f>IF(T210="","",T210)</f>
        <v/>
      </c>
      <c r="CZ210" s="40656"/>
      <c r="DA210" s="40656"/>
      <c r="DB210" s="40657">
        <v>0</v>
      </c>
    </row>
    <row s="52557" customFormat="1" customHeight="1" ht="14.25">
      <c r="A211" s="40638"/>
      <c r="B211" s="40638"/>
      <c r="C211" s="40638"/>
      <c r="D211" s="40638"/>
      <c r="E211" s="40639"/>
      <c r="F211" s="40639"/>
      <c r="G211" s="40639"/>
      <c r="H211" s="40639"/>
      <c r="I211" s="40640"/>
      <c r="J211" s="40640" t="str">
        <f>I204&amp;".1"</f>
        <v>1.9.1.1.1</v>
      </c>
      <c r="K211" s="40641"/>
      <c r="L211" s="40642"/>
      <c r="M211" s="40643"/>
      <c r="N211" s="40643"/>
      <c r="O211" s="40643"/>
      <c r="P211" s="40644"/>
      <c r="Q211" s="40644"/>
      <c r="R211" s="40646"/>
      <c r="S211" s="40667"/>
      <c r="T211" s="40649"/>
      <c r="U211" s="40649"/>
      <c r="V211" s="40668"/>
      <c r="W211" s="40668"/>
      <c r="X211" s="40669" t="str">
        <f>Y210&amp;"-"&amp;AA210</f>
        <v>-</v>
      </c>
      <c r="Y211" s="40670"/>
      <c r="Z211" s="40662"/>
      <c r="AA211" s="40670"/>
      <c r="AB211" s="40662"/>
      <c r="AC211" s="40668"/>
      <c r="AD211" s="40668"/>
      <c r="AE211" s="40669" t="str">
        <f>AF210&amp;"-"&amp;AH210</f>
        <v>45292.734502314815-45473.7346412037</v>
      </c>
      <c r="AF211" s="40670"/>
      <c r="AG211" s="40662"/>
      <c r="AH211" s="40671"/>
      <c r="AI211" s="40662"/>
      <c r="AJ211" s="40668"/>
      <c r="AK211" s="40668"/>
      <c r="AL211" s="40669" t="str">
        <f>AM210&amp;"-"&amp;AO210</f>
        <v>45474.73480324074-45657.734918981485</v>
      </c>
      <c r="AM211" s="40670"/>
      <c r="AN211" s="40662"/>
      <c r="AO211" s="40670"/>
      <c r="AP211" s="40662"/>
      <c r="AQ211" s="40668"/>
      <c r="AR211" s="40668"/>
      <c r="AS211" s="40669" t="str">
        <f>AT210&amp;"-"&amp;AV210</f>
        <v>45658.73509259259-45838.73520833333</v>
      </c>
      <c r="AT211" s="40670"/>
      <c r="AU211" s="40662"/>
      <c r="AV211" s="40670"/>
      <c r="AW211" s="40662"/>
      <c r="AX211" s="40668"/>
      <c r="AY211" s="40668"/>
      <c r="AZ211" s="40669" t="str">
        <f>BA210&amp;"-"&amp;BC210</f>
        <v>45839.735451388886-46022.735601851855</v>
      </c>
      <c r="BA211" s="40670"/>
      <c r="BB211" s="40662"/>
      <c r="BC211" s="40670"/>
      <c r="BD211" s="40662"/>
      <c r="BE211" s="40668"/>
      <c r="BF211" s="40668"/>
      <c r="BG211" s="40669" t="str">
        <f>BH210&amp;"-"&amp;BJ210</f>
        <v>46023.736134259256-46203.73631944445</v>
      </c>
      <c r="BH211" s="40670"/>
      <c r="BI211" s="40662"/>
      <c r="BJ211" s="40670"/>
      <c r="BK211" s="40662"/>
      <c r="BL211" s="40668"/>
      <c r="BM211" s="40668"/>
      <c r="BN211" s="40669" t="str">
        <f>BO210&amp;"-"&amp;BQ210</f>
        <v>46204.73662037037-46387.73703703703</v>
      </c>
      <c r="BO211" s="40670"/>
      <c r="BP211" s="40662"/>
      <c r="BQ211" s="40670"/>
      <c r="BR211" s="40662"/>
      <c r="BS211" s="40668"/>
      <c r="BT211" s="40668"/>
      <c r="BU211" s="40669" t="str">
        <f>BV210&amp;"-"&amp;BX210</f>
        <v>46388.73724537037-46568.737488425926</v>
      </c>
      <c r="BV211" s="40670"/>
      <c r="BW211" s="40662"/>
      <c r="BX211" s="40670"/>
      <c r="BY211" s="40662"/>
      <c r="BZ211" s="40668"/>
      <c r="CA211" s="40668"/>
      <c r="CB211" s="40669" t="str">
        <f>CC210&amp;"-"&amp;CE210</f>
        <v>46569.73793981481-46752.738125</v>
      </c>
      <c r="CC211" s="40670"/>
      <c r="CD211" s="40662"/>
      <c r="CE211" s="40670"/>
      <c r="CF211" s="40662"/>
      <c r="CG211" s="40668"/>
      <c r="CH211" s="40668"/>
      <c r="CI211" s="40669" t="str">
        <f>CJ210&amp;"-"&amp;CL210</f>
        <v>46753.73869212963-46934.738900462966</v>
      </c>
      <c r="CJ211" s="40670"/>
      <c r="CK211" s="40662"/>
      <c r="CL211" s="40670"/>
      <c r="CM211" s="40662"/>
      <c r="CN211" s="40668"/>
      <c r="CO211" s="40668"/>
      <c r="CP211" s="40669" t="str">
        <f>CQ210&amp;"-"&amp;CS210</f>
        <v>46935.739224537036-47118.73939814815</v>
      </c>
      <c r="CQ211" s="40670"/>
      <c r="CR211" s="40662"/>
      <c r="CS211" s="40670"/>
      <c r="CT211" s="40663"/>
      <c r="CU211" s="40672"/>
      <c r="CV211" s="40665"/>
      <c r="CW211" s="40655"/>
      <c r="CX211" s="40656"/>
      <c r="CY211" s="40656" t="str">
        <f>IF(T211="","",T211)</f>
        <v/>
      </c>
      <c r="CZ211" s="40656"/>
      <c r="DA211" s="40656"/>
      <c r="DB211" s="40657">
        <v>0</v>
      </c>
    </row>
    <row s="52558" customFormat="1" customHeight="1" ht="21">
      <c r="A212" s="40638"/>
      <c r="B212" s="40638"/>
      <c r="C212" s="40638"/>
      <c r="D212" s="40638"/>
      <c r="E212" s="40639"/>
      <c r="F212" s="40639"/>
      <c r="G212" s="40639"/>
      <c r="H212" s="40639"/>
      <c r="I212" s="40640"/>
      <c r="J212" s="40641" t="str">
        <f>I204&amp;".1"</f>
        <v>1.9.1.1.1</v>
      </c>
      <c r="K212" s="40638"/>
      <c r="L212" s="40642"/>
      <c r="M212" s="40643"/>
      <c r="N212" s="40643"/>
      <c r="O212" s="40643"/>
      <c r="P212" s="40644"/>
      <c r="Q212" s="40644"/>
      <c r="R212" s="40674"/>
      <c r="S212" s="43728"/>
      <c r="T212" s="43729" t="s">
        <v>601</v>
      </c>
      <c r="U212" s="43730"/>
      <c r="V212" s="43731"/>
      <c r="W212" s="43732"/>
      <c r="X212" s="43733"/>
      <c r="Y212" s="43734"/>
      <c r="Z212" s="43735"/>
      <c r="AA212" s="43736"/>
      <c r="AB212" s="43737"/>
      <c r="AC212" s="43738"/>
      <c r="AD212" s="43739"/>
      <c r="AE212" s="43740"/>
      <c r="AF212" s="43741"/>
      <c r="AG212" s="43742"/>
      <c r="AH212" s="43743"/>
      <c r="AI212" s="43744"/>
      <c r="AJ212" s="43745"/>
      <c r="AK212" s="43746"/>
      <c r="AL212" s="43747"/>
      <c r="AM212" s="43748"/>
      <c r="AN212" s="43749"/>
      <c r="AO212" s="43750"/>
      <c r="AP212" s="43751"/>
      <c r="AQ212" s="43752"/>
      <c r="AR212" s="43753"/>
      <c r="AS212" s="43754"/>
      <c r="AT212" s="43755"/>
      <c r="AU212" s="43756"/>
      <c r="AV212" s="43757"/>
      <c r="AW212" s="43758"/>
      <c r="AX212" s="43759"/>
      <c r="AY212" s="43760"/>
      <c r="AZ212" s="43761"/>
      <c r="BA212" s="43762"/>
      <c r="BB212" s="43763"/>
      <c r="BC212" s="43764"/>
      <c r="BD212" s="43765"/>
      <c r="BE212" s="43766"/>
      <c r="BF212" s="43767"/>
      <c r="BG212" s="43768"/>
      <c r="BH212" s="43769"/>
      <c r="BI212" s="43770"/>
      <c r="BJ212" s="43771"/>
      <c r="BK212" s="43772"/>
      <c r="BL212" s="43773"/>
      <c r="BM212" s="43774"/>
      <c r="BN212" s="43775"/>
      <c r="BO212" s="43776"/>
      <c r="BP212" s="43777"/>
      <c r="BQ212" s="43778"/>
      <c r="BR212" s="43779"/>
      <c r="BS212" s="43780"/>
      <c r="BT212" s="43781"/>
      <c r="BU212" s="43782"/>
      <c r="BV212" s="43783"/>
      <c r="BW212" s="43784"/>
      <c r="BX212" s="43785"/>
      <c r="BY212" s="43786"/>
      <c r="BZ212" s="43787"/>
      <c r="CA212" s="43788"/>
      <c r="CB212" s="43789"/>
      <c r="CC212" s="43790"/>
      <c r="CD212" s="43791"/>
      <c r="CE212" s="43792"/>
      <c r="CF212" s="43793"/>
      <c r="CG212" s="43794"/>
      <c r="CH212" s="43795"/>
      <c r="CI212" s="43796"/>
      <c r="CJ212" s="43797"/>
      <c r="CK212" s="43798"/>
      <c r="CL212" s="43799"/>
      <c r="CM212" s="43800"/>
      <c r="CN212" s="43801"/>
      <c r="CO212" s="43802"/>
      <c r="CP212" s="43803"/>
      <c r="CQ212" s="43804"/>
      <c r="CR212" s="43805"/>
      <c r="CS212" s="43806"/>
      <c r="CT212" s="43807"/>
      <c r="CU212" s="43808"/>
      <c r="CV212" s="40756" t="s">
        <v>602</v>
      </c>
      <c r="CW212" s="40655"/>
      <c r="CX212" s="40656"/>
      <c r="CY212" s="40656" t="str">
        <f>IF(T212="","",T212)</f>
        <v>Добавить значение признака дифференциации</v>
      </c>
      <c r="CZ212" s="40656"/>
      <c r="DA212" s="40656"/>
      <c r="DB212" s="40657">
        <v>0</v>
      </c>
    </row>
    <row s="52640" customFormat="1" customHeight="1" ht="21">
      <c r="A213" s="16967"/>
      <c r="B213" s="16967"/>
      <c r="C213" s="16967"/>
      <c r="D213" s="16967"/>
      <c r="E213" s="16968"/>
      <c r="F213" s="16968" t="s">
        <v>134</v>
      </c>
      <c r="G213" s="16968"/>
      <c r="H213" s="16968"/>
      <c r="I213" s="16989"/>
      <c r="J213" s="16967"/>
      <c r="K213" s="16967"/>
      <c r="L213" s="16970"/>
      <c r="M213" s="16990"/>
      <c r="N213" s="16990"/>
      <c r="O213" s="16990"/>
      <c r="P213" s="16991"/>
      <c r="Q213" s="16991"/>
      <c r="R213" s="16992"/>
      <c r="S213" s="19676"/>
      <c r="T213" s="19677" t="s">
        <v>530</v>
      </c>
      <c r="U213" s="19678"/>
      <c r="V213" s="19679"/>
      <c r="W213" s="19680"/>
      <c r="X213" s="19681"/>
      <c r="Y213" s="19682"/>
      <c r="Z213" s="19683"/>
      <c r="AA213" s="19684"/>
      <c r="AB213" s="19685"/>
      <c r="AC213" s="19686"/>
      <c r="AD213" s="19687"/>
      <c r="AE213" s="19688"/>
      <c r="AF213" s="19689"/>
      <c r="AG213" s="19690"/>
      <c r="AH213" s="19691"/>
      <c r="AI213" s="19692"/>
      <c r="AJ213" s="19693"/>
      <c r="AK213" s="19694"/>
      <c r="AL213" s="19695"/>
      <c r="AM213" s="19696"/>
      <c r="AN213" s="19697"/>
      <c r="AO213" s="19698"/>
      <c r="AP213" s="19699"/>
      <c r="AQ213" s="19700"/>
      <c r="AR213" s="19701"/>
      <c r="AS213" s="19702"/>
      <c r="AT213" s="19703"/>
      <c r="AU213" s="19704"/>
      <c r="AV213" s="19705"/>
      <c r="AW213" s="19706"/>
      <c r="AX213" s="19707"/>
      <c r="AY213" s="19708"/>
      <c r="AZ213" s="19709"/>
      <c r="BA213" s="19710"/>
      <c r="BB213" s="19711"/>
      <c r="BC213" s="19712"/>
      <c r="BD213" s="19713"/>
      <c r="BE213" s="19714"/>
      <c r="BF213" s="19715"/>
      <c r="BG213" s="19716"/>
      <c r="BH213" s="19717"/>
      <c r="BI213" s="19718"/>
      <c r="BJ213" s="19719"/>
      <c r="BK213" s="19720"/>
      <c r="BL213" s="19721"/>
      <c r="BM213" s="19722"/>
      <c r="BN213" s="19723"/>
      <c r="BO213" s="19724"/>
      <c r="BP213" s="19725"/>
      <c r="BQ213" s="19726"/>
      <c r="BR213" s="19727"/>
      <c r="BS213" s="19728"/>
      <c r="BT213" s="19729"/>
      <c r="BU213" s="19730"/>
      <c r="BV213" s="19731"/>
      <c r="BW213" s="19732"/>
      <c r="BX213" s="19733"/>
      <c r="BY213" s="19734"/>
      <c r="BZ213" s="19735"/>
      <c r="CA213" s="19736"/>
      <c r="CB213" s="19737"/>
      <c r="CC213" s="19738"/>
      <c r="CD213" s="19739"/>
      <c r="CE213" s="19740"/>
      <c r="CF213" s="19741"/>
      <c r="CG213" s="19742"/>
      <c r="CH213" s="19743"/>
      <c r="CI213" s="19744"/>
      <c r="CJ213" s="19745"/>
      <c r="CK213" s="19746"/>
      <c r="CL213" s="19747"/>
      <c r="CM213" s="19748"/>
      <c r="CN213" s="27280"/>
      <c r="CO213" s="27281"/>
      <c r="CP213" s="27282"/>
      <c r="CQ213" s="27283"/>
      <c r="CR213" s="27284"/>
      <c r="CS213" s="27285"/>
      <c r="CT213" s="27286"/>
      <c r="CU213" s="19749"/>
      <c r="CV213" s="19750"/>
      <c r="CW213" s="16982"/>
      <c r="CX213" s="16983"/>
      <c r="CY213" s="16983" t="str">
        <f>IF(T213="","",T213)</f>
        <v>Добавить группу потребителей</v>
      </c>
      <c r="CZ213" s="16983"/>
      <c r="DA213" s="16983"/>
      <c r="DB213" s="16984">
        <v>0</v>
      </c>
    </row>
    <row s="52723" customFormat="1" customHeight="1" ht="21">
      <c r="A214" s="16967"/>
      <c r="B214" s="16967"/>
      <c r="C214" s="16967"/>
      <c r="D214" s="16967"/>
      <c r="E214" s="16968"/>
      <c r="F214" s="16968" t="s">
        <v>134</v>
      </c>
      <c r="G214" s="16968"/>
      <c r="H214" s="16969"/>
      <c r="I214" s="16967"/>
      <c r="J214" s="16967"/>
      <c r="K214" s="16967"/>
      <c r="L214" s="16970"/>
      <c r="M214" s="16971"/>
      <c r="N214" s="16971"/>
      <c r="O214" s="17174"/>
      <c r="P214" s="17175"/>
      <c r="Q214" s="17176"/>
      <c r="R214" s="17177"/>
      <c r="S214" s="19752"/>
      <c r="T214" s="19753" t="s">
        <v>603</v>
      </c>
      <c r="U214" s="19754"/>
      <c r="V214" s="19755"/>
      <c r="W214" s="19756"/>
      <c r="X214" s="19757"/>
      <c r="Y214" s="19758"/>
      <c r="Z214" s="19759"/>
      <c r="AA214" s="19760"/>
      <c r="AB214" s="19761"/>
      <c r="AC214" s="19762"/>
      <c r="AD214" s="19763"/>
      <c r="AE214" s="19764"/>
      <c r="AF214" s="19765"/>
      <c r="AG214" s="19766"/>
      <c r="AH214" s="19767"/>
      <c r="AI214" s="19768"/>
      <c r="AJ214" s="19769"/>
      <c r="AK214" s="19770"/>
      <c r="AL214" s="19771"/>
      <c r="AM214" s="19772"/>
      <c r="AN214" s="19773"/>
      <c r="AO214" s="19774"/>
      <c r="AP214" s="19775"/>
      <c r="AQ214" s="19776"/>
      <c r="AR214" s="19777"/>
      <c r="AS214" s="19778"/>
      <c r="AT214" s="19779"/>
      <c r="AU214" s="19780"/>
      <c r="AV214" s="19781"/>
      <c r="AW214" s="19782"/>
      <c r="AX214" s="19783"/>
      <c r="AY214" s="19784"/>
      <c r="AZ214" s="19785"/>
      <c r="BA214" s="19786"/>
      <c r="BB214" s="19787"/>
      <c r="BC214" s="19788"/>
      <c r="BD214" s="19789"/>
      <c r="BE214" s="19790"/>
      <c r="BF214" s="19791"/>
      <c r="BG214" s="19792"/>
      <c r="BH214" s="19793"/>
      <c r="BI214" s="19794"/>
      <c r="BJ214" s="19795"/>
      <c r="BK214" s="19796"/>
      <c r="BL214" s="19797"/>
      <c r="BM214" s="19798"/>
      <c r="BN214" s="19799"/>
      <c r="BO214" s="19800"/>
      <c r="BP214" s="19801"/>
      <c r="BQ214" s="19802"/>
      <c r="BR214" s="19803"/>
      <c r="BS214" s="19804"/>
      <c r="BT214" s="19805"/>
      <c r="BU214" s="19806"/>
      <c r="BV214" s="19807"/>
      <c r="BW214" s="19808"/>
      <c r="BX214" s="19809"/>
      <c r="BY214" s="19810"/>
      <c r="BZ214" s="19811"/>
      <c r="CA214" s="19812"/>
      <c r="CB214" s="19813"/>
      <c r="CC214" s="19814"/>
      <c r="CD214" s="19815"/>
      <c r="CE214" s="19816"/>
      <c r="CF214" s="19817"/>
      <c r="CG214" s="19818"/>
      <c r="CH214" s="19819"/>
      <c r="CI214" s="19820"/>
      <c r="CJ214" s="19821"/>
      <c r="CK214" s="19822"/>
      <c r="CL214" s="19823"/>
      <c r="CM214" s="19824"/>
      <c r="CN214" s="27363"/>
      <c r="CO214" s="27364"/>
      <c r="CP214" s="27365"/>
      <c r="CQ214" s="27366"/>
      <c r="CR214" s="27367"/>
      <c r="CS214" s="27368"/>
      <c r="CT214" s="27369"/>
      <c r="CU214" s="19825"/>
      <c r="CV214" s="19826"/>
      <c r="CW214" s="16982"/>
      <c r="CX214" s="16983"/>
      <c r="CY214" s="16983" t="str">
        <f>IF(T214="","",T214)</f>
        <v>Добавить наименование признака дифференциации</v>
      </c>
      <c r="CZ214" s="16983"/>
      <c r="DA214" s="16983"/>
      <c r="DB214" s="16984">
        <v>0</v>
      </c>
    </row>
    <row s="52806" customFormat="1" customHeight="1" ht="14.25">
      <c r="A215" s="17254"/>
      <c r="B215" s="17254"/>
      <c r="C215" s="17254"/>
      <c r="D215" s="17254"/>
      <c r="E215" s="16968"/>
      <c r="F215" s="16969" t="s">
        <v>134</v>
      </c>
      <c r="G215" s="17254"/>
      <c r="H215" s="17254"/>
      <c r="I215" s="17254"/>
      <c r="J215" s="17254"/>
      <c r="K215" s="17254"/>
      <c r="L215" s="17255"/>
      <c r="M215" s="17256"/>
      <c r="N215" s="17256"/>
      <c r="O215" s="16982"/>
      <c r="P215" s="17257"/>
      <c r="Q215" s="17258"/>
      <c r="R215" s="17257"/>
      <c r="S215" s="17259"/>
      <c r="T215" s="17260" t="s">
        <v>321</v>
      </c>
      <c r="U215" s="17261"/>
      <c r="V215" s="17261"/>
      <c r="W215" s="17261"/>
      <c r="X215" s="17261"/>
      <c r="Y215" s="17261"/>
      <c r="Z215" s="17261"/>
      <c r="AA215" s="17261"/>
      <c r="AB215" s="17261"/>
      <c r="AC215" s="17261"/>
      <c r="AD215" s="17261"/>
      <c r="AE215" s="17261"/>
      <c r="AF215" s="17261"/>
      <c r="AG215" s="17261"/>
      <c r="AH215" s="17261"/>
      <c r="AI215" s="17261"/>
      <c r="AJ215" s="17261"/>
      <c r="AK215" s="17261"/>
      <c r="AL215" s="17261"/>
      <c r="AM215" s="17261"/>
      <c r="AN215" s="17261"/>
      <c r="AO215" s="17261"/>
      <c r="AP215" s="17261"/>
      <c r="AQ215" s="17261"/>
      <c r="AR215" s="17261"/>
      <c r="AS215" s="17261"/>
      <c r="AT215" s="17261"/>
      <c r="AU215" s="17261"/>
      <c r="AV215" s="17261"/>
      <c r="AW215" s="17261"/>
      <c r="AX215" s="17261"/>
      <c r="AY215" s="17261"/>
      <c r="AZ215" s="17261"/>
      <c r="BA215" s="17261"/>
      <c r="BB215" s="17261"/>
      <c r="BC215" s="17261"/>
      <c r="BD215" s="17261"/>
      <c r="BE215" s="17261"/>
      <c r="BF215" s="17261"/>
      <c r="BG215" s="17261"/>
      <c r="BH215" s="17261"/>
      <c r="BI215" s="17261"/>
      <c r="BJ215" s="17261"/>
      <c r="BK215" s="17261"/>
      <c r="BL215" s="17261"/>
      <c r="BM215" s="17261"/>
      <c r="BN215" s="17261"/>
      <c r="BO215" s="17261"/>
      <c r="BP215" s="17261"/>
      <c r="BQ215" s="17261"/>
      <c r="BR215" s="17261"/>
      <c r="BS215" s="17261"/>
      <c r="BT215" s="17261"/>
      <c r="BU215" s="17261"/>
      <c r="BV215" s="17261"/>
      <c r="BW215" s="17261"/>
      <c r="BX215" s="17261"/>
      <c r="BY215" s="17261"/>
      <c r="BZ215" s="17261"/>
      <c r="CA215" s="17261"/>
      <c r="CB215" s="17261"/>
      <c r="CC215" s="17261"/>
      <c r="CD215" s="17261"/>
      <c r="CE215" s="17261"/>
      <c r="CF215" s="17261"/>
      <c r="CG215" s="17261"/>
      <c r="CH215" s="17261"/>
      <c r="CI215" s="17261"/>
      <c r="CJ215" s="17261"/>
      <c r="CK215" s="17261"/>
      <c r="CL215" s="17261"/>
      <c r="CM215" s="17261"/>
      <c r="CN215" s="23902"/>
      <c r="CO215" s="23902"/>
      <c r="CP215" s="23902"/>
      <c r="CQ215" s="23902"/>
      <c r="CR215" s="23902"/>
      <c r="CS215" s="23902"/>
      <c r="CT215" s="23902"/>
      <c r="CU215" s="17261"/>
      <c r="CV215" s="17261"/>
      <c r="CW215" s="16982"/>
      <c r="CX215" s="16983"/>
      <c r="CY215" s="16983" t="str">
        <f>IF(T215="","",T215)</f>
        <v>Добавить централизованную систему для дифференциации</v>
      </c>
      <c r="CZ215" s="16983"/>
      <c r="DA215" s="16983"/>
      <c r="DB215" s="16982">
        <v>0</v>
      </c>
    </row>
    <row s="52807" customFormat="1" customHeight="1" ht="23.25">
      <c r="A216" s="16967"/>
      <c r="B216" s="16967" t="s">
        <v>367</v>
      </c>
      <c r="C216" s="16967"/>
      <c r="D216" s="16967"/>
      <c r="E216" s="16968"/>
      <c r="F216" s="16969" t="s">
        <v>145</v>
      </c>
      <c r="G216" s="16967"/>
      <c r="H216" s="16967"/>
      <c r="I216" s="16967"/>
      <c r="J216" s="16967"/>
      <c r="K216" s="16967"/>
      <c r="L216" s="16970"/>
      <c r="M216" s="16971"/>
      <c r="N216" s="16971"/>
      <c r="O216" s="16971"/>
      <c r="P216" s="16972"/>
      <c r="Q216" s="16973"/>
      <c r="R216" s="16974"/>
      <c r="S216" s="16975" t="str">
        <f>INDEX(PT_DIFFERENTIATION_NUM_TER,MATCH(B216,PT_DIFFERENTIATION_TER_ID,0))</f>
        <v>1.10</v>
      </c>
      <c r="T216" s="16976" t="s">
        <v>515</v>
      </c>
      <c r="U216" s="16977"/>
      <c r="V216" s="16978"/>
      <c r="W216" s="16979"/>
      <c r="X216" s="16979"/>
      <c r="Y216" s="16979"/>
      <c r="Z216" s="16979"/>
      <c r="AA216" s="16979"/>
      <c r="AB216" s="16980"/>
      <c r="AC216" s="16978" t="str">
        <f>INDEX(PT_DIFFERENTIATION_TER,MATCH(B216,PT_DIFFERENTIATION_TER_ID,0))</f>
        <v>Территория 10</v>
      </c>
      <c r="AD216" s="16979"/>
      <c r="AE216" s="16979"/>
      <c r="AF216" s="16979"/>
      <c r="AG216" s="16979"/>
      <c r="AH216" s="16979"/>
      <c r="AI216" s="16979"/>
      <c r="AJ216" s="16978"/>
      <c r="AK216" s="16979"/>
      <c r="AL216" s="16979"/>
      <c r="AM216" s="16979"/>
      <c r="AN216" s="16979"/>
      <c r="AO216" s="16979"/>
      <c r="AP216" s="16980"/>
      <c r="AQ216" s="16978"/>
      <c r="AR216" s="16979"/>
      <c r="AS216" s="16979"/>
      <c r="AT216" s="16979"/>
      <c r="AU216" s="16979"/>
      <c r="AV216" s="16979"/>
      <c r="AW216" s="16980"/>
      <c r="AX216" s="16978"/>
      <c r="AY216" s="16979"/>
      <c r="AZ216" s="16979"/>
      <c r="BA216" s="16979"/>
      <c r="BB216" s="16979"/>
      <c r="BC216" s="16979"/>
      <c r="BD216" s="16980"/>
      <c r="BE216" s="16978"/>
      <c r="BF216" s="16979"/>
      <c r="BG216" s="16979"/>
      <c r="BH216" s="16979"/>
      <c r="BI216" s="16979"/>
      <c r="BJ216" s="16979"/>
      <c r="BK216" s="16980"/>
      <c r="BL216" s="16978"/>
      <c r="BM216" s="16979"/>
      <c r="BN216" s="16979"/>
      <c r="BO216" s="16979"/>
      <c r="BP216" s="16979"/>
      <c r="BQ216" s="16979"/>
      <c r="BR216" s="16980"/>
      <c r="BS216" s="16978"/>
      <c r="BT216" s="16979"/>
      <c r="BU216" s="16979"/>
      <c r="BV216" s="16979"/>
      <c r="BW216" s="16979"/>
      <c r="BX216" s="16979"/>
      <c r="BY216" s="16980"/>
      <c r="BZ216" s="16978"/>
      <c r="CA216" s="16979"/>
      <c r="CB216" s="16979"/>
      <c r="CC216" s="16979"/>
      <c r="CD216" s="16979"/>
      <c r="CE216" s="16979"/>
      <c r="CF216" s="16980"/>
      <c r="CG216" s="16978"/>
      <c r="CH216" s="16979"/>
      <c r="CI216" s="16979"/>
      <c r="CJ216" s="16979"/>
      <c r="CK216" s="16979"/>
      <c r="CL216" s="16979"/>
      <c r="CM216" s="16980"/>
      <c r="CN216" s="23679"/>
      <c r="CO216" s="23680"/>
      <c r="CP216" s="23680"/>
      <c r="CQ216" s="23680"/>
      <c r="CR216" s="23680"/>
      <c r="CS216" s="23680"/>
      <c r="CT216" s="23681"/>
      <c r="CU216" s="16980"/>
      <c r="CV216" s="16981" t="s">
        <v>516</v>
      </c>
      <c r="CW216" s="16982"/>
      <c r="CX216" s="16983"/>
      <c r="CY216" s="16983" t="str">
        <f>IF(T216="","",T216)</f>
        <v>Территория действия тарифа</v>
      </c>
      <c r="CZ216" s="16983"/>
      <c r="DA216" s="16983"/>
      <c r="DB216" s="16984">
        <v>0</v>
      </c>
    </row>
    <row s="52808" customFormat="1" customHeight="1" ht="23.25">
      <c r="A217" s="16967"/>
      <c r="B217" s="16967"/>
      <c r="C217" s="16967" t="s">
        <v>368</v>
      </c>
      <c r="D217" s="16967"/>
      <c r="E217" s="16968"/>
      <c r="F217" s="16968" t="s">
        <v>139</v>
      </c>
      <c r="G217" s="16969">
        <v>1</v>
      </c>
      <c r="H217" s="16967"/>
      <c r="I217" s="16967"/>
      <c r="J217" s="16967"/>
      <c r="K217" s="16967"/>
      <c r="L217" s="16970"/>
      <c r="M217" s="16971"/>
      <c r="N217" s="16971"/>
      <c r="O217" s="16971"/>
      <c r="P217" s="16986"/>
      <c r="Q217" s="16973"/>
      <c r="R217" s="16974"/>
      <c r="S217" s="16975" t="str">
        <f>INDEX(PT_DIFFERENTIATION_NUM_CS,MATCH(C217,PT_DIFFERENTIATION_CS_ID,0))</f>
        <v>1.10.1</v>
      </c>
      <c r="T217" s="16987" t="s">
        <v>631</v>
      </c>
      <c r="U217" s="16977"/>
      <c r="V217" s="16978"/>
      <c r="W217" s="16979"/>
      <c r="X217" s="16979"/>
      <c r="Y217" s="16979"/>
      <c r="Z217" s="16979"/>
      <c r="AA217" s="16979"/>
      <c r="AB217" s="16980"/>
      <c r="AC217" s="16978" t="str">
        <f>INDEX(PT_DIFFERENTIATION_CS,MATCH(C217,PT_DIFFERENTIATION_CS_ID,0))</f>
        <v>с. Многоудобное</v>
      </c>
      <c r="AD217" s="16979"/>
      <c r="AE217" s="16979"/>
      <c r="AF217" s="16979"/>
      <c r="AG217" s="16979"/>
      <c r="AH217" s="16979"/>
      <c r="AI217" s="16979"/>
      <c r="AJ217" s="16978"/>
      <c r="AK217" s="16979"/>
      <c r="AL217" s="16979"/>
      <c r="AM217" s="16979"/>
      <c r="AN217" s="16979"/>
      <c r="AO217" s="16979"/>
      <c r="AP217" s="16980"/>
      <c r="AQ217" s="16978"/>
      <c r="AR217" s="16979"/>
      <c r="AS217" s="16979"/>
      <c r="AT217" s="16979"/>
      <c r="AU217" s="16979"/>
      <c r="AV217" s="16979"/>
      <c r="AW217" s="16980"/>
      <c r="AX217" s="16978"/>
      <c r="AY217" s="16979"/>
      <c r="AZ217" s="16979"/>
      <c r="BA217" s="16979"/>
      <c r="BB217" s="16979"/>
      <c r="BC217" s="16979"/>
      <c r="BD217" s="16980"/>
      <c r="BE217" s="16978"/>
      <c r="BF217" s="16979"/>
      <c r="BG217" s="16979"/>
      <c r="BH217" s="16979"/>
      <c r="BI217" s="16979"/>
      <c r="BJ217" s="16979"/>
      <c r="BK217" s="16980"/>
      <c r="BL217" s="16978"/>
      <c r="BM217" s="16979"/>
      <c r="BN217" s="16979"/>
      <c r="BO217" s="16979"/>
      <c r="BP217" s="16979"/>
      <c r="BQ217" s="16979"/>
      <c r="BR217" s="16980"/>
      <c r="BS217" s="16978"/>
      <c r="BT217" s="16979"/>
      <c r="BU217" s="16979"/>
      <c r="BV217" s="16979"/>
      <c r="BW217" s="16979"/>
      <c r="BX217" s="16979"/>
      <c r="BY217" s="16980"/>
      <c r="BZ217" s="16978"/>
      <c r="CA217" s="16979"/>
      <c r="CB217" s="16979"/>
      <c r="CC217" s="16979"/>
      <c r="CD217" s="16979"/>
      <c r="CE217" s="16979"/>
      <c r="CF217" s="16980"/>
      <c r="CG217" s="16978"/>
      <c r="CH217" s="16979"/>
      <c r="CI217" s="16979"/>
      <c r="CJ217" s="16979"/>
      <c r="CK217" s="16979"/>
      <c r="CL217" s="16979"/>
      <c r="CM217" s="16980"/>
      <c r="CN217" s="23679"/>
      <c r="CO217" s="23680"/>
      <c r="CP217" s="23680"/>
      <c r="CQ217" s="23680"/>
      <c r="CR217" s="23680"/>
      <c r="CS217" s="23680"/>
      <c r="CT217" s="23681"/>
      <c r="CU217" s="16980"/>
      <c r="CV217" s="16981" t="s">
        <v>632</v>
      </c>
      <c r="CW217" s="16982"/>
      <c r="CX217" s="16983"/>
      <c r="CY217" s="16983" t="str">
        <f>IF(T217="","",T217)</f>
        <v>Наименование централизованной системы водоотведения</v>
      </c>
      <c r="CZ217" s="16983"/>
      <c r="DA217" s="16983"/>
      <c r="DB217" s="16984">
        <v>0</v>
      </c>
    </row>
    <row s="52809" customFormat="1" customHeight="1" ht="23.25">
      <c r="A218" s="16967"/>
      <c r="B218" s="16967"/>
      <c r="C218" s="16967"/>
      <c r="D218" s="16967"/>
      <c r="E218" s="16968"/>
      <c r="F218" s="16968" t="s">
        <v>139</v>
      </c>
      <c r="G218" s="16968"/>
      <c r="H218" s="16968"/>
      <c r="I218" s="16989" t="str">
        <f>S217&amp;".1"</f>
        <v>1.10.1.1</v>
      </c>
      <c r="J218" s="16967"/>
      <c r="K218" s="16967"/>
      <c r="L218" s="16970"/>
      <c r="M218" s="16990"/>
      <c r="N218" s="16990"/>
      <c r="O218" s="16990"/>
      <c r="P218" s="16991">
        <v>1</v>
      </c>
      <c r="Q218" s="16991"/>
      <c r="R218" s="16992"/>
      <c r="S218" s="16975" t="str">
        <f>$I218</f>
        <v>1.10.1.1</v>
      </c>
      <c r="T218" s="16993" t="s">
        <v>598</v>
      </c>
      <c r="U218" s="16977"/>
      <c r="V218" s="16994"/>
      <c r="W218" s="16995"/>
      <c r="X218" s="16995"/>
      <c r="Y218" s="16995"/>
      <c r="Z218" s="16995"/>
      <c r="AA218" s="16995"/>
      <c r="AB218" s="16996"/>
      <c r="AC218" s="16997"/>
      <c r="AD218" s="16998"/>
      <c r="AE218" s="16998"/>
      <c r="AF218" s="16998"/>
      <c r="AG218" s="16998"/>
      <c r="AH218" s="16998"/>
      <c r="AI218" s="16998"/>
      <c r="AJ218" s="16994"/>
      <c r="AK218" s="16995"/>
      <c r="AL218" s="16995"/>
      <c r="AM218" s="16995"/>
      <c r="AN218" s="16995"/>
      <c r="AO218" s="16995"/>
      <c r="AP218" s="16996"/>
      <c r="AQ218" s="16994"/>
      <c r="AR218" s="16995"/>
      <c r="AS218" s="16995"/>
      <c r="AT218" s="16995"/>
      <c r="AU218" s="16995"/>
      <c r="AV218" s="16995"/>
      <c r="AW218" s="16996"/>
      <c r="AX218" s="16994"/>
      <c r="AY218" s="16995"/>
      <c r="AZ218" s="16995"/>
      <c r="BA218" s="16995"/>
      <c r="BB218" s="16995"/>
      <c r="BC218" s="16995"/>
      <c r="BD218" s="16996"/>
      <c r="BE218" s="16994"/>
      <c r="BF218" s="16995"/>
      <c r="BG218" s="16995"/>
      <c r="BH218" s="16995"/>
      <c r="BI218" s="16995"/>
      <c r="BJ218" s="16995"/>
      <c r="BK218" s="16996"/>
      <c r="BL218" s="16994"/>
      <c r="BM218" s="16995"/>
      <c r="BN218" s="16995"/>
      <c r="BO218" s="16995"/>
      <c r="BP218" s="16995"/>
      <c r="BQ218" s="16995"/>
      <c r="BR218" s="16996"/>
      <c r="BS218" s="16994"/>
      <c r="BT218" s="16995"/>
      <c r="BU218" s="16995"/>
      <c r="BV218" s="16995"/>
      <c r="BW218" s="16995"/>
      <c r="BX218" s="16995"/>
      <c r="BY218" s="16996"/>
      <c r="BZ218" s="16994"/>
      <c r="CA218" s="16995"/>
      <c r="CB218" s="16995"/>
      <c r="CC218" s="16995"/>
      <c r="CD218" s="16995"/>
      <c r="CE218" s="16995"/>
      <c r="CF218" s="16996"/>
      <c r="CG218" s="16994"/>
      <c r="CH218" s="16995"/>
      <c r="CI218" s="16995"/>
      <c r="CJ218" s="16995"/>
      <c r="CK218" s="16995"/>
      <c r="CL218" s="16995"/>
      <c r="CM218" s="16996"/>
      <c r="CN218" s="23687"/>
      <c r="CO218" s="23688"/>
      <c r="CP218" s="23688"/>
      <c r="CQ218" s="23688"/>
      <c r="CR218" s="23688"/>
      <c r="CS218" s="23688"/>
      <c r="CT218" s="23689"/>
      <c r="CU218" s="16999"/>
      <c r="CV218" s="16981" t="s">
        <v>599</v>
      </c>
      <c r="CW218" s="16982"/>
      <c r="CX218" s="16983"/>
      <c r="CY218" s="16983" t="str">
        <f>IF(T218="","",T218)</f>
        <v>Наименование признака дифференциации</v>
      </c>
      <c r="CZ218" s="16983"/>
      <c r="DA218" s="16983"/>
      <c r="DB218" s="16984">
        <v>0</v>
      </c>
    </row>
    <row s="52810" customFormat="1" customHeight="1" ht="23.25">
      <c r="A219" s="16967"/>
      <c r="B219" s="16967"/>
      <c r="C219" s="16967"/>
      <c r="D219" s="16967"/>
      <c r="E219" s="16968"/>
      <c r="F219" s="16968" t="s">
        <v>139</v>
      </c>
      <c r="G219" s="16968"/>
      <c r="H219" s="16968"/>
      <c r="I219" s="17001"/>
      <c r="J219" s="16989" t="str">
        <f>I218&amp;".1"</f>
        <v>1.10.1.1.1</v>
      </c>
      <c r="K219" s="16967"/>
      <c r="L219" s="16970" t="s">
        <v>524</v>
      </c>
      <c r="M219" s="16990"/>
      <c r="N219" s="16990"/>
      <c r="O219" s="16990"/>
      <c r="P219" s="16991"/>
      <c r="Q219" s="16991">
        <v>1</v>
      </c>
      <c r="R219" s="17002"/>
      <c r="S219" s="16975" t="str">
        <f>$J219</f>
        <v>1.10.1.1.1</v>
      </c>
      <c r="T219" s="17003" t="s">
        <v>525</v>
      </c>
      <c r="U219" s="16977"/>
      <c r="V219" s="17004"/>
      <c r="W219" s="17005"/>
      <c r="X219" s="17005"/>
      <c r="Y219" s="17005"/>
      <c r="Z219" s="17005"/>
      <c r="AA219" s="17005"/>
      <c r="AB219" s="17006"/>
      <c r="AC219" s="17004" t="s">
        <v>636</v>
      </c>
      <c r="AD219" s="17005"/>
      <c r="AE219" s="17005"/>
      <c r="AF219" s="17005"/>
      <c r="AG219" s="17005"/>
      <c r="AH219" s="17005"/>
      <c r="AI219" s="17005"/>
      <c r="AJ219" s="17004"/>
      <c r="AK219" s="17005"/>
      <c r="AL219" s="17005"/>
      <c r="AM219" s="17005"/>
      <c r="AN219" s="17005"/>
      <c r="AO219" s="17005"/>
      <c r="AP219" s="17006"/>
      <c r="AQ219" s="17004"/>
      <c r="AR219" s="17005"/>
      <c r="AS219" s="17005"/>
      <c r="AT219" s="17005"/>
      <c r="AU219" s="17005"/>
      <c r="AV219" s="17005"/>
      <c r="AW219" s="17006"/>
      <c r="AX219" s="17004"/>
      <c r="AY219" s="17005"/>
      <c r="AZ219" s="17005"/>
      <c r="BA219" s="17005"/>
      <c r="BB219" s="17005"/>
      <c r="BC219" s="17005"/>
      <c r="BD219" s="17006"/>
      <c r="BE219" s="17004"/>
      <c r="BF219" s="17005"/>
      <c r="BG219" s="17005"/>
      <c r="BH219" s="17005"/>
      <c r="BI219" s="17005"/>
      <c r="BJ219" s="17005"/>
      <c r="BK219" s="17006"/>
      <c r="BL219" s="17004"/>
      <c r="BM219" s="17005"/>
      <c r="BN219" s="17005"/>
      <c r="BO219" s="17005"/>
      <c r="BP219" s="17005"/>
      <c r="BQ219" s="17005"/>
      <c r="BR219" s="17006"/>
      <c r="BS219" s="17004"/>
      <c r="BT219" s="17005"/>
      <c r="BU219" s="17005"/>
      <c r="BV219" s="17005"/>
      <c r="BW219" s="17005"/>
      <c r="BX219" s="17005"/>
      <c r="BY219" s="17006"/>
      <c r="BZ219" s="17004"/>
      <c r="CA219" s="17005"/>
      <c r="CB219" s="17005"/>
      <c r="CC219" s="17005"/>
      <c r="CD219" s="17005"/>
      <c r="CE219" s="17005"/>
      <c r="CF219" s="17006"/>
      <c r="CG219" s="17004"/>
      <c r="CH219" s="17005"/>
      <c r="CI219" s="17005"/>
      <c r="CJ219" s="17005"/>
      <c r="CK219" s="17005"/>
      <c r="CL219" s="17005"/>
      <c r="CM219" s="17006"/>
      <c r="CN219" s="23693"/>
      <c r="CO219" s="23694"/>
      <c r="CP219" s="23694"/>
      <c r="CQ219" s="23694"/>
      <c r="CR219" s="23694"/>
      <c r="CS219" s="23694"/>
      <c r="CT219" s="23695"/>
      <c r="CU219" s="17006"/>
      <c r="CV219" s="17007" t="s">
        <v>600</v>
      </c>
      <c r="CW219" s="16982"/>
      <c r="CX219" s="16983"/>
      <c r="CY219" s="16983" t="str">
        <f>IF(T219="","",T219)</f>
        <v>Группа потребителей</v>
      </c>
      <c r="CZ219" s="16983"/>
      <c r="DA219" s="16983"/>
      <c r="DB219" s="16984">
        <v>0</v>
      </c>
    </row>
    <row s="52811" customFormat="1" customHeight="1" ht="23.25">
      <c r="A220" s="16967"/>
      <c r="B220" s="16967"/>
      <c r="C220" s="16967"/>
      <c r="D220" s="16967"/>
      <c r="E220" s="16968"/>
      <c r="F220" s="16968" t="s">
        <v>139</v>
      </c>
      <c r="G220" s="16968"/>
      <c r="H220" s="16968"/>
      <c r="I220" s="17001"/>
      <c r="J220" s="17001"/>
      <c r="K220" s="16989" t="str">
        <f>J219&amp;".1"</f>
        <v>1.10.1.1.1.1</v>
      </c>
      <c r="L220" s="16970"/>
      <c r="M220" s="16990"/>
      <c r="N220" s="16990"/>
      <c r="O220" s="16990"/>
      <c r="P220" s="16991"/>
      <c r="Q220" s="16991"/>
      <c r="R220" s="17002">
        <v>1</v>
      </c>
      <c r="S220" s="16975" t="str">
        <f>$K220</f>
        <v>1.10.1.1.1.1</v>
      </c>
      <c r="T220" s="17009"/>
      <c r="U220" s="16977"/>
      <c r="V220" s="17010"/>
      <c r="W220" s="17010"/>
      <c r="X220" s="17011"/>
      <c r="Y220" s="16696"/>
      <c r="Z220" s="17012" t="s">
        <v>63</v>
      </c>
      <c r="AA220" s="16696"/>
      <c r="AB220" s="17012" t="s">
        <v>63</v>
      </c>
      <c r="AC220" s="17010">
        <v>24.96</v>
      </c>
      <c r="AD220" s="17010"/>
      <c r="AE220" s="17011"/>
      <c r="AF220" s="40552">
        <v>45292.74407407407</v>
      </c>
      <c r="AG220" s="17012" t="s">
        <v>63</v>
      </c>
      <c r="AH220" s="40553">
        <v>45473.74428240741</v>
      </c>
      <c r="AI220" s="17012" t="s">
        <v>63</v>
      </c>
      <c r="AJ220" s="17010">
        <v>32.45</v>
      </c>
      <c r="AK220" s="17010"/>
      <c r="AL220" s="17011"/>
      <c r="AM220" s="40552">
        <v>45474.74450231482</v>
      </c>
      <c r="AN220" s="17012" t="s">
        <v>63</v>
      </c>
      <c r="AO220" s="40552">
        <v>45657.74465277778</v>
      </c>
      <c r="AP220" s="17012" t="s">
        <v>63</v>
      </c>
      <c r="AQ220" s="17010">
        <v>32.45</v>
      </c>
      <c r="AR220" s="17010"/>
      <c r="AS220" s="17011"/>
      <c r="AT220" s="40552">
        <v>45658.744791666664</v>
      </c>
      <c r="AU220" s="17012" t="s">
        <v>63</v>
      </c>
      <c r="AV220" s="40552">
        <v>45838.74489583333</v>
      </c>
      <c r="AW220" s="17012" t="s">
        <v>63</v>
      </c>
      <c r="AX220" s="17010">
        <v>42.04</v>
      </c>
      <c r="AY220" s="17010"/>
      <c r="AZ220" s="17011"/>
      <c r="BA220" s="40552">
        <v>45839.74524305556</v>
      </c>
      <c r="BB220" s="17012" t="s">
        <v>63</v>
      </c>
      <c r="BC220" s="40552">
        <v>46022.745474537034</v>
      </c>
      <c r="BD220" s="17012" t="s">
        <v>63</v>
      </c>
      <c r="BE220" s="17010">
        <v>34.99</v>
      </c>
      <c r="BF220" s="17010"/>
      <c r="BG220" s="17011"/>
      <c r="BH220" s="40552">
        <v>46023.74568287037</v>
      </c>
      <c r="BI220" s="17012" t="s">
        <v>63</v>
      </c>
      <c r="BJ220" s="40552">
        <v>46203.745844907404</v>
      </c>
      <c r="BK220" s="17012" t="s">
        <v>63</v>
      </c>
      <c r="BL220" s="17010">
        <v>34.99</v>
      </c>
      <c r="BM220" s="17010"/>
      <c r="BN220" s="17011"/>
      <c r="BO220" s="40552">
        <v>46204.74623842593</v>
      </c>
      <c r="BP220" s="17012" t="s">
        <v>63</v>
      </c>
      <c r="BQ220" s="40552">
        <v>46387.74644675926</v>
      </c>
      <c r="BR220" s="17012" t="s">
        <v>63</v>
      </c>
      <c r="BS220" s="17010">
        <v>34.99</v>
      </c>
      <c r="BT220" s="17010"/>
      <c r="BU220" s="17011"/>
      <c r="BV220" s="40552">
        <v>46388.74686342593</v>
      </c>
      <c r="BW220" s="17012" t="s">
        <v>63</v>
      </c>
      <c r="BX220" s="40552">
        <v>46568.747141203705</v>
      </c>
      <c r="BY220" s="17012" t="s">
        <v>63</v>
      </c>
      <c r="BZ220" s="17010">
        <v>36.83</v>
      </c>
      <c r="CA220" s="17010"/>
      <c r="CB220" s="17011"/>
      <c r="CC220" s="40552">
        <v>46569.7475</v>
      </c>
      <c r="CD220" s="17012" t="s">
        <v>63</v>
      </c>
      <c r="CE220" s="40552">
        <v>46752.74796296296</v>
      </c>
      <c r="CF220" s="17012" t="s">
        <v>63</v>
      </c>
      <c r="CG220" s="17010">
        <v>36.83</v>
      </c>
      <c r="CH220" s="17010"/>
      <c r="CI220" s="17011"/>
      <c r="CJ220" s="40552">
        <v>46753.74822916667</v>
      </c>
      <c r="CK220" s="17012" t="s">
        <v>63</v>
      </c>
      <c r="CL220" s="40552">
        <v>46934.74853009259</v>
      </c>
      <c r="CM220" s="17012" t="s">
        <v>63</v>
      </c>
      <c r="CN220" s="23700">
        <v>37.1</v>
      </c>
      <c r="CO220" s="23700"/>
      <c r="CP220" s="23701"/>
      <c r="CQ220" s="40552">
        <v>46935.74884259259</v>
      </c>
      <c r="CR220" s="23703" t="s">
        <v>63</v>
      </c>
      <c r="CS220" s="40552">
        <v>47118.74912037037</v>
      </c>
      <c r="CT220" s="23703" t="s">
        <v>63</v>
      </c>
      <c r="CU220" s="17013"/>
      <c r="CV220" s="170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220" s="16982">
        <f>STRCHECKDATE(V221:CU221)</f>
      </c>
      <c r="CX220" s="16983"/>
      <c r="CY220" s="16983" t="str">
        <f>IF(T220="","",T220)</f>
        <v/>
      </c>
      <c r="CZ220" s="16983"/>
      <c r="DA220" s="16983"/>
      <c r="DB220" s="16984">
        <v>0</v>
      </c>
    </row>
    <row s="52812" customFormat="1" customHeight="1" ht="14.25">
      <c r="A221" s="16967"/>
      <c r="B221" s="16967"/>
      <c r="C221" s="16967"/>
      <c r="D221" s="16967"/>
      <c r="E221" s="16968"/>
      <c r="F221" s="16968" t="s">
        <v>139</v>
      </c>
      <c r="G221" s="16968"/>
      <c r="H221" s="16968"/>
      <c r="I221" s="17001"/>
      <c r="J221" s="17001"/>
      <c r="K221" s="16989"/>
      <c r="L221" s="16970"/>
      <c r="M221" s="16990"/>
      <c r="N221" s="16990"/>
      <c r="O221" s="16990"/>
      <c r="P221" s="16991"/>
      <c r="Q221" s="16991"/>
      <c r="R221" s="17002"/>
      <c r="S221" s="17016"/>
      <c r="T221" s="16977"/>
      <c r="U221" s="16977"/>
      <c r="V221" s="17017"/>
      <c r="W221" s="17017"/>
      <c r="X221" s="17018" t="str">
        <f>Y220&amp;"-"&amp;AA220</f>
        <v>-</v>
      </c>
      <c r="Y221" s="17019"/>
      <c r="Z221" s="17012"/>
      <c r="AA221" s="17019"/>
      <c r="AB221" s="17012"/>
      <c r="AC221" s="17017"/>
      <c r="AD221" s="17017"/>
      <c r="AE221" s="17018" t="str">
        <f>AF220&amp;"-"&amp;AH220</f>
        <v>45292.74407407407-45473.74428240741</v>
      </c>
      <c r="AF221" s="17019"/>
      <c r="AG221" s="17012"/>
      <c r="AH221" s="17020"/>
      <c r="AI221" s="17012"/>
      <c r="AJ221" s="17017"/>
      <c r="AK221" s="17017"/>
      <c r="AL221" s="17018" t="str">
        <f>AM220&amp;"-"&amp;AO220</f>
        <v>45474.74450231482-45657.74465277778</v>
      </c>
      <c r="AM221" s="17019"/>
      <c r="AN221" s="17012"/>
      <c r="AO221" s="17019"/>
      <c r="AP221" s="17012"/>
      <c r="AQ221" s="17017"/>
      <c r="AR221" s="17017"/>
      <c r="AS221" s="17018" t="str">
        <f>AT220&amp;"-"&amp;AV220</f>
        <v>45658.744791666664-45838.74489583333</v>
      </c>
      <c r="AT221" s="17019"/>
      <c r="AU221" s="17012"/>
      <c r="AV221" s="17019"/>
      <c r="AW221" s="17012"/>
      <c r="AX221" s="17017"/>
      <c r="AY221" s="17017"/>
      <c r="AZ221" s="17018" t="str">
        <f>BA220&amp;"-"&amp;BC220</f>
        <v>45839.74524305556-46022.745474537034</v>
      </c>
      <c r="BA221" s="17019"/>
      <c r="BB221" s="17012"/>
      <c r="BC221" s="17019"/>
      <c r="BD221" s="17012"/>
      <c r="BE221" s="17017"/>
      <c r="BF221" s="17017"/>
      <c r="BG221" s="17018" t="str">
        <f>BH220&amp;"-"&amp;BJ220</f>
        <v>46023.74568287037-46203.745844907404</v>
      </c>
      <c r="BH221" s="17019"/>
      <c r="BI221" s="17012"/>
      <c r="BJ221" s="17019"/>
      <c r="BK221" s="17012"/>
      <c r="BL221" s="17017"/>
      <c r="BM221" s="17017"/>
      <c r="BN221" s="17018" t="str">
        <f>BO220&amp;"-"&amp;BQ220</f>
        <v>46204.74623842593-46387.74644675926</v>
      </c>
      <c r="BO221" s="17019"/>
      <c r="BP221" s="17012"/>
      <c r="BQ221" s="17019"/>
      <c r="BR221" s="17012"/>
      <c r="BS221" s="17017"/>
      <c r="BT221" s="17017"/>
      <c r="BU221" s="17018" t="str">
        <f>BV220&amp;"-"&amp;BX220</f>
        <v>46388.74686342593-46568.747141203705</v>
      </c>
      <c r="BV221" s="17019"/>
      <c r="BW221" s="17012"/>
      <c r="BX221" s="17019"/>
      <c r="BY221" s="17012"/>
      <c r="BZ221" s="17017"/>
      <c r="CA221" s="17017"/>
      <c r="CB221" s="17018" t="str">
        <f>CC220&amp;"-"&amp;CE220</f>
        <v>46569.7475-46752.74796296296</v>
      </c>
      <c r="CC221" s="17019"/>
      <c r="CD221" s="17012"/>
      <c r="CE221" s="17019"/>
      <c r="CF221" s="17012"/>
      <c r="CG221" s="17017"/>
      <c r="CH221" s="17017"/>
      <c r="CI221" s="17018" t="str">
        <f>CJ220&amp;"-"&amp;CL220</f>
        <v>46753.74822916667-46934.74853009259</v>
      </c>
      <c r="CJ221" s="17019"/>
      <c r="CK221" s="17012"/>
      <c r="CL221" s="17019"/>
      <c r="CM221" s="17012"/>
      <c r="CN221" s="23708"/>
      <c r="CO221" s="23708"/>
      <c r="CP221" s="23709" t="str">
        <f>CQ220&amp;"-"&amp;CS220</f>
        <v>46935.74884259259-47118.74912037037</v>
      </c>
      <c r="CQ221" s="23710"/>
      <c r="CR221" s="23703"/>
      <c r="CS221" s="23710"/>
      <c r="CT221" s="23703"/>
      <c r="CU221" s="17021"/>
      <c r="CV221" s="17014"/>
      <c r="CW221" s="16982"/>
      <c r="CX221" s="16983"/>
      <c r="CY221" s="16983" t="str">
        <f>IF(T221="","",T221)</f>
        <v/>
      </c>
      <c r="CZ221" s="16983"/>
      <c r="DA221" s="16983"/>
      <c r="DB221" s="16984">
        <v>0</v>
      </c>
    </row>
    <row s="52813" customFormat="1" customHeight="1" ht="21">
      <c r="A222" s="16967"/>
      <c r="B222" s="16967"/>
      <c r="C222" s="16967"/>
      <c r="D222" s="16967"/>
      <c r="E222" s="16968"/>
      <c r="F222" s="16968" t="s">
        <v>139</v>
      </c>
      <c r="G222" s="16968"/>
      <c r="H222" s="16968"/>
      <c r="I222" s="17001"/>
      <c r="J222" s="16989"/>
      <c r="K222" s="16967"/>
      <c r="L222" s="16970"/>
      <c r="M222" s="16990"/>
      <c r="N222" s="16990"/>
      <c r="O222" s="16990"/>
      <c r="P222" s="16991"/>
      <c r="Q222" s="16991"/>
      <c r="R222" s="16992"/>
      <c r="S222" s="19835"/>
      <c r="T222" s="19836" t="s">
        <v>601</v>
      </c>
      <c r="U222" s="19837"/>
      <c r="V222" s="19838"/>
      <c r="W222" s="19839"/>
      <c r="X222" s="19840"/>
      <c r="Y222" s="19841"/>
      <c r="Z222" s="19842"/>
      <c r="AA222" s="19843"/>
      <c r="AB222" s="19844"/>
      <c r="AC222" s="19845"/>
      <c r="AD222" s="19846"/>
      <c r="AE222" s="19847"/>
      <c r="AF222" s="19848"/>
      <c r="AG222" s="19849"/>
      <c r="AH222" s="19850"/>
      <c r="AI222" s="19851"/>
      <c r="AJ222" s="19852"/>
      <c r="AK222" s="19853"/>
      <c r="AL222" s="19854"/>
      <c r="AM222" s="19855"/>
      <c r="AN222" s="19856"/>
      <c r="AO222" s="19857"/>
      <c r="AP222" s="19858"/>
      <c r="AQ222" s="19859"/>
      <c r="AR222" s="19860"/>
      <c r="AS222" s="19861"/>
      <c r="AT222" s="19862"/>
      <c r="AU222" s="19863"/>
      <c r="AV222" s="19864"/>
      <c r="AW222" s="19865"/>
      <c r="AX222" s="19866"/>
      <c r="AY222" s="19867"/>
      <c r="AZ222" s="19868"/>
      <c r="BA222" s="19869"/>
      <c r="BB222" s="19870"/>
      <c r="BC222" s="19871"/>
      <c r="BD222" s="19872"/>
      <c r="BE222" s="19873"/>
      <c r="BF222" s="19874"/>
      <c r="BG222" s="19875"/>
      <c r="BH222" s="19876"/>
      <c r="BI222" s="19877"/>
      <c r="BJ222" s="19878"/>
      <c r="BK222" s="19879"/>
      <c r="BL222" s="19880"/>
      <c r="BM222" s="19881"/>
      <c r="BN222" s="19882"/>
      <c r="BO222" s="19883"/>
      <c r="BP222" s="19884"/>
      <c r="BQ222" s="19885"/>
      <c r="BR222" s="19886"/>
      <c r="BS222" s="19887"/>
      <c r="BT222" s="19888"/>
      <c r="BU222" s="19889"/>
      <c r="BV222" s="19890"/>
      <c r="BW222" s="19891"/>
      <c r="BX222" s="19892"/>
      <c r="BY222" s="19893"/>
      <c r="BZ222" s="19894"/>
      <c r="CA222" s="19895"/>
      <c r="CB222" s="19896"/>
      <c r="CC222" s="19897"/>
      <c r="CD222" s="19898"/>
      <c r="CE222" s="19899"/>
      <c r="CF222" s="19900"/>
      <c r="CG222" s="19901"/>
      <c r="CH222" s="19902"/>
      <c r="CI222" s="19903"/>
      <c r="CJ222" s="19904"/>
      <c r="CK222" s="19905"/>
      <c r="CL222" s="19906"/>
      <c r="CM222" s="19907"/>
      <c r="CN222" s="27453"/>
      <c r="CO222" s="27454"/>
      <c r="CP222" s="27455"/>
      <c r="CQ222" s="27456"/>
      <c r="CR222" s="27457"/>
      <c r="CS222" s="27458"/>
      <c r="CT222" s="27459"/>
      <c r="CU222" s="19908"/>
      <c r="CV222" s="16981" t="s">
        <v>602</v>
      </c>
      <c r="CW222" s="16982"/>
      <c r="CX222" s="16983"/>
      <c r="CY222" s="16983" t="str">
        <f>IF(T222="","",T222)</f>
        <v>Добавить значение признака дифференциации</v>
      </c>
      <c r="CZ222" s="16983"/>
      <c r="DA222" s="16983"/>
      <c r="DB222" s="16984">
        <v>0</v>
      </c>
    </row>
    <row s="52895" customFormat="1" customHeight="1" ht="23.25">
      <c r="A223" s="40638"/>
      <c r="B223" s="40638"/>
      <c r="C223" s="40638"/>
      <c r="D223" s="40638"/>
      <c r="E223" s="40639"/>
      <c r="F223" s="40639"/>
      <c r="G223" s="40639"/>
      <c r="H223" s="40639"/>
      <c r="I223" s="40640"/>
      <c r="J223" s="40641" t="str">
        <f>I218&amp;".2"</f>
        <v>1.10.1.1.2</v>
      </c>
      <c r="K223" s="40638"/>
      <c r="L223" s="40642" t="s">
        <v>524</v>
      </c>
      <c r="M223" s="40643"/>
      <c r="N223" s="40643"/>
      <c r="O223" s="40643"/>
      <c r="P223" s="40644"/>
      <c r="Q223" s="40645" t="s">
        <v>106</v>
      </c>
      <c r="R223" s="40646"/>
      <c r="S223" s="40647" t="str">
        <f>$J223</f>
        <v>1.10.1.1.2</v>
      </c>
      <c r="T223" s="40648" t="s">
        <v>525</v>
      </c>
      <c r="U223" s="40649"/>
      <c r="V223" s="40650"/>
      <c r="W223" s="40651"/>
      <c r="X223" s="40651"/>
      <c r="Y223" s="40651"/>
      <c r="Z223" s="40651"/>
      <c r="AA223" s="40651"/>
      <c r="AB223" s="40652"/>
      <c r="AC223" s="40650" t="s">
        <v>637</v>
      </c>
      <c r="AD223" s="40651"/>
      <c r="AE223" s="40651"/>
      <c r="AF223" s="40651"/>
      <c r="AG223" s="40651"/>
      <c r="AH223" s="40651"/>
      <c r="AI223" s="40651"/>
      <c r="AJ223" s="40650"/>
      <c r="AK223" s="40651"/>
      <c r="AL223" s="40651"/>
      <c r="AM223" s="40651"/>
      <c r="AN223" s="40651"/>
      <c r="AO223" s="40651"/>
      <c r="AP223" s="40652"/>
      <c r="AQ223" s="40650"/>
      <c r="AR223" s="40651"/>
      <c r="AS223" s="40651"/>
      <c r="AT223" s="40651"/>
      <c r="AU223" s="40651"/>
      <c r="AV223" s="40651"/>
      <c r="AW223" s="40652"/>
      <c r="AX223" s="40650"/>
      <c r="AY223" s="40651"/>
      <c r="AZ223" s="40651"/>
      <c r="BA223" s="40651"/>
      <c r="BB223" s="40651"/>
      <c r="BC223" s="40651"/>
      <c r="BD223" s="40652"/>
      <c r="BE223" s="40650"/>
      <c r="BF223" s="40651"/>
      <c r="BG223" s="40651"/>
      <c r="BH223" s="40651"/>
      <c r="BI223" s="40651"/>
      <c r="BJ223" s="40651"/>
      <c r="BK223" s="40652"/>
      <c r="BL223" s="40650"/>
      <c r="BM223" s="40651"/>
      <c r="BN223" s="40651"/>
      <c r="BO223" s="40651"/>
      <c r="BP223" s="40651"/>
      <c r="BQ223" s="40651"/>
      <c r="BR223" s="40652"/>
      <c r="BS223" s="40650"/>
      <c r="BT223" s="40651"/>
      <c r="BU223" s="40651"/>
      <c r="BV223" s="40651"/>
      <c r="BW223" s="40651"/>
      <c r="BX223" s="40651"/>
      <c r="BY223" s="40652"/>
      <c r="BZ223" s="40650"/>
      <c r="CA223" s="40651"/>
      <c r="CB223" s="40651"/>
      <c r="CC223" s="40651"/>
      <c r="CD223" s="40651"/>
      <c r="CE223" s="40651"/>
      <c r="CF223" s="40652"/>
      <c r="CG223" s="40650"/>
      <c r="CH223" s="40651"/>
      <c r="CI223" s="40651"/>
      <c r="CJ223" s="40651"/>
      <c r="CK223" s="40651"/>
      <c r="CL223" s="40651"/>
      <c r="CM223" s="40652"/>
      <c r="CN223" s="40650"/>
      <c r="CO223" s="40651"/>
      <c r="CP223" s="40651"/>
      <c r="CQ223" s="40651"/>
      <c r="CR223" s="40651"/>
      <c r="CS223" s="40651"/>
      <c r="CT223" s="40653"/>
      <c r="CU223" s="40652"/>
      <c r="CV223" s="40654" t="s">
        <v>600</v>
      </c>
      <c r="CW223" s="40655"/>
      <c r="CX223" s="40656"/>
      <c r="CY223" s="40656" t="str">
        <f>IF(T223="","",T223)</f>
        <v>Группа потребителей</v>
      </c>
      <c r="CZ223" s="40656"/>
      <c r="DA223" s="40656"/>
      <c r="DB223" s="40657">
        <v>0</v>
      </c>
    </row>
    <row s="52896" customFormat="1" customHeight="1" ht="23.25">
      <c r="A224" s="40638"/>
      <c r="B224" s="40638"/>
      <c r="C224" s="40638"/>
      <c r="D224" s="40638"/>
      <c r="E224" s="40639"/>
      <c r="F224" s="40639"/>
      <c r="G224" s="40639"/>
      <c r="H224" s="40639"/>
      <c r="I224" s="40640"/>
      <c r="J224" s="40640" t="str">
        <f>I218&amp;".1"</f>
        <v>1.10.1.1.1</v>
      </c>
      <c r="K224" s="40641" t="str">
        <f>J223&amp;".1"</f>
        <v>1.10.1.1.2.1</v>
      </c>
      <c r="L224" s="40642"/>
      <c r="M224" s="40643"/>
      <c r="N224" s="40643"/>
      <c r="O224" s="40643"/>
      <c r="P224" s="40644"/>
      <c r="Q224" s="40644"/>
      <c r="R224" s="40646">
        <v>1</v>
      </c>
      <c r="S224" s="40647" t="str">
        <f>$K224</f>
        <v>1.10.1.1.2.1</v>
      </c>
      <c r="T224" s="40659"/>
      <c r="U224" s="40649"/>
      <c r="V224" s="40660"/>
      <c r="W224" s="40660"/>
      <c r="X224" s="40661"/>
      <c r="Y224" s="40552"/>
      <c r="Z224" s="40662" t="s">
        <v>63</v>
      </c>
      <c r="AA224" s="40552"/>
      <c r="AB224" s="40662" t="s">
        <v>63</v>
      </c>
      <c r="AC224" s="40660">
        <v>20.8</v>
      </c>
      <c r="AD224" s="40660"/>
      <c r="AE224" s="40661"/>
      <c r="AF224" s="40552">
        <v>45292.74417824074</v>
      </c>
      <c r="AG224" s="40662" t="s">
        <v>63</v>
      </c>
      <c r="AH224" s="40553">
        <v>45473.74435185185</v>
      </c>
      <c r="AI224" s="40662" t="s">
        <v>63</v>
      </c>
      <c r="AJ224" s="40660">
        <v>27.04</v>
      </c>
      <c r="AK224" s="40660"/>
      <c r="AL224" s="40661"/>
      <c r="AM224" s="40552">
        <v>45474.744571759256</v>
      </c>
      <c r="AN224" s="40662" t="s">
        <v>63</v>
      </c>
      <c r="AO224" s="40552">
        <v>45657.74469907407</v>
      </c>
      <c r="AP224" s="40662" t="s">
        <v>63</v>
      </c>
      <c r="AQ224" s="40660">
        <v>27.04</v>
      </c>
      <c r="AR224" s="40660"/>
      <c r="AS224" s="40661"/>
      <c r="AT224" s="40552">
        <v>45658.74486111111</v>
      </c>
      <c r="AU224" s="40662" t="s">
        <v>63</v>
      </c>
      <c r="AV224" s="40552">
        <v>45838.744988425926</v>
      </c>
      <c r="AW224" s="40662" t="s">
        <v>63</v>
      </c>
      <c r="AX224" s="40660">
        <v>35.03</v>
      </c>
      <c r="AY224" s="40660"/>
      <c r="AZ224" s="40661"/>
      <c r="BA224" s="40552">
        <v>45839.74537037037</v>
      </c>
      <c r="BB224" s="40662" t="s">
        <v>63</v>
      </c>
      <c r="BC224" s="40552">
        <v>46022.74556712963</v>
      </c>
      <c r="BD224" s="40662" t="s">
        <v>63</v>
      </c>
      <c r="BE224" s="40660">
        <v>29.16</v>
      </c>
      <c r="BF224" s="40660"/>
      <c r="BG224" s="40661"/>
      <c r="BH224" s="40552">
        <v>46023.745775462965</v>
      </c>
      <c r="BI224" s="40662" t="s">
        <v>63</v>
      </c>
      <c r="BJ224" s="40552">
        <v>46203.74594907407</v>
      </c>
      <c r="BK224" s="40662" t="s">
        <v>63</v>
      </c>
      <c r="BL224" s="40660">
        <v>29.16</v>
      </c>
      <c r="BM224" s="40660"/>
      <c r="BN224" s="40661"/>
      <c r="BO224" s="40552">
        <v>46204.746342592596</v>
      </c>
      <c r="BP224" s="40662" t="s">
        <v>63</v>
      </c>
      <c r="BQ224" s="40552">
        <v>46387.746516203704</v>
      </c>
      <c r="BR224" s="40662" t="s">
        <v>63</v>
      </c>
      <c r="BS224" s="40660">
        <v>29.16</v>
      </c>
      <c r="BT224" s="40660"/>
      <c r="BU224" s="40661"/>
      <c r="BV224" s="40552">
        <v>46388.74704861111</v>
      </c>
      <c r="BW224" s="40662" t="s">
        <v>63</v>
      </c>
      <c r="BX224" s="40552">
        <v>46568.74728009259</v>
      </c>
      <c r="BY224" s="40662" t="s">
        <v>63</v>
      </c>
      <c r="BZ224" s="40660">
        <v>30.69</v>
      </c>
      <c r="CA224" s="40660"/>
      <c r="CB224" s="40661"/>
      <c r="CC224" s="40552">
        <v>46569.74762731481</v>
      </c>
      <c r="CD224" s="40662" t="s">
        <v>63</v>
      </c>
      <c r="CE224" s="40552">
        <v>46752.748032407406</v>
      </c>
      <c r="CF224" s="40662" t="s">
        <v>63</v>
      </c>
      <c r="CG224" s="40660">
        <v>30.69</v>
      </c>
      <c r="CH224" s="40660"/>
      <c r="CI224" s="40661"/>
      <c r="CJ224" s="40552">
        <v>46753.74831018518</v>
      </c>
      <c r="CK224" s="40662" t="s">
        <v>63</v>
      </c>
      <c r="CL224" s="40552">
        <v>46934.74863425926</v>
      </c>
      <c r="CM224" s="40662" t="s">
        <v>63</v>
      </c>
      <c r="CN224" s="40660">
        <v>30.92</v>
      </c>
      <c r="CO224" s="40660"/>
      <c r="CP224" s="40661"/>
      <c r="CQ224" s="40552">
        <v>46935.74899305555</v>
      </c>
      <c r="CR224" s="40662" t="s">
        <v>63</v>
      </c>
      <c r="CS224" s="40552">
        <v>47118.749189814815</v>
      </c>
      <c r="CT224" s="40663" t="s">
        <v>63</v>
      </c>
      <c r="CU224" s="40664"/>
      <c r="CV224" s="406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224" s="40655">
        <f>STRCHECKDATE(V225:CU225)</f>
      </c>
      <c r="CX224" s="40656"/>
      <c r="CY224" s="40656" t="str">
        <f>IF(T224="","",T224)</f>
        <v/>
      </c>
      <c r="CZ224" s="40656"/>
      <c r="DA224" s="40656"/>
      <c r="DB224" s="40657">
        <v>0</v>
      </c>
    </row>
    <row s="52897" customFormat="1" customHeight="1" ht="14.25">
      <c r="A225" s="40638"/>
      <c r="B225" s="40638"/>
      <c r="C225" s="40638"/>
      <c r="D225" s="40638"/>
      <c r="E225" s="40639"/>
      <c r="F225" s="40639"/>
      <c r="G225" s="40639"/>
      <c r="H225" s="40639"/>
      <c r="I225" s="40640"/>
      <c r="J225" s="40640" t="str">
        <f>I218&amp;".1"</f>
        <v>1.10.1.1.1</v>
      </c>
      <c r="K225" s="40641"/>
      <c r="L225" s="40642"/>
      <c r="M225" s="40643"/>
      <c r="N225" s="40643"/>
      <c r="O225" s="40643"/>
      <c r="P225" s="40644"/>
      <c r="Q225" s="40644"/>
      <c r="R225" s="40646"/>
      <c r="S225" s="40667"/>
      <c r="T225" s="40649"/>
      <c r="U225" s="40649"/>
      <c r="V225" s="40668"/>
      <c r="W225" s="40668"/>
      <c r="X225" s="40669" t="str">
        <f>Y224&amp;"-"&amp;AA224</f>
        <v>-</v>
      </c>
      <c r="Y225" s="40670"/>
      <c r="Z225" s="40662"/>
      <c r="AA225" s="40670"/>
      <c r="AB225" s="40662"/>
      <c r="AC225" s="40668"/>
      <c r="AD225" s="40668"/>
      <c r="AE225" s="40669" t="str">
        <f>AF224&amp;"-"&amp;AH224</f>
        <v>45292.74417824074-45473.74435185185</v>
      </c>
      <c r="AF225" s="40670"/>
      <c r="AG225" s="40662"/>
      <c r="AH225" s="40671"/>
      <c r="AI225" s="40662"/>
      <c r="AJ225" s="40668"/>
      <c r="AK225" s="40668"/>
      <c r="AL225" s="40669" t="str">
        <f>AM224&amp;"-"&amp;AO224</f>
        <v>45474.744571759256-45657.74469907407</v>
      </c>
      <c r="AM225" s="40670"/>
      <c r="AN225" s="40662"/>
      <c r="AO225" s="40670"/>
      <c r="AP225" s="40662"/>
      <c r="AQ225" s="40668"/>
      <c r="AR225" s="40668"/>
      <c r="AS225" s="40669" t="str">
        <f>AT224&amp;"-"&amp;AV224</f>
        <v>45658.74486111111-45838.744988425926</v>
      </c>
      <c r="AT225" s="40670"/>
      <c r="AU225" s="40662"/>
      <c r="AV225" s="40670"/>
      <c r="AW225" s="40662"/>
      <c r="AX225" s="40668"/>
      <c r="AY225" s="40668"/>
      <c r="AZ225" s="40669" t="str">
        <f>BA224&amp;"-"&amp;BC224</f>
        <v>45839.74537037037-46022.74556712963</v>
      </c>
      <c r="BA225" s="40670"/>
      <c r="BB225" s="40662"/>
      <c r="BC225" s="40670"/>
      <c r="BD225" s="40662"/>
      <c r="BE225" s="40668"/>
      <c r="BF225" s="40668"/>
      <c r="BG225" s="40669" t="str">
        <f>BH224&amp;"-"&amp;BJ224</f>
        <v>46023.745775462965-46203.74594907407</v>
      </c>
      <c r="BH225" s="40670"/>
      <c r="BI225" s="40662"/>
      <c r="BJ225" s="40670"/>
      <c r="BK225" s="40662"/>
      <c r="BL225" s="40668"/>
      <c r="BM225" s="40668"/>
      <c r="BN225" s="40669" t="str">
        <f>BO224&amp;"-"&amp;BQ224</f>
        <v>46204.746342592596-46387.746516203704</v>
      </c>
      <c r="BO225" s="40670"/>
      <c r="BP225" s="40662"/>
      <c r="BQ225" s="40670"/>
      <c r="BR225" s="40662"/>
      <c r="BS225" s="40668"/>
      <c r="BT225" s="40668"/>
      <c r="BU225" s="40669" t="str">
        <f>BV224&amp;"-"&amp;BX224</f>
        <v>46388.74704861111-46568.74728009259</v>
      </c>
      <c r="BV225" s="40670"/>
      <c r="BW225" s="40662"/>
      <c r="BX225" s="40670"/>
      <c r="BY225" s="40662"/>
      <c r="BZ225" s="40668"/>
      <c r="CA225" s="40668"/>
      <c r="CB225" s="40669" t="str">
        <f>CC224&amp;"-"&amp;CE224</f>
        <v>46569.74762731481-46752.748032407406</v>
      </c>
      <c r="CC225" s="40670"/>
      <c r="CD225" s="40662"/>
      <c r="CE225" s="40670"/>
      <c r="CF225" s="40662"/>
      <c r="CG225" s="40668"/>
      <c r="CH225" s="40668"/>
      <c r="CI225" s="40669" t="str">
        <f>CJ224&amp;"-"&amp;CL224</f>
        <v>46753.74831018518-46934.74863425926</v>
      </c>
      <c r="CJ225" s="40670"/>
      <c r="CK225" s="40662"/>
      <c r="CL225" s="40670"/>
      <c r="CM225" s="40662"/>
      <c r="CN225" s="40668"/>
      <c r="CO225" s="40668"/>
      <c r="CP225" s="40669" t="str">
        <f>CQ224&amp;"-"&amp;CS224</f>
        <v>46935.74899305555-47118.749189814815</v>
      </c>
      <c r="CQ225" s="40670"/>
      <c r="CR225" s="40662"/>
      <c r="CS225" s="40670"/>
      <c r="CT225" s="40663"/>
      <c r="CU225" s="40672"/>
      <c r="CV225" s="40665"/>
      <c r="CW225" s="40655"/>
      <c r="CX225" s="40656"/>
      <c r="CY225" s="40656" t="str">
        <f>IF(T225="","",T225)</f>
        <v/>
      </c>
      <c r="CZ225" s="40656"/>
      <c r="DA225" s="40656"/>
      <c r="DB225" s="40657">
        <v>0</v>
      </c>
    </row>
    <row s="52898" customFormat="1" customHeight="1" ht="21">
      <c r="A226" s="40638"/>
      <c r="B226" s="40638"/>
      <c r="C226" s="40638"/>
      <c r="D226" s="40638"/>
      <c r="E226" s="40639"/>
      <c r="F226" s="40639"/>
      <c r="G226" s="40639"/>
      <c r="H226" s="40639"/>
      <c r="I226" s="40640"/>
      <c r="J226" s="40641" t="str">
        <f>I218&amp;".1"</f>
        <v>1.10.1.1.1</v>
      </c>
      <c r="K226" s="40638"/>
      <c r="L226" s="40642"/>
      <c r="M226" s="40643"/>
      <c r="N226" s="40643"/>
      <c r="O226" s="40643"/>
      <c r="P226" s="40644"/>
      <c r="Q226" s="40644"/>
      <c r="R226" s="40674"/>
      <c r="S226" s="44068"/>
      <c r="T226" s="44069" t="s">
        <v>601</v>
      </c>
      <c r="U226" s="44070"/>
      <c r="V226" s="44071"/>
      <c r="W226" s="44072"/>
      <c r="X226" s="44073"/>
      <c r="Y226" s="44074"/>
      <c r="Z226" s="44075"/>
      <c r="AA226" s="44076"/>
      <c r="AB226" s="44077"/>
      <c r="AC226" s="44078"/>
      <c r="AD226" s="44079"/>
      <c r="AE226" s="44080"/>
      <c r="AF226" s="44081"/>
      <c r="AG226" s="44082"/>
      <c r="AH226" s="44083"/>
      <c r="AI226" s="44084"/>
      <c r="AJ226" s="44085"/>
      <c r="AK226" s="44086"/>
      <c r="AL226" s="44087"/>
      <c r="AM226" s="44088"/>
      <c r="AN226" s="44089"/>
      <c r="AO226" s="44090"/>
      <c r="AP226" s="44091"/>
      <c r="AQ226" s="44092"/>
      <c r="AR226" s="44093"/>
      <c r="AS226" s="44094"/>
      <c r="AT226" s="44095"/>
      <c r="AU226" s="44096"/>
      <c r="AV226" s="44097"/>
      <c r="AW226" s="44098"/>
      <c r="AX226" s="44099"/>
      <c r="AY226" s="44100"/>
      <c r="AZ226" s="44101"/>
      <c r="BA226" s="44102"/>
      <c r="BB226" s="44103"/>
      <c r="BC226" s="44104"/>
      <c r="BD226" s="44105"/>
      <c r="BE226" s="44106"/>
      <c r="BF226" s="44107"/>
      <c r="BG226" s="44108"/>
      <c r="BH226" s="44109"/>
      <c r="BI226" s="44110"/>
      <c r="BJ226" s="44111"/>
      <c r="BK226" s="44112"/>
      <c r="BL226" s="44113"/>
      <c r="BM226" s="44114"/>
      <c r="BN226" s="44115"/>
      <c r="BO226" s="44116"/>
      <c r="BP226" s="44117"/>
      <c r="BQ226" s="44118"/>
      <c r="BR226" s="44119"/>
      <c r="BS226" s="44120"/>
      <c r="BT226" s="44121"/>
      <c r="BU226" s="44122"/>
      <c r="BV226" s="44123"/>
      <c r="BW226" s="44124"/>
      <c r="BX226" s="44125"/>
      <c r="BY226" s="44126"/>
      <c r="BZ226" s="44127"/>
      <c r="CA226" s="44128"/>
      <c r="CB226" s="44129"/>
      <c r="CC226" s="44130"/>
      <c r="CD226" s="44131"/>
      <c r="CE226" s="44132"/>
      <c r="CF226" s="44133"/>
      <c r="CG226" s="44134"/>
      <c r="CH226" s="44135"/>
      <c r="CI226" s="44136"/>
      <c r="CJ226" s="44137"/>
      <c r="CK226" s="44138"/>
      <c r="CL226" s="44139"/>
      <c r="CM226" s="44140"/>
      <c r="CN226" s="44141"/>
      <c r="CO226" s="44142"/>
      <c r="CP226" s="44143"/>
      <c r="CQ226" s="44144"/>
      <c r="CR226" s="44145"/>
      <c r="CS226" s="44146"/>
      <c r="CT226" s="44147"/>
      <c r="CU226" s="44148"/>
      <c r="CV226" s="40756" t="s">
        <v>602</v>
      </c>
      <c r="CW226" s="40655"/>
      <c r="CX226" s="40656"/>
      <c r="CY226" s="40656" t="str">
        <f>IF(T226="","",T226)</f>
        <v>Добавить значение признака дифференциации</v>
      </c>
      <c r="CZ226" s="40656"/>
      <c r="DA226" s="40656"/>
      <c r="DB226" s="40657">
        <v>0</v>
      </c>
    </row>
    <row s="52980" customFormat="1" customHeight="1" ht="21">
      <c r="A227" s="16967"/>
      <c r="B227" s="16967"/>
      <c r="C227" s="16967"/>
      <c r="D227" s="16967"/>
      <c r="E227" s="16968"/>
      <c r="F227" s="16968" t="s">
        <v>139</v>
      </c>
      <c r="G227" s="16968"/>
      <c r="H227" s="16968"/>
      <c r="I227" s="16989"/>
      <c r="J227" s="16967"/>
      <c r="K227" s="16967"/>
      <c r="L227" s="16970"/>
      <c r="M227" s="16990"/>
      <c r="N227" s="16990"/>
      <c r="O227" s="16990"/>
      <c r="P227" s="16991"/>
      <c r="Q227" s="16991"/>
      <c r="R227" s="16992"/>
      <c r="S227" s="19910"/>
      <c r="T227" s="19911" t="s">
        <v>530</v>
      </c>
      <c r="U227" s="19912"/>
      <c r="V227" s="19913"/>
      <c r="W227" s="19914"/>
      <c r="X227" s="19915"/>
      <c r="Y227" s="19916"/>
      <c r="Z227" s="19917"/>
      <c r="AA227" s="19918"/>
      <c r="AB227" s="19919"/>
      <c r="AC227" s="19920"/>
      <c r="AD227" s="19921"/>
      <c r="AE227" s="19922"/>
      <c r="AF227" s="19923"/>
      <c r="AG227" s="19924"/>
      <c r="AH227" s="19925"/>
      <c r="AI227" s="19926"/>
      <c r="AJ227" s="19927"/>
      <c r="AK227" s="19928"/>
      <c r="AL227" s="19929"/>
      <c r="AM227" s="19930"/>
      <c r="AN227" s="19931"/>
      <c r="AO227" s="19932"/>
      <c r="AP227" s="19933"/>
      <c r="AQ227" s="19934"/>
      <c r="AR227" s="19935"/>
      <c r="AS227" s="19936"/>
      <c r="AT227" s="19937"/>
      <c r="AU227" s="19938"/>
      <c r="AV227" s="19939"/>
      <c r="AW227" s="19940"/>
      <c r="AX227" s="19941"/>
      <c r="AY227" s="19942"/>
      <c r="AZ227" s="19943"/>
      <c r="BA227" s="19944"/>
      <c r="BB227" s="19945"/>
      <c r="BC227" s="19946"/>
      <c r="BD227" s="19947"/>
      <c r="BE227" s="19948"/>
      <c r="BF227" s="19949"/>
      <c r="BG227" s="19950"/>
      <c r="BH227" s="19951"/>
      <c r="BI227" s="19952"/>
      <c r="BJ227" s="19953"/>
      <c r="BK227" s="19954"/>
      <c r="BL227" s="19955"/>
      <c r="BM227" s="19956"/>
      <c r="BN227" s="19957"/>
      <c r="BO227" s="19958"/>
      <c r="BP227" s="19959"/>
      <c r="BQ227" s="19960"/>
      <c r="BR227" s="19961"/>
      <c r="BS227" s="19962"/>
      <c r="BT227" s="19963"/>
      <c r="BU227" s="19964"/>
      <c r="BV227" s="19965"/>
      <c r="BW227" s="19966"/>
      <c r="BX227" s="19967"/>
      <c r="BY227" s="19968"/>
      <c r="BZ227" s="19969"/>
      <c r="CA227" s="19970"/>
      <c r="CB227" s="19971"/>
      <c r="CC227" s="19972"/>
      <c r="CD227" s="19973"/>
      <c r="CE227" s="19974"/>
      <c r="CF227" s="19975"/>
      <c r="CG227" s="19976"/>
      <c r="CH227" s="19977"/>
      <c r="CI227" s="19978"/>
      <c r="CJ227" s="19979"/>
      <c r="CK227" s="19980"/>
      <c r="CL227" s="19981"/>
      <c r="CM227" s="19982"/>
      <c r="CN227" s="27535"/>
      <c r="CO227" s="27536"/>
      <c r="CP227" s="27537"/>
      <c r="CQ227" s="27538"/>
      <c r="CR227" s="27539"/>
      <c r="CS227" s="27540"/>
      <c r="CT227" s="27541"/>
      <c r="CU227" s="19983"/>
      <c r="CV227" s="19984"/>
      <c r="CW227" s="16982"/>
      <c r="CX227" s="16983"/>
      <c r="CY227" s="16983" t="str">
        <f>IF(T227="","",T227)</f>
        <v>Добавить группу потребителей</v>
      </c>
      <c r="CZ227" s="16983"/>
      <c r="DA227" s="16983"/>
      <c r="DB227" s="16984">
        <v>0</v>
      </c>
    </row>
    <row s="53063" customFormat="1" customHeight="1" ht="21">
      <c r="A228" s="16967"/>
      <c r="B228" s="16967"/>
      <c r="C228" s="16967"/>
      <c r="D228" s="16967"/>
      <c r="E228" s="16968"/>
      <c r="F228" s="16968" t="s">
        <v>139</v>
      </c>
      <c r="G228" s="16968"/>
      <c r="H228" s="16969"/>
      <c r="I228" s="16967"/>
      <c r="J228" s="16967"/>
      <c r="K228" s="16967"/>
      <c r="L228" s="16970"/>
      <c r="M228" s="16971"/>
      <c r="N228" s="16971"/>
      <c r="O228" s="17174"/>
      <c r="P228" s="17175"/>
      <c r="Q228" s="17176"/>
      <c r="R228" s="17177"/>
      <c r="S228" s="19986"/>
      <c r="T228" s="19987" t="s">
        <v>603</v>
      </c>
      <c r="U228" s="19988"/>
      <c r="V228" s="19989"/>
      <c r="W228" s="19990"/>
      <c r="X228" s="19991"/>
      <c r="Y228" s="19992"/>
      <c r="Z228" s="19993"/>
      <c r="AA228" s="19994"/>
      <c r="AB228" s="19995"/>
      <c r="AC228" s="19996"/>
      <c r="AD228" s="19997"/>
      <c r="AE228" s="19998"/>
      <c r="AF228" s="19999"/>
      <c r="AG228" s="20000"/>
      <c r="AH228" s="20001"/>
      <c r="AI228" s="20002"/>
      <c r="AJ228" s="20003"/>
      <c r="AK228" s="20004"/>
      <c r="AL228" s="20005"/>
      <c r="AM228" s="20006"/>
      <c r="AN228" s="20007"/>
      <c r="AO228" s="20008"/>
      <c r="AP228" s="20009"/>
      <c r="AQ228" s="20010"/>
      <c r="AR228" s="20011"/>
      <c r="AS228" s="20012"/>
      <c r="AT228" s="20013"/>
      <c r="AU228" s="20014"/>
      <c r="AV228" s="20015"/>
      <c r="AW228" s="20016"/>
      <c r="AX228" s="20017"/>
      <c r="AY228" s="20018"/>
      <c r="AZ228" s="20019"/>
      <c r="BA228" s="20020"/>
      <c r="BB228" s="20021"/>
      <c r="BC228" s="20022"/>
      <c r="BD228" s="20023"/>
      <c r="BE228" s="20024"/>
      <c r="BF228" s="20025"/>
      <c r="BG228" s="20026"/>
      <c r="BH228" s="20027"/>
      <c r="BI228" s="20028"/>
      <c r="BJ228" s="20029"/>
      <c r="BK228" s="20030"/>
      <c r="BL228" s="20031"/>
      <c r="BM228" s="20032"/>
      <c r="BN228" s="20033"/>
      <c r="BO228" s="20034"/>
      <c r="BP228" s="20035"/>
      <c r="BQ228" s="20036"/>
      <c r="BR228" s="20037"/>
      <c r="BS228" s="20038"/>
      <c r="BT228" s="20039"/>
      <c r="BU228" s="20040"/>
      <c r="BV228" s="20041"/>
      <c r="BW228" s="20042"/>
      <c r="BX228" s="20043"/>
      <c r="BY228" s="20044"/>
      <c r="BZ228" s="20045"/>
      <c r="CA228" s="20046"/>
      <c r="CB228" s="20047"/>
      <c r="CC228" s="20048"/>
      <c r="CD228" s="20049"/>
      <c r="CE228" s="20050"/>
      <c r="CF228" s="20051"/>
      <c r="CG228" s="20052"/>
      <c r="CH228" s="20053"/>
      <c r="CI228" s="20054"/>
      <c r="CJ228" s="20055"/>
      <c r="CK228" s="20056"/>
      <c r="CL228" s="20057"/>
      <c r="CM228" s="20058"/>
      <c r="CN228" s="27618"/>
      <c r="CO228" s="27619"/>
      <c r="CP228" s="27620"/>
      <c r="CQ228" s="27621"/>
      <c r="CR228" s="27622"/>
      <c r="CS228" s="27623"/>
      <c r="CT228" s="27624"/>
      <c r="CU228" s="20059"/>
      <c r="CV228" s="20060"/>
      <c r="CW228" s="16982"/>
      <c r="CX228" s="16983"/>
      <c r="CY228" s="16983" t="str">
        <f>IF(T228="","",T228)</f>
        <v>Добавить наименование признака дифференциации</v>
      </c>
      <c r="CZ228" s="16983"/>
      <c r="DA228" s="16983"/>
      <c r="DB228" s="16984">
        <v>0</v>
      </c>
    </row>
    <row s="53146" customFormat="1" customHeight="1" ht="14.25">
      <c r="A229" s="17254"/>
      <c r="B229" s="17254"/>
      <c r="C229" s="17254"/>
      <c r="D229" s="17254"/>
      <c r="E229" s="16968"/>
      <c r="F229" s="16969" t="s">
        <v>139</v>
      </c>
      <c r="G229" s="17254"/>
      <c r="H229" s="17254"/>
      <c r="I229" s="17254"/>
      <c r="J229" s="17254"/>
      <c r="K229" s="17254"/>
      <c r="L229" s="17255"/>
      <c r="M229" s="17256"/>
      <c r="N229" s="17256"/>
      <c r="O229" s="16982"/>
      <c r="P229" s="17257"/>
      <c r="Q229" s="17258"/>
      <c r="R229" s="17257"/>
      <c r="S229" s="17259"/>
      <c r="T229" s="17260" t="s">
        <v>321</v>
      </c>
      <c r="U229" s="17261"/>
      <c r="V229" s="17261"/>
      <c r="W229" s="17261"/>
      <c r="X229" s="17261"/>
      <c r="Y229" s="17261"/>
      <c r="Z229" s="17261"/>
      <c r="AA229" s="17261"/>
      <c r="AB229" s="17261"/>
      <c r="AC229" s="17261"/>
      <c r="AD229" s="17261"/>
      <c r="AE229" s="17261"/>
      <c r="AF229" s="17261"/>
      <c r="AG229" s="17261"/>
      <c r="AH229" s="17261"/>
      <c r="AI229" s="17261"/>
      <c r="AJ229" s="17261"/>
      <c r="AK229" s="17261"/>
      <c r="AL229" s="17261"/>
      <c r="AM229" s="17261"/>
      <c r="AN229" s="17261"/>
      <c r="AO229" s="17261"/>
      <c r="AP229" s="17261"/>
      <c r="AQ229" s="17261"/>
      <c r="AR229" s="17261"/>
      <c r="AS229" s="17261"/>
      <c r="AT229" s="17261"/>
      <c r="AU229" s="17261"/>
      <c r="AV229" s="17261"/>
      <c r="AW229" s="17261"/>
      <c r="AX229" s="17261"/>
      <c r="AY229" s="17261"/>
      <c r="AZ229" s="17261"/>
      <c r="BA229" s="17261"/>
      <c r="BB229" s="17261"/>
      <c r="BC229" s="17261"/>
      <c r="BD229" s="17261"/>
      <c r="BE229" s="17261"/>
      <c r="BF229" s="17261"/>
      <c r="BG229" s="17261"/>
      <c r="BH229" s="17261"/>
      <c r="BI229" s="17261"/>
      <c r="BJ229" s="17261"/>
      <c r="BK229" s="17261"/>
      <c r="BL229" s="17261"/>
      <c r="BM229" s="17261"/>
      <c r="BN229" s="17261"/>
      <c r="BO229" s="17261"/>
      <c r="BP229" s="17261"/>
      <c r="BQ229" s="17261"/>
      <c r="BR229" s="17261"/>
      <c r="BS229" s="17261"/>
      <c r="BT229" s="17261"/>
      <c r="BU229" s="17261"/>
      <c r="BV229" s="17261"/>
      <c r="BW229" s="17261"/>
      <c r="BX229" s="17261"/>
      <c r="BY229" s="17261"/>
      <c r="BZ229" s="17261"/>
      <c r="CA229" s="17261"/>
      <c r="CB229" s="17261"/>
      <c r="CC229" s="17261"/>
      <c r="CD229" s="17261"/>
      <c r="CE229" s="17261"/>
      <c r="CF229" s="17261"/>
      <c r="CG229" s="17261"/>
      <c r="CH229" s="17261"/>
      <c r="CI229" s="17261"/>
      <c r="CJ229" s="17261"/>
      <c r="CK229" s="17261"/>
      <c r="CL229" s="17261"/>
      <c r="CM229" s="17261"/>
      <c r="CN229" s="23902"/>
      <c r="CO229" s="23902"/>
      <c r="CP229" s="23902"/>
      <c r="CQ229" s="23902"/>
      <c r="CR229" s="23902"/>
      <c r="CS229" s="23902"/>
      <c r="CT229" s="23902"/>
      <c r="CU229" s="17261"/>
      <c r="CV229" s="17261"/>
      <c r="CW229" s="16982"/>
      <c r="CX229" s="16983"/>
      <c r="CY229" s="16983" t="str">
        <f>IF(T229="","",T229)</f>
        <v>Добавить централизованную систему для дифференциации</v>
      </c>
      <c r="CZ229" s="16983"/>
      <c r="DA229" s="16983"/>
      <c r="DB229" s="16982">
        <v>0</v>
      </c>
    </row>
    <row s="53147" customFormat="1" customHeight="1" ht="23.25">
      <c r="A230" s="16967"/>
      <c r="B230" s="16967" t="s">
        <v>371</v>
      </c>
      <c r="C230" s="16967"/>
      <c r="D230" s="16967"/>
      <c r="E230" s="16968"/>
      <c r="F230" s="16969" t="s">
        <v>150</v>
      </c>
      <c r="G230" s="16967"/>
      <c r="H230" s="16967"/>
      <c r="I230" s="16967"/>
      <c r="J230" s="16967"/>
      <c r="K230" s="16967"/>
      <c r="L230" s="16970"/>
      <c r="M230" s="16971"/>
      <c r="N230" s="16971"/>
      <c r="O230" s="16971"/>
      <c r="P230" s="16972"/>
      <c r="Q230" s="16973"/>
      <c r="R230" s="16974"/>
      <c r="S230" s="16975" t="str">
        <f>INDEX(PT_DIFFERENTIATION_NUM_TER,MATCH(B230,PT_DIFFERENTIATION_TER_ID,0))</f>
        <v>1.11</v>
      </c>
      <c r="T230" s="16976" t="s">
        <v>515</v>
      </c>
      <c r="U230" s="16977"/>
      <c r="V230" s="16978"/>
      <c r="W230" s="16979"/>
      <c r="X230" s="16979"/>
      <c r="Y230" s="16979"/>
      <c r="Z230" s="16979"/>
      <c r="AA230" s="16979"/>
      <c r="AB230" s="16980"/>
      <c r="AC230" s="16978" t="str">
        <f>INDEX(PT_DIFFERENTIATION_TER,MATCH(B230,PT_DIFFERENTIATION_TER_ID,0))</f>
        <v>Территория 11</v>
      </c>
      <c r="AD230" s="16979"/>
      <c r="AE230" s="16979"/>
      <c r="AF230" s="16979"/>
      <c r="AG230" s="16979"/>
      <c r="AH230" s="16979"/>
      <c r="AI230" s="16979"/>
      <c r="AJ230" s="16978"/>
      <c r="AK230" s="16979"/>
      <c r="AL230" s="16979"/>
      <c r="AM230" s="16979"/>
      <c r="AN230" s="16979"/>
      <c r="AO230" s="16979"/>
      <c r="AP230" s="16980"/>
      <c r="AQ230" s="16978"/>
      <c r="AR230" s="16979"/>
      <c r="AS230" s="16979"/>
      <c r="AT230" s="16979"/>
      <c r="AU230" s="16979"/>
      <c r="AV230" s="16979"/>
      <c r="AW230" s="16980"/>
      <c r="AX230" s="16978"/>
      <c r="AY230" s="16979"/>
      <c r="AZ230" s="16979"/>
      <c r="BA230" s="16979"/>
      <c r="BB230" s="16979"/>
      <c r="BC230" s="16979"/>
      <c r="BD230" s="16980"/>
      <c r="BE230" s="16978"/>
      <c r="BF230" s="16979"/>
      <c r="BG230" s="16979"/>
      <c r="BH230" s="16979"/>
      <c r="BI230" s="16979"/>
      <c r="BJ230" s="16979"/>
      <c r="BK230" s="16980"/>
      <c r="BL230" s="16978"/>
      <c r="BM230" s="16979"/>
      <c r="BN230" s="16979"/>
      <c r="BO230" s="16979"/>
      <c r="BP230" s="16979"/>
      <c r="BQ230" s="16979"/>
      <c r="BR230" s="16980"/>
      <c r="BS230" s="16978"/>
      <c r="BT230" s="16979"/>
      <c r="BU230" s="16979"/>
      <c r="BV230" s="16979"/>
      <c r="BW230" s="16979"/>
      <c r="BX230" s="16979"/>
      <c r="BY230" s="16980"/>
      <c r="BZ230" s="16978"/>
      <c r="CA230" s="16979"/>
      <c r="CB230" s="16979"/>
      <c r="CC230" s="16979"/>
      <c r="CD230" s="16979"/>
      <c r="CE230" s="16979"/>
      <c r="CF230" s="16980"/>
      <c r="CG230" s="16978"/>
      <c r="CH230" s="16979"/>
      <c r="CI230" s="16979"/>
      <c r="CJ230" s="16979"/>
      <c r="CK230" s="16979"/>
      <c r="CL230" s="16979"/>
      <c r="CM230" s="16980"/>
      <c r="CN230" s="23679"/>
      <c r="CO230" s="23680"/>
      <c r="CP230" s="23680"/>
      <c r="CQ230" s="23680"/>
      <c r="CR230" s="23680"/>
      <c r="CS230" s="23680"/>
      <c r="CT230" s="23681"/>
      <c r="CU230" s="16980"/>
      <c r="CV230" s="16981" t="s">
        <v>516</v>
      </c>
      <c r="CW230" s="16982"/>
      <c r="CX230" s="16983"/>
      <c r="CY230" s="16983" t="str">
        <f>IF(T230="","",T230)</f>
        <v>Территория действия тарифа</v>
      </c>
      <c r="CZ230" s="16983"/>
      <c r="DA230" s="16983"/>
      <c r="DB230" s="16984">
        <v>0</v>
      </c>
    </row>
    <row s="53148" customFormat="1" customHeight="1" ht="23.25">
      <c r="A231" s="16967"/>
      <c r="B231" s="16967"/>
      <c r="C231" s="16967" t="s">
        <v>372</v>
      </c>
      <c r="D231" s="16967"/>
      <c r="E231" s="16968"/>
      <c r="F231" s="16968" t="s">
        <v>145</v>
      </c>
      <c r="G231" s="16969">
        <v>1</v>
      </c>
      <c r="H231" s="16967"/>
      <c r="I231" s="16967"/>
      <c r="J231" s="16967"/>
      <c r="K231" s="16967"/>
      <c r="L231" s="16970"/>
      <c r="M231" s="16971"/>
      <c r="N231" s="16971"/>
      <c r="O231" s="16971"/>
      <c r="P231" s="16986"/>
      <c r="Q231" s="16973"/>
      <c r="R231" s="16974"/>
      <c r="S231" s="16975" t="str">
        <f>INDEX(PT_DIFFERENTIATION_NUM_CS,MATCH(C231,PT_DIFFERENTIATION_CS_ID,0))</f>
        <v>1.11.1</v>
      </c>
      <c r="T231" s="16987" t="s">
        <v>631</v>
      </c>
      <c r="U231" s="16977"/>
      <c r="V231" s="16978"/>
      <c r="W231" s="16979"/>
      <c r="X231" s="16979"/>
      <c r="Y231" s="16979"/>
      <c r="Z231" s="16979"/>
      <c r="AA231" s="16979"/>
      <c r="AB231" s="16980"/>
      <c r="AC231" s="16978" t="str">
        <f>INDEX(PT_DIFFERENTIATION_CS,MATCH(C231,PT_DIFFERENTIATION_CS_ID,0))</f>
        <v>Дальнегорский ГО</v>
      </c>
      <c r="AD231" s="16979"/>
      <c r="AE231" s="16979"/>
      <c r="AF231" s="16979"/>
      <c r="AG231" s="16979"/>
      <c r="AH231" s="16979"/>
      <c r="AI231" s="16979"/>
      <c r="AJ231" s="16978"/>
      <c r="AK231" s="16979"/>
      <c r="AL231" s="16979"/>
      <c r="AM231" s="16979"/>
      <c r="AN231" s="16979"/>
      <c r="AO231" s="16979"/>
      <c r="AP231" s="16980"/>
      <c r="AQ231" s="16978"/>
      <c r="AR231" s="16979"/>
      <c r="AS231" s="16979"/>
      <c r="AT231" s="16979"/>
      <c r="AU231" s="16979"/>
      <c r="AV231" s="16979"/>
      <c r="AW231" s="16980"/>
      <c r="AX231" s="16978"/>
      <c r="AY231" s="16979"/>
      <c r="AZ231" s="16979"/>
      <c r="BA231" s="16979"/>
      <c r="BB231" s="16979"/>
      <c r="BC231" s="16979"/>
      <c r="BD231" s="16980"/>
      <c r="BE231" s="16978"/>
      <c r="BF231" s="16979"/>
      <c r="BG231" s="16979"/>
      <c r="BH231" s="16979"/>
      <c r="BI231" s="16979"/>
      <c r="BJ231" s="16979"/>
      <c r="BK231" s="16980"/>
      <c r="BL231" s="16978"/>
      <c r="BM231" s="16979"/>
      <c r="BN231" s="16979"/>
      <c r="BO231" s="16979"/>
      <c r="BP231" s="16979"/>
      <c r="BQ231" s="16979"/>
      <c r="BR231" s="16980"/>
      <c r="BS231" s="16978"/>
      <c r="BT231" s="16979"/>
      <c r="BU231" s="16979"/>
      <c r="BV231" s="16979"/>
      <c r="BW231" s="16979"/>
      <c r="BX231" s="16979"/>
      <c r="BY231" s="16980"/>
      <c r="BZ231" s="16978"/>
      <c r="CA231" s="16979"/>
      <c r="CB231" s="16979"/>
      <c r="CC231" s="16979"/>
      <c r="CD231" s="16979"/>
      <c r="CE231" s="16979"/>
      <c r="CF231" s="16980"/>
      <c r="CG231" s="16978"/>
      <c r="CH231" s="16979"/>
      <c r="CI231" s="16979"/>
      <c r="CJ231" s="16979"/>
      <c r="CK231" s="16979"/>
      <c r="CL231" s="16979"/>
      <c r="CM231" s="16980"/>
      <c r="CN231" s="23679"/>
      <c r="CO231" s="23680"/>
      <c r="CP231" s="23680"/>
      <c r="CQ231" s="23680"/>
      <c r="CR231" s="23680"/>
      <c r="CS231" s="23680"/>
      <c r="CT231" s="23681"/>
      <c r="CU231" s="16980"/>
      <c r="CV231" s="16981" t="s">
        <v>632</v>
      </c>
      <c r="CW231" s="16982"/>
      <c r="CX231" s="16983"/>
      <c r="CY231" s="16983" t="str">
        <f>IF(T231="","",T231)</f>
        <v>Наименование централизованной системы водоотведения</v>
      </c>
      <c r="CZ231" s="16983"/>
      <c r="DA231" s="16983"/>
      <c r="DB231" s="16984">
        <v>0</v>
      </c>
    </row>
    <row s="53149" customFormat="1" customHeight="1" ht="23.25">
      <c r="A232" s="16967"/>
      <c r="B232" s="16967"/>
      <c r="C232" s="16967"/>
      <c r="D232" s="16967"/>
      <c r="E232" s="16968"/>
      <c r="F232" s="16968" t="s">
        <v>145</v>
      </c>
      <c r="G232" s="16968"/>
      <c r="H232" s="16968"/>
      <c r="I232" s="16989" t="str">
        <f>S231&amp;".1"</f>
        <v>1.11.1.1</v>
      </c>
      <c r="J232" s="16967"/>
      <c r="K232" s="16967"/>
      <c r="L232" s="16970"/>
      <c r="M232" s="16990"/>
      <c r="N232" s="16990"/>
      <c r="O232" s="16990"/>
      <c r="P232" s="16991">
        <v>1</v>
      </c>
      <c r="Q232" s="16991"/>
      <c r="R232" s="16992"/>
      <c r="S232" s="16975" t="str">
        <f>$I232</f>
        <v>1.11.1.1</v>
      </c>
      <c r="T232" s="16993" t="s">
        <v>598</v>
      </c>
      <c r="U232" s="16977"/>
      <c r="V232" s="16994"/>
      <c r="W232" s="16995"/>
      <c r="X232" s="16995"/>
      <c r="Y232" s="16995"/>
      <c r="Z232" s="16995"/>
      <c r="AA232" s="16995"/>
      <c r="AB232" s="16996"/>
      <c r="AC232" s="16997"/>
      <c r="AD232" s="16998"/>
      <c r="AE232" s="16998"/>
      <c r="AF232" s="16998"/>
      <c r="AG232" s="16998"/>
      <c r="AH232" s="16998"/>
      <c r="AI232" s="16998"/>
      <c r="AJ232" s="16994"/>
      <c r="AK232" s="16995"/>
      <c r="AL232" s="16995"/>
      <c r="AM232" s="16995"/>
      <c r="AN232" s="16995"/>
      <c r="AO232" s="16995"/>
      <c r="AP232" s="16996"/>
      <c r="AQ232" s="16994"/>
      <c r="AR232" s="16995"/>
      <c r="AS232" s="16995"/>
      <c r="AT232" s="16995"/>
      <c r="AU232" s="16995"/>
      <c r="AV232" s="16995"/>
      <c r="AW232" s="16996"/>
      <c r="AX232" s="16994"/>
      <c r="AY232" s="16995"/>
      <c r="AZ232" s="16995"/>
      <c r="BA232" s="16995"/>
      <c r="BB232" s="16995"/>
      <c r="BC232" s="16995"/>
      <c r="BD232" s="16996"/>
      <c r="BE232" s="16994"/>
      <c r="BF232" s="16995"/>
      <c r="BG232" s="16995"/>
      <c r="BH232" s="16995"/>
      <c r="BI232" s="16995"/>
      <c r="BJ232" s="16995"/>
      <c r="BK232" s="16996"/>
      <c r="BL232" s="16994"/>
      <c r="BM232" s="16995"/>
      <c r="BN232" s="16995"/>
      <c r="BO232" s="16995"/>
      <c r="BP232" s="16995"/>
      <c r="BQ232" s="16995"/>
      <c r="BR232" s="16996"/>
      <c r="BS232" s="16994"/>
      <c r="BT232" s="16995"/>
      <c r="BU232" s="16995"/>
      <c r="BV232" s="16995"/>
      <c r="BW232" s="16995"/>
      <c r="BX232" s="16995"/>
      <c r="BY232" s="16996"/>
      <c r="BZ232" s="16994"/>
      <c r="CA232" s="16995"/>
      <c r="CB232" s="16995"/>
      <c r="CC232" s="16995"/>
      <c r="CD232" s="16995"/>
      <c r="CE232" s="16995"/>
      <c r="CF232" s="16996"/>
      <c r="CG232" s="16994"/>
      <c r="CH232" s="16995"/>
      <c r="CI232" s="16995"/>
      <c r="CJ232" s="16995"/>
      <c r="CK232" s="16995"/>
      <c r="CL232" s="16995"/>
      <c r="CM232" s="16996"/>
      <c r="CN232" s="23687"/>
      <c r="CO232" s="23688"/>
      <c r="CP232" s="23688"/>
      <c r="CQ232" s="23688"/>
      <c r="CR232" s="23688"/>
      <c r="CS232" s="23688"/>
      <c r="CT232" s="23689"/>
      <c r="CU232" s="16999"/>
      <c r="CV232" s="16981" t="s">
        <v>599</v>
      </c>
      <c r="CW232" s="16982"/>
      <c r="CX232" s="16983"/>
      <c r="CY232" s="16983" t="str">
        <f>IF(T232="","",T232)</f>
        <v>Наименование признака дифференциации</v>
      </c>
      <c r="CZ232" s="16983"/>
      <c r="DA232" s="16983"/>
      <c r="DB232" s="16984">
        <v>0</v>
      </c>
    </row>
    <row s="53150" customFormat="1" customHeight="1" ht="23.25">
      <c r="A233" s="16967"/>
      <c r="B233" s="16967"/>
      <c r="C233" s="16967"/>
      <c r="D233" s="16967"/>
      <c r="E233" s="16968"/>
      <c r="F233" s="16968" t="s">
        <v>145</v>
      </c>
      <c r="G233" s="16968"/>
      <c r="H233" s="16968"/>
      <c r="I233" s="17001"/>
      <c r="J233" s="16989" t="str">
        <f>I232&amp;".1"</f>
        <v>1.11.1.1.1</v>
      </c>
      <c r="K233" s="16967"/>
      <c r="L233" s="16970" t="s">
        <v>524</v>
      </c>
      <c r="M233" s="16990"/>
      <c r="N233" s="16990"/>
      <c r="O233" s="16990"/>
      <c r="P233" s="16991"/>
      <c r="Q233" s="16991">
        <v>1</v>
      </c>
      <c r="R233" s="17002"/>
      <c r="S233" s="16975" t="str">
        <f>$J233</f>
        <v>1.11.1.1.1</v>
      </c>
      <c r="T233" s="17003" t="s">
        <v>525</v>
      </c>
      <c r="U233" s="16977"/>
      <c r="V233" s="17004"/>
      <c r="W233" s="17005"/>
      <c r="X233" s="17005"/>
      <c r="Y233" s="17005"/>
      <c r="Z233" s="17005"/>
      <c r="AA233" s="17005"/>
      <c r="AB233" s="17006"/>
      <c r="AC233" s="17004" t="s">
        <v>636</v>
      </c>
      <c r="AD233" s="17005"/>
      <c r="AE233" s="17005"/>
      <c r="AF233" s="17005"/>
      <c r="AG233" s="17005"/>
      <c r="AH233" s="17005"/>
      <c r="AI233" s="17005"/>
      <c r="AJ233" s="17004"/>
      <c r="AK233" s="17005"/>
      <c r="AL233" s="17005"/>
      <c r="AM233" s="17005"/>
      <c r="AN233" s="17005"/>
      <c r="AO233" s="17005"/>
      <c r="AP233" s="17006"/>
      <c r="AQ233" s="17004"/>
      <c r="AR233" s="17005"/>
      <c r="AS233" s="17005"/>
      <c r="AT233" s="17005"/>
      <c r="AU233" s="17005"/>
      <c r="AV233" s="17005"/>
      <c r="AW233" s="17006"/>
      <c r="AX233" s="17004"/>
      <c r="AY233" s="17005"/>
      <c r="AZ233" s="17005"/>
      <c r="BA233" s="17005"/>
      <c r="BB233" s="17005"/>
      <c r="BC233" s="17005"/>
      <c r="BD233" s="17006"/>
      <c r="BE233" s="17004"/>
      <c r="BF233" s="17005"/>
      <c r="BG233" s="17005"/>
      <c r="BH233" s="17005"/>
      <c r="BI233" s="17005"/>
      <c r="BJ233" s="17005"/>
      <c r="BK233" s="17006"/>
      <c r="BL233" s="17004"/>
      <c r="BM233" s="17005"/>
      <c r="BN233" s="17005"/>
      <c r="BO233" s="17005"/>
      <c r="BP233" s="17005"/>
      <c r="BQ233" s="17005"/>
      <c r="BR233" s="17006"/>
      <c r="BS233" s="17004"/>
      <c r="BT233" s="17005"/>
      <c r="BU233" s="17005"/>
      <c r="BV233" s="17005"/>
      <c r="BW233" s="17005"/>
      <c r="BX233" s="17005"/>
      <c r="BY233" s="17006"/>
      <c r="BZ233" s="17004"/>
      <c r="CA233" s="17005"/>
      <c r="CB233" s="17005"/>
      <c r="CC233" s="17005"/>
      <c r="CD233" s="17005"/>
      <c r="CE233" s="17005"/>
      <c r="CF233" s="17006"/>
      <c r="CG233" s="17004"/>
      <c r="CH233" s="17005"/>
      <c r="CI233" s="17005"/>
      <c r="CJ233" s="17005"/>
      <c r="CK233" s="17005"/>
      <c r="CL233" s="17005"/>
      <c r="CM233" s="17006"/>
      <c r="CN233" s="23693"/>
      <c r="CO233" s="23694"/>
      <c r="CP233" s="23694"/>
      <c r="CQ233" s="23694"/>
      <c r="CR233" s="23694"/>
      <c r="CS233" s="23694"/>
      <c r="CT233" s="23695"/>
      <c r="CU233" s="17006"/>
      <c r="CV233" s="17007" t="s">
        <v>600</v>
      </c>
      <c r="CW233" s="16982"/>
      <c r="CX233" s="16983"/>
      <c r="CY233" s="16983" t="str">
        <f>IF(T233="","",T233)</f>
        <v>Группа потребителей</v>
      </c>
      <c r="CZ233" s="16983"/>
      <c r="DA233" s="16983"/>
      <c r="DB233" s="16984">
        <v>0</v>
      </c>
    </row>
    <row s="53151" customFormat="1" customHeight="1" ht="23.25">
      <c r="A234" s="16967"/>
      <c r="B234" s="16967"/>
      <c r="C234" s="16967"/>
      <c r="D234" s="16967"/>
      <c r="E234" s="16968"/>
      <c r="F234" s="16968" t="s">
        <v>145</v>
      </c>
      <c r="G234" s="16968"/>
      <c r="H234" s="16968"/>
      <c r="I234" s="17001"/>
      <c r="J234" s="17001"/>
      <c r="K234" s="16989" t="str">
        <f>J233&amp;".1"</f>
        <v>1.11.1.1.1.1</v>
      </c>
      <c r="L234" s="16970"/>
      <c r="M234" s="16990"/>
      <c r="N234" s="16990"/>
      <c r="O234" s="16990"/>
      <c r="P234" s="16991"/>
      <c r="Q234" s="16991"/>
      <c r="R234" s="17002">
        <v>1</v>
      </c>
      <c r="S234" s="16975" t="str">
        <f>$K234</f>
        <v>1.11.1.1.1.1</v>
      </c>
      <c r="T234" s="17009"/>
      <c r="U234" s="16977"/>
      <c r="V234" s="17010"/>
      <c r="W234" s="17010"/>
      <c r="X234" s="17011"/>
      <c r="Y234" s="16696"/>
      <c r="Z234" s="17012" t="s">
        <v>63</v>
      </c>
      <c r="AA234" s="16696"/>
      <c r="AB234" s="17012" t="s">
        <v>63</v>
      </c>
      <c r="AC234" s="17010">
        <v>25.36</v>
      </c>
      <c r="AD234" s="17010"/>
      <c r="AE234" s="17011"/>
      <c r="AF234" s="53152">
        <v>45292.43420138889</v>
      </c>
      <c r="AG234" s="17012" t="s">
        <v>63</v>
      </c>
      <c r="AH234" s="53153">
        <v>45473.434386574074</v>
      </c>
      <c r="AI234" s="17012" t="s">
        <v>63</v>
      </c>
      <c r="AJ234" s="17010">
        <v>32.96</v>
      </c>
      <c r="AK234" s="17010"/>
      <c r="AL234" s="17011"/>
      <c r="AM234" s="53152">
        <v>45474.43460648148</v>
      </c>
      <c r="AN234" s="17012" t="s">
        <v>63</v>
      </c>
      <c r="AO234" s="53152">
        <v>45657.4347337963</v>
      </c>
      <c r="AP234" s="17012" t="s">
        <v>63</v>
      </c>
      <c r="AQ234" s="17010">
        <v>32.96</v>
      </c>
      <c r="AR234" s="17010"/>
      <c r="AS234" s="17011"/>
      <c r="AT234" s="53152">
        <v>45658.43487268518</v>
      </c>
      <c r="AU234" s="17012" t="s">
        <v>63</v>
      </c>
      <c r="AV234" s="53152">
        <v>45838.43497685185</v>
      </c>
      <c r="AW234" s="17012" t="s">
        <v>63</v>
      </c>
      <c r="AX234" s="17010">
        <v>39.55</v>
      </c>
      <c r="AY234" s="17010"/>
      <c r="AZ234" s="17011"/>
      <c r="BA234" s="53152">
        <v>45839.43513888889</v>
      </c>
      <c r="BB234" s="17012" t="s">
        <v>63</v>
      </c>
      <c r="BC234" s="53152">
        <v>46022.43530092593</v>
      </c>
      <c r="BD234" s="17012" t="s">
        <v>63</v>
      </c>
      <c r="BE234" s="17010">
        <v>39.55</v>
      </c>
      <c r="BF234" s="17010"/>
      <c r="BG234" s="17011"/>
      <c r="BH234" s="53152">
        <v>46023.435625</v>
      </c>
      <c r="BI234" s="17012" t="s">
        <v>63</v>
      </c>
      <c r="BJ234" s="53152">
        <v>46203.43583333334</v>
      </c>
      <c r="BK234" s="17012" t="s">
        <v>63</v>
      </c>
      <c r="BL234" s="17010">
        <v>41.53</v>
      </c>
      <c r="BM234" s="17010"/>
      <c r="BN234" s="17011"/>
      <c r="BO234" s="53152">
        <v>46204.43623842593</v>
      </c>
      <c r="BP234" s="17012" t="s">
        <v>63</v>
      </c>
      <c r="BQ234" s="53152">
        <v>46387.43645833333</v>
      </c>
      <c r="BR234" s="17012" t="s">
        <v>63</v>
      </c>
      <c r="BS234" s="17010">
        <v>41.53</v>
      </c>
      <c r="BT234" s="17010"/>
      <c r="BU234" s="17011"/>
      <c r="BV234" s="53152">
        <v>46388.436689814815</v>
      </c>
      <c r="BW234" s="17012" t="s">
        <v>63</v>
      </c>
      <c r="BX234" s="53152">
        <v>46568.436875</v>
      </c>
      <c r="BY234" s="17012" t="s">
        <v>63</v>
      </c>
      <c r="BZ234" s="17010">
        <v>43.2</v>
      </c>
      <c r="CA234" s="17010"/>
      <c r="CB234" s="17011"/>
      <c r="CC234" s="53152">
        <v>46569.4371875</v>
      </c>
      <c r="CD234" s="17012" t="s">
        <v>63</v>
      </c>
      <c r="CE234" s="53152">
        <v>46752.437418981484</v>
      </c>
      <c r="CF234" s="17012" t="s">
        <v>63</v>
      </c>
      <c r="CG234" s="17010">
        <v>43.2</v>
      </c>
      <c r="CH234" s="17010"/>
      <c r="CI234" s="17011"/>
      <c r="CJ234" s="53152">
        <v>46753.43763888889</v>
      </c>
      <c r="CK234" s="17012" t="s">
        <v>63</v>
      </c>
      <c r="CL234" s="53152">
        <v>46934.43822916667</v>
      </c>
      <c r="CM234" s="17012" t="s">
        <v>63</v>
      </c>
      <c r="CN234" s="23700">
        <v>44.11</v>
      </c>
      <c r="CO234" s="23700"/>
      <c r="CP234" s="23701"/>
      <c r="CQ234" s="53152">
        <v>46935.43863425926</v>
      </c>
      <c r="CR234" s="23703" t="s">
        <v>63</v>
      </c>
      <c r="CS234" s="53152">
        <v>47118.438888888886</v>
      </c>
      <c r="CT234" s="23703" t="s">
        <v>63</v>
      </c>
      <c r="CU234" s="17013"/>
      <c r="CV234" s="170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234" s="16982">
        <f>STRCHECKDATE(V235:CU235)</f>
      </c>
      <c r="CX234" s="16983"/>
      <c r="CY234" s="16983" t="str">
        <f>IF(T234="","",T234)</f>
        <v/>
      </c>
      <c r="CZ234" s="16983"/>
      <c r="DA234" s="16983"/>
      <c r="DB234" s="16984">
        <v>0</v>
      </c>
    </row>
    <row s="53154" customFormat="1" customHeight="1" ht="14.25">
      <c r="A235" s="16967"/>
      <c r="B235" s="16967"/>
      <c r="C235" s="16967"/>
      <c r="D235" s="16967"/>
      <c r="E235" s="16968"/>
      <c r="F235" s="16968" t="s">
        <v>145</v>
      </c>
      <c r="G235" s="16968"/>
      <c r="H235" s="16968"/>
      <c r="I235" s="17001"/>
      <c r="J235" s="17001"/>
      <c r="K235" s="16989"/>
      <c r="L235" s="16970"/>
      <c r="M235" s="16990"/>
      <c r="N235" s="16990"/>
      <c r="O235" s="16990"/>
      <c r="P235" s="16991"/>
      <c r="Q235" s="16991"/>
      <c r="R235" s="17002"/>
      <c r="S235" s="17016"/>
      <c r="T235" s="16977"/>
      <c r="U235" s="16977"/>
      <c r="V235" s="17017"/>
      <c r="W235" s="17017"/>
      <c r="X235" s="17018" t="str">
        <f>Y234&amp;"-"&amp;AA234</f>
        <v>-</v>
      </c>
      <c r="Y235" s="17019"/>
      <c r="Z235" s="17012"/>
      <c r="AA235" s="17019"/>
      <c r="AB235" s="17012"/>
      <c r="AC235" s="17017"/>
      <c r="AD235" s="17017"/>
      <c r="AE235" s="17018" t="str">
        <f>AF234&amp;"-"&amp;AH234</f>
        <v>45292.43420138889-45473.434386574074</v>
      </c>
      <c r="AF235" s="17019"/>
      <c r="AG235" s="17012"/>
      <c r="AH235" s="17020"/>
      <c r="AI235" s="17012"/>
      <c r="AJ235" s="17017"/>
      <c r="AK235" s="17017"/>
      <c r="AL235" s="17018" t="str">
        <f>AM234&amp;"-"&amp;AO234</f>
        <v>45474.43460648148-45657.4347337963</v>
      </c>
      <c r="AM235" s="17019"/>
      <c r="AN235" s="17012"/>
      <c r="AO235" s="17019"/>
      <c r="AP235" s="17012"/>
      <c r="AQ235" s="17017"/>
      <c r="AR235" s="17017"/>
      <c r="AS235" s="17018" t="str">
        <f>AT234&amp;"-"&amp;AV234</f>
        <v>45658.43487268518-45838.43497685185</v>
      </c>
      <c r="AT235" s="17019"/>
      <c r="AU235" s="17012"/>
      <c r="AV235" s="17019"/>
      <c r="AW235" s="17012"/>
      <c r="AX235" s="17017"/>
      <c r="AY235" s="17017"/>
      <c r="AZ235" s="17018" t="str">
        <f>BA234&amp;"-"&amp;BC234</f>
        <v>45839.43513888889-46022.43530092593</v>
      </c>
      <c r="BA235" s="17019"/>
      <c r="BB235" s="17012"/>
      <c r="BC235" s="17019"/>
      <c r="BD235" s="17012"/>
      <c r="BE235" s="17017"/>
      <c r="BF235" s="17017"/>
      <c r="BG235" s="17018" t="str">
        <f>BH234&amp;"-"&amp;BJ234</f>
        <v>46023.435625-46203.43583333334</v>
      </c>
      <c r="BH235" s="17019"/>
      <c r="BI235" s="17012"/>
      <c r="BJ235" s="17019"/>
      <c r="BK235" s="17012"/>
      <c r="BL235" s="17017"/>
      <c r="BM235" s="17017"/>
      <c r="BN235" s="17018" t="str">
        <f>BO234&amp;"-"&amp;BQ234</f>
        <v>46204.43623842593-46387.43645833333</v>
      </c>
      <c r="BO235" s="17019"/>
      <c r="BP235" s="17012"/>
      <c r="BQ235" s="17019"/>
      <c r="BR235" s="17012"/>
      <c r="BS235" s="17017"/>
      <c r="BT235" s="17017"/>
      <c r="BU235" s="17018" t="str">
        <f>BV234&amp;"-"&amp;BX234</f>
        <v>46388.436689814815-46568.436875</v>
      </c>
      <c r="BV235" s="17019"/>
      <c r="BW235" s="17012"/>
      <c r="BX235" s="17019"/>
      <c r="BY235" s="17012"/>
      <c r="BZ235" s="17017"/>
      <c r="CA235" s="17017"/>
      <c r="CB235" s="17018" t="str">
        <f>CC234&amp;"-"&amp;CE234</f>
        <v>46569.4371875-46752.437418981484</v>
      </c>
      <c r="CC235" s="17019"/>
      <c r="CD235" s="17012"/>
      <c r="CE235" s="17019"/>
      <c r="CF235" s="17012"/>
      <c r="CG235" s="17017"/>
      <c r="CH235" s="17017"/>
      <c r="CI235" s="17018" t="str">
        <f>CJ234&amp;"-"&amp;CL234</f>
        <v>46753.43763888889-46934.43822916667</v>
      </c>
      <c r="CJ235" s="17019"/>
      <c r="CK235" s="17012"/>
      <c r="CL235" s="17019"/>
      <c r="CM235" s="17012"/>
      <c r="CN235" s="23708"/>
      <c r="CO235" s="23708"/>
      <c r="CP235" s="23709" t="str">
        <f>CQ234&amp;"-"&amp;CS234</f>
        <v>46935.43863425926-47118.438888888886</v>
      </c>
      <c r="CQ235" s="23710"/>
      <c r="CR235" s="23703"/>
      <c r="CS235" s="23710"/>
      <c r="CT235" s="23703"/>
      <c r="CU235" s="17021"/>
      <c r="CV235" s="17014"/>
      <c r="CW235" s="16982"/>
      <c r="CX235" s="16983"/>
      <c r="CY235" s="16983" t="str">
        <f>IF(T235="","",T235)</f>
        <v/>
      </c>
      <c r="CZ235" s="16983"/>
      <c r="DA235" s="16983"/>
      <c r="DB235" s="16984">
        <v>0</v>
      </c>
    </row>
    <row s="53155" customFormat="1" customHeight="1" ht="21">
      <c r="A236" s="16967"/>
      <c r="B236" s="16967"/>
      <c r="C236" s="16967"/>
      <c r="D236" s="16967"/>
      <c r="E236" s="16968"/>
      <c r="F236" s="16968" t="s">
        <v>145</v>
      </c>
      <c r="G236" s="16968"/>
      <c r="H236" s="16968"/>
      <c r="I236" s="17001"/>
      <c r="J236" s="16989"/>
      <c r="K236" s="16967"/>
      <c r="L236" s="16970"/>
      <c r="M236" s="16990"/>
      <c r="N236" s="16990"/>
      <c r="O236" s="16990"/>
      <c r="P236" s="16991"/>
      <c r="Q236" s="16991"/>
      <c r="R236" s="16992"/>
      <c r="S236" s="20069"/>
      <c r="T236" s="20070" t="s">
        <v>601</v>
      </c>
      <c r="U236" s="20071"/>
      <c r="V236" s="20072"/>
      <c r="W236" s="20073"/>
      <c r="X236" s="20074"/>
      <c r="Y236" s="20075"/>
      <c r="Z236" s="20076"/>
      <c r="AA236" s="20077"/>
      <c r="AB236" s="20078"/>
      <c r="AC236" s="20079"/>
      <c r="AD236" s="20080"/>
      <c r="AE236" s="20081"/>
      <c r="AF236" s="20082"/>
      <c r="AG236" s="20083"/>
      <c r="AH236" s="20084"/>
      <c r="AI236" s="20085"/>
      <c r="AJ236" s="20086"/>
      <c r="AK236" s="20087"/>
      <c r="AL236" s="20088"/>
      <c r="AM236" s="20089"/>
      <c r="AN236" s="20090"/>
      <c r="AO236" s="20091"/>
      <c r="AP236" s="20092"/>
      <c r="AQ236" s="20093"/>
      <c r="AR236" s="20094"/>
      <c r="AS236" s="20095"/>
      <c r="AT236" s="20096"/>
      <c r="AU236" s="20097"/>
      <c r="AV236" s="20098"/>
      <c r="AW236" s="20099"/>
      <c r="AX236" s="20100"/>
      <c r="AY236" s="20101"/>
      <c r="AZ236" s="20102"/>
      <c r="BA236" s="20103"/>
      <c r="BB236" s="20104"/>
      <c r="BC236" s="20105"/>
      <c r="BD236" s="20106"/>
      <c r="BE236" s="20107"/>
      <c r="BF236" s="20108"/>
      <c r="BG236" s="20109"/>
      <c r="BH236" s="20110"/>
      <c r="BI236" s="20111"/>
      <c r="BJ236" s="20112"/>
      <c r="BK236" s="20113"/>
      <c r="BL236" s="20114"/>
      <c r="BM236" s="20115"/>
      <c r="BN236" s="20116"/>
      <c r="BO236" s="20117"/>
      <c r="BP236" s="20118"/>
      <c r="BQ236" s="20119"/>
      <c r="BR236" s="20120"/>
      <c r="BS236" s="20121"/>
      <c r="BT236" s="20122"/>
      <c r="BU236" s="20123"/>
      <c r="BV236" s="20124"/>
      <c r="BW236" s="20125"/>
      <c r="BX236" s="20126"/>
      <c r="BY236" s="20127"/>
      <c r="BZ236" s="20128"/>
      <c r="CA236" s="20129"/>
      <c r="CB236" s="20130"/>
      <c r="CC236" s="20131"/>
      <c r="CD236" s="20132"/>
      <c r="CE236" s="20133"/>
      <c r="CF236" s="20134"/>
      <c r="CG236" s="20135"/>
      <c r="CH236" s="20136"/>
      <c r="CI236" s="20137"/>
      <c r="CJ236" s="20138"/>
      <c r="CK236" s="20139"/>
      <c r="CL236" s="20140"/>
      <c r="CM236" s="20141"/>
      <c r="CN236" s="27708"/>
      <c r="CO236" s="27709"/>
      <c r="CP236" s="27710"/>
      <c r="CQ236" s="27711"/>
      <c r="CR236" s="27712"/>
      <c r="CS236" s="27713"/>
      <c r="CT236" s="27714"/>
      <c r="CU236" s="20142"/>
      <c r="CV236" s="16981" t="s">
        <v>602</v>
      </c>
      <c r="CW236" s="16982"/>
      <c r="CX236" s="16983"/>
      <c r="CY236" s="16983" t="str">
        <f>IF(T236="","",T236)</f>
        <v>Добавить значение признака дифференциации</v>
      </c>
      <c r="CZ236" s="16983"/>
      <c r="DA236" s="16983"/>
      <c r="DB236" s="16984">
        <v>0</v>
      </c>
    </row>
    <row s="53237" customFormat="1" customHeight="1" ht="23.25">
      <c r="A237" s="53238"/>
      <c r="B237" s="53238"/>
      <c r="C237" s="53238"/>
      <c r="D237" s="53238"/>
      <c r="E237" s="53239"/>
      <c r="F237" s="53239"/>
      <c r="G237" s="53239"/>
      <c r="H237" s="53239"/>
      <c r="I237" s="53240"/>
      <c r="J237" s="53241" t="str">
        <f>I232&amp;".2"</f>
        <v>1.11.1.1.2</v>
      </c>
      <c r="K237" s="53238"/>
      <c r="L237" s="53242" t="s">
        <v>524</v>
      </c>
      <c r="M237" s="53243"/>
      <c r="N237" s="53243"/>
      <c r="O237" s="53243"/>
      <c r="P237" s="53244"/>
      <c r="Q237" s="53245" t="s">
        <v>106</v>
      </c>
      <c r="R237" s="53246"/>
      <c r="S237" s="53247" t="str">
        <f>$J237</f>
        <v>1.11.1.1.2</v>
      </c>
      <c r="T237" s="53248" t="s">
        <v>525</v>
      </c>
      <c r="U237" s="53249"/>
      <c r="V237" s="53250"/>
      <c r="W237" s="53251"/>
      <c r="X237" s="53251"/>
      <c r="Y237" s="53251"/>
      <c r="Z237" s="53251"/>
      <c r="AA237" s="53251"/>
      <c r="AB237" s="53252"/>
      <c r="AC237" s="53250" t="s">
        <v>637</v>
      </c>
      <c r="AD237" s="53251"/>
      <c r="AE237" s="53251"/>
      <c r="AF237" s="53251"/>
      <c r="AG237" s="53251"/>
      <c r="AH237" s="53251"/>
      <c r="AI237" s="53251"/>
      <c r="AJ237" s="53250"/>
      <c r="AK237" s="53251"/>
      <c r="AL237" s="53251"/>
      <c r="AM237" s="53251"/>
      <c r="AN237" s="53251"/>
      <c r="AO237" s="53251"/>
      <c r="AP237" s="53252"/>
      <c r="AQ237" s="53250"/>
      <c r="AR237" s="53251"/>
      <c r="AS237" s="53251"/>
      <c r="AT237" s="53251"/>
      <c r="AU237" s="53251"/>
      <c r="AV237" s="53251"/>
      <c r="AW237" s="53252"/>
      <c r="AX237" s="53250"/>
      <c r="AY237" s="53251"/>
      <c r="AZ237" s="53251"/>
      <c r="BA237" s="53251"/>
      <c r="BB237" s="53251"/>
      <c r="BC237" s="53251"/>
      <c r="BD237" s="53252"/>
      <c r="BE237" s="53250"/>
      <c r="BF237" s="53251"/>
      <c r="BG237" s="53251"/>
      <c r="BH237" s="53251"/>
      <c r="BI237" s="53251"/>
      <c r="BJ237" s="53251"/>
      <c r="BK237" s="53252"/>
      <c r="BL237" s="53250"/>
      <c r="BM237" s="53251"/>
      <c r="BN237" s="53251"/>
      <c r="BO237" s="53251"/>
      <c r="BP237" s="53251"/>
      <c r="BQ237" s="53251"/>
      <c r="BR237" s="53252"/>
      <c r="BS237" s="53250"/>
      <c r="BT237" s="53251"/>
      <c r="BU237" s="53251"/>
      <c r="BV237" s="53251"/>
      <c r="BW237" s="53251"/>
      <c r="BX237" s="53251"/>
      <c r="BY237" s="53252"/>
      <c r="BZ237" s="53250"/>
      <c r="CA237" s="53251"/>
      <c r="CB237" s="53251"/>
      <c r="CC237" s="53251"/>
      <c r="CD237" s="53251"/>
      <c r="CE237" s="53251"/>
      <c r="CF237" s="53252"/>
      <c r="CG237" s="53250"/>
      <c r="CH237" s="53251"/>
      <c r="CI237" s="53251"/>
      <c r="CJ237" s="53251"/>
      <c r="CK237" s="53251"/>
      <c r="CL237" s="53251"/>
      <c r="CM237" s="53252"/>
      <c r="CN237" s="53250"/>
      <c r="CO237" s="53251"/>
      <c r="CP237" s="53251"/>
      <c r="CQ237" s="53251"/>
      <c r="CR237" s="53251"/>
      <c r="CS237" s="53251"/>
      <c r="CT237" s="53252"/>
      <c r="CU237" s="53252"/>
      <c r="CV237" s="53253" t="s">
        <v>600</v>
      </c>
      <c r="CW237" s="53254"/>
      <c r="CX237" s="53255"/>
      <c r="CY237" s="53255" t="str">
        <f>IF(T237="","",T237)</f>
        <v>Группа потребителей</v>
      </c>
      <c r="CZ237" s="53255"/>
      <c r="DA237" s="53255"/>
      <c r="DB237" s="53256">
        <v>0</v>
      </c>
    </row>
    <row s="53257" customFormat="1" customHeight="1" ht="23.25">
      <c r="A238" s="53238"/>
      <c r="B238" s="53238"/>
      <c r="C238" s="53238"/>
      <c r="D238" s="53238"/>
      <c r="E238" s="53239"/>
      <c r="F238" s="53239"/>
      <c r="G238" s="53239"/>
      <c r="H238" s="53239"/>
      <c r="I238" s="53240"/>
      <c r="J238" s="53240" t="str">
        <f>I232&amp;".1"</f>
        <v>1.11.1.1.1</v>
      </c>
      <c r="K238" s="53241" t="str">
        <f>J237&amp;".1"</f>
        <v>1.11.1.1.2.1</v>
      </c>
      <c r="L238" s="53242"/>
      <c r="M238" s="53243"/>
      <c r="N238" s="53243"/>
      <c r="O238" s="53243"/>
      <c r="P238" s="53244"/>
      <c r="Q238" s="53244"/>
      <c r="R238" s="53246">
        <v>1</v>
      </c>
      <c r="S238" s="53247" t="str">
        <f>$K238</f>
        <v>1.11.1.1.2.1</v>
      </c>
      <c r="T238" s="53258"/>
      <c r="U238" s="53249"/>
      <c r="V238" s="53259"/>
      <c r="W238" s="53259"/>
      <c r="X238" s="53260"/>
      <c r="Y238" s="53152"/>
      <c r="Z238" s="53261" t="s">
        <v>63</v>
      </c>
      <c r="AA238" s="53152"/>
      <c r="AB238" s="53261" t="s">
        <v>63</v>
      </c>
      <c r="AC238" s="53259">
        <v>21.13</v>
      </c>
      <c r="AD238" s="53259"/>
      <c r="AE238" s="53260"/>
      <c r="AF238" s="53152">
        <v>45292.434282407405</v>
      </c>
      <c r="AG238" s="53261" t="s">
        <v>63</v>
      </c>
      <c r="AH238" s="53153">
        <v>45473.43445601852</v>
      </c>
      <c r="AI238" s="53261" t="s">
        <v>63</v>
      </c>
      <c r="AJ238" s="53259">
        <v>27.47</v>
      </c>
      <c r="AK238" s="53259"/>
      <c r="AL238" s="53260"/>
      <c r="AM238" s="53152">
        <v>45474.43467592593</v>
      </c>
      <c r="AN238" s="53261" t="s">
        <v>63</v>
      </c>
      <c r="AO238" s="53152">
        <v>45657.43476851852</v>
      </c>
      <c r="AP238" s="53261" t="s">
        <v>63</v>
      </c>
      <c r="AQ238" s="53259">
        <v>27.47</v>
      </c>
      <c r="AR238" s="53259"/>
      <c r="AS238" s="53260"/>
      <c r="AT238" s="53152">
        <v>45658.43494212963</v>
      </c>
      <c r="AU238" s="53261" t="s">
        <v>63</v>
      </c>
      <c r="AV238" s="53152">
        <v>45838.43505787037</v>
      </c>
      <c r="AW238" s="53261" t="s">
        <v>63</v>
      </c>
      <c r="AX238" s="53259">
        <v>32.96</v>
      </c>
      <c r="AY238" s="53259"/>
      <c r="AZ238" s="53260"/>
      <c r="BA238" s="53152">
        <v>45839.435219907406</v>
      </c>
      <c r="BB238" s="53261" t="s">
        <v>63</v>
      </c>
      <c r="BC238" s="53152">
        <v>46022.43537037037</v>
      </c>
      <c r="BD238" s="53261" t="s">
        <v>63</v>
      </c>
      <c r="BE238" s="53259">
        <v>32.96</v>
      </c>
      <c r="BF238" s="53259"/>
      <c r="BG238" s="53260"/>
      <c r="BH238" s="53152">
        <v>46023.435740740744</v>
      </c>
      <c r="BI238" s="53261" t="s">
        <v>63</v>
      </c>
      <c r="BJ238" s="53152">
        <v>46203.4359375</v>
      </c>
      <c r="BK238" s="53261" t="s">
        <v>63</v>
      </c>
      <c r="BL238" s="53259">
        <v>34.61</v>
      </c>
      <c r="BM238" s="53259"/>
      <c r="BN238" s="53260"/>
      <c r="BO238" s="53152">
        <v>46204.43636574074</v>
      </c>
      <c r="BP238" s="53261" t="s">
        <v>63</v>
      </c>
      <c r="BQ238" s="53152">
        <v>46387.436527777776</v>
      </c>
      <c r="BR238" s="53261" t="s">
        <v>63</v>
      </c>
      <c r="BS238" s="53259">
        <v>34.61</v>
      </c>
      <c r="BT238" s="53259"/>
      <c r="BU238" s="53260"/>
      <c r="BV238" s="53152">
        <v>46388.436793981484</v>
      </c>
      <c r="BW238" s="53261" t="s">
        <v>63</v>
      </c>
      <c r="BX238" s="53152">
        <v>46568.43699074074</v>
      </c>
      <c r="BY238" s="53261" t="s">
        <v>63</v>
      </c>
      <c r="BZ238" s="53259">
        <v>36</v>
      </c>
      <c r="CA238" s="53259"/>
      <c r="CB238" s="53260"/>
      <c r="CC238" s="53152">
        <v>46569.43730324074</v>
      </c>
      <c r="CD238" s="53261" t="s">
        <v>63</v>
      </c>
      <c r="CE238" s="53152">
        <v>46752.4375</v>
      </c>
      <c r="CF238" s="53261" t="s">
        <v>63</v>
      </c>
      <c r="CG238" s="53259">
        <v>36</v>
      </c>
      <c r="CH238" s="53259"/>
      <c r="CI238" s="53260"/>
      <c r="CJ238" s="53152">
        <v>46753.43782407408</v>
      </c>
      <c r="CK238" s="53261" t="s">
        <v>63</v>
      </c>
      <c r="CL238" s="53152">
        <v>46934.43835648148</v>
      </c>
      <c r="CM238" s="53261" t="s">
        <v>63</v>
      </c>
      <c r="CN238" s="53259">
        <v>36.76</v>
      </c>
      <c r="CO238" s="53259"/>
      <c r="CP238" s="53260"/>
      <c r="CQ238" s="53152">
        <v>46935.43875</v>
      </c>
      <c r="CR238" s="53261" t="s">
        <v>63</v>
      </c>
      <c r="CS238" s="53152">
        <v>47118.43895833333</v>
      </c>
      <c r="CT238" s="53261" t="s">
        <v>63</v>
      </c>
      <c r="CU238" s="53262"/>
      <c r="CV238" s="5326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238" s="53254">
        <f>STRCHECKDATE(V239:CU239)</f>
      </c>
      <c r="CX238" s="53255"/>
      <c r="CY238" s="53255" t="str">
        <f>IF(T238="","",T238)</f>
        <v/>
      </c>
      <c r="CZ238" s="53255"/>
      <c r="DA238" s="53255"/>
      <c r="DB238" s="53256">
        <v>0</v>
      </c>
    </row>
    <row s="53264" customFormat="1" customHeight="1" ht="14.25">
      <c r="A239" s="53238"/>
      <c r="B239" s="53238"/>
      <c r="C239" s="53238"/>
      <c r="D239" s="53238"/>
      <c r="E239" s="53239"/>
      <c r="F239" s="53239"/>
      <c r="G239" s="53239"/>
      <c r="H239" s="53239"/>
      <c r="I239" s="53240"/>
      <c r="J239" s="53240" t="str">
        <f>I232&amp;".1"</f>
        <v>1.11.1.1.1</v>
      </c>
      <c r="K239" s="53241"/>
      <c r="L239" s="53242"/>
      <c r="M239" s="53243"/>
      <c r="N239" s="53243"/>
      <c r="O239" s="53243"/>
      <c r="P239" s="53244"/>
      <c r="Q239" s="53244"/>
      <c r="R239" s="53246"/>
      <c r="S239" s="53265"/>
      <c r="T239" s="53249"/>
      <c r="U239" s="53249"/>
      <c r="V239" s="53266"/>
      <c r="W239" s="53266"/>
      <c r="X239" s="53267" t="str">
        <f>Y238&amp;"-"&amp;AA238</f>
        <v>-</v>
      </c>
      <c r="Y239" s="53268"/>
      <c r="Z239" s="53261"/>
      <c r="AA239" s="53268"/>
      <c r="AB239" s="53261"/>
      <c r="AC239" s="53266"/>
      <c r="AD239" s="53266"/>
      <c r="AE239" s="53267" t="str">
        <f>AF238&amp;"-"&amp;AH238</f>
        <v>45292.434282407405-45473.43445601852</v>
      </c>
      <c r="AF239" s="53268"/>
      <c r="AG239" s="53261"/>
      <c r="AH239" s="53269"/>
      <c r="AI239" s="53261"/>
      <c r="AJ239" s="53266"/>
      <c r="AK239" s="53266"/>
      <c r="AL239" s="53267" t="str">
        <f>AM238&amp;"-"&amp;AO238</f>
        <v>45474.43467592593-45657.43476851852</v>
      </c>
      <c r="AM239" s="53268"/>
      <c r="AN239" s="53261"/>
      <c r="AO239" s="53268"/>
      <c r="AP239" s="53261"/>
      <c r="AQ239" s="53266"/>
      <c r="AR239" s="53266"/>
      <c r="AS239" s="53267" t="str">
        <f>AT238&amp;"-"&amp;AV238</f>
        <v>45658.43494212963-45838.43505787037</v>
      </c>
      <c r="AT239" s="53268"/>
      <c r="AU239" s="53261"/>
      <c r="AV239" s="53268"/>
      <c r="AW239" s="53261"/>
      <c r="AX239" s="53266"/>
      <c r="AY239" s="53266"/>
      <c r="AZ239" s="53267" t="str">
        <f>BA238&amp;"-"&amp;BC238</f>
        <v>45839.435219907406-46022.43537037037</v>
      </c>
      <c r="BA239" s="53268"/>
      <c r="BB239" s="53261"/>
      <c r="BC239" s="53268"/>
      <c r="BD239" s="53261"/>
      <c r="BE239" s="53266"/>
      <c r="BF239" s="53266"/>
      <c r="BG239" s="53267" t="str">
        <f>BH238&amp;"-"&amp;BJ238</f>
        <v>46023.435740740744-46203.4359375</v>
      </c>
      <c r="BH239" s="53268"/>
      <c r="BI239" s="53261"/>
      <c r="BJ239" s="53268"/>
      <c r="BK239" s="53261"/>
      <c r="BL239" s="53266"/>
      <c r="BM239" s="53266"/>
      <c r="BN239" s="53267" t="str">
        <f>BO238&amp;"-"&amp;BQ238</f>
        <v>46204.43636574074-46387.436527777776</v>
      </c>
      <c r="BO239" s="53268"/>
      <c r="BP239" s="53261"/>
      <c r="BQ239" s="53268"/>
      <c r="BR239" s="53261"/>
      <c r="BS239" s="53266"/>
      <c r="BT239" s="53266"/>
      <c r="BU239" s="53267" t="str">
        <f>BV238&amp;"-"&amp;BX238</f>
        <v>46388.436793981484-46568.43699074074</v>
      </c>
      <c r="BV239" s="53268"/>
      <c r="BW239" s="53261"/>
      <c r="BX239" s="53268"/>
      <c r="BY239" s="53261"/>
      <c r="BZ239" s="53266"/>
      <c r="CA239" s="53266"/>
      <c r="CB239" s="53267" t="str">
        <f>CC238&amp;"-"&amp;CE238</f>
        <v>46569.43730324074-46752.4375</v>
      </c>
      <c r="CC239" s="53268"/>
      <c r="CD239" s="53261"/>
      <c r="CE239" s="53268"/>
      <c r="CF239" s="53261"/>
      <c r="CG239" s="53266"/>
      <c r="CH239" s="53266"/>
      <c r="CI239" s="53267" t="str">
        <f>CJ238&amp;"-"&amp;CL238</f>
        <v>46753.43782407408-46934.43835648148</v>
      </c>
      <c r="CJ239" s="53268"/>
      <c r="CK239" s="53261"/>
      <c r="CL239" s="53268"/>
      <c r="CM239" s="53261"/>
      <c r="CN239" s="53266"/>
      <c r="CO239" s="53266"/>
      <c r="CP239" s="53267" t="str">
        <f>CQ238&amp;"-"&amp;CS238</f>
        <v>46935.43875-47118.43895833333</v>
      </c>
      <c r="CQ239" s="53268"/>
      <c r="CR239" s="53261"/>
      <c r="CS239" s="53268"/>
      <c r="CT239" s="53261"/>
      <c r="CU239" s="53270"/>
      <c r="CV239" s="53263"/>
      <c r="CW239" s="53254"/>
      <c r="CX239" s="53255"/>
      <c r="CY239" s="53255" t="str">
        <f>IF(T239="","",T239)</f>
        <v/>
      </c>
      <c r="CZ239" s="53255"/>
      <c r="DA239" s="53255"/>
      <c r="DB239" s="53256">
        <v>0</v>
      </c>
    </row>
    <row s="53271" customFormat="1" customHeight="1" ht="21">
      <c r="A240" s="53238"/>
      <c r="B240" s="53238"/>
      <c r="C240" s="53238"/>
      <c r="D240" s="53238"/>
      <c r="E240" s="53239"/>
      <c r="F240" s="53239"/>
      <c r="G240" s="53239"/>
      <c r="H240" s="53239"/>
      <c r="I240" s="53240"/>
      <c r="J240" s="53241" t="str">
        <f>I232&amp;".1"</f>
        <v>1.11.1.1.1</v>
      </c>
      <c r="K240" s="53238"/>
      <c r="L240" s="53242"/>
      <c r="M240" s="53243"/>
      <c r="N240" s="53243"/>
      <c r="O240" s="53243"/>
      <c r="P240" s="53244"/>
      <c r="Q240" s="53244"/>
      <c r="R240" s="53272"/>
      <c r="S240" s="53273"/>
      <c r="T240" s="53274" t="s">
        <v>601</v>
      </c>
      <c r="U240" s="53275"/>
      <c r="V240" s="53276"/>
      <c r="W240" s="53277"/>
      <c r="X240" s="53278"/>
      <c r="Y240" s="53279"/>
      <c r="Z240" s="53280"/>
      <c r="AA240" s="53281"/>
      <c r="AB240" s="53282"/>
      <c r="AC240" s="53283"/>
      <c r="AD240" s="53284"/>
      <c r="AE240" s="53285"/>
      <c r="AF240" s="53286"/>
      <c r="AG240" s="53287"/>
      <c r="AH240" s="53288"/>
      <c r="AI240" s="53289"/>
      <c r="AJ240" s="53290"/>
      <c r="AK240" s="53291"/>
      <c r="AL240" s="53292"/>
      <c r="AM240" s="53293"/>
      <c r="AN240" s="53294"/>
      <c r="AO240" s="53295"/>
      <c r="AP240" s="53296"/>
      <c r="AQ240" s="53297"/>
      <c r="AR240" s="53298"/>
      <c r="AS240" s="53299"/>
      <c r="AT240" s="53300"/>
      <c r="AU240" s="53301"/>
      <c r="AV240" s="53302"/>
      <c r="AW240" s="53303"/>
      <c r="AX240" s="53304"/>
      <c r="AY240" s="53305"/>
      <c r="AZ240" s="53306"/>
      <c r="BA240" s="53307"/>
      <c r="BB240" s="53308"/>
      <c r="BC240" s="53309"/>
      <c r="BD240" s="53310"/>
      <c r="BE240" s="53311"/>
      <c r="BF240" s="53312"/>
      <c r="BG240" s="53313"/>
      <c r="BH240" s="53314"/>
      <c r="BI240" s="53315"/>
      <c r="BJ240" s="53316"/>
      <c r="BK240" s="53317"/>
      <c r="BL240" s="53318"/>
      <c r="BM240" s="53319"/>
      <c r="BN240" s="53320"/>
      <c r="BO240" s="53321"/>
      <c r="BP240" s="53322"/>
      <c r="BQ240" s="53323"/>
      <c r="BR240" s="53324"/>
      <c r="BS240" s="53325"/>
      <c r="BT240" s="53326"/>
      <c r="BU240" s="53327"/>
      <c r="BV240" s="53328"/>
      <c r="BW240" s="53329"/>
      <c r="BX240" s="53330"/>
      <c r="BY240" s="53331"/>
      <c r="BZ240" s="53332"/>
      <c r="CA240" s="53333"/>
      <c r="CB240" s="53334"/>
      <c r="CC240" s="53335"/>
      <c r="CD240" s="53336"/>
      <c r="CE240" s="53337"/>
      <c r="CF240" s="53338"/>
      <c r="CG240" s="53339"/>
      <c r="CH240" s="53340"/>
      <c r="CI240" s="53341"/>
      <c r="CJ240" s="53342"/>
      <c r="CK240" s="53343"/>
      <c r="CL240" s="53344"/>
      <c r="CM240" s="53345"/>
      <c r="CN240" s="53346"/>
      <c r="CO240" s="53347"/>
      <c r="CP240" s="53348"/>
      <c r="CQ240" s="53349"/>
      <c r="CR240" s="53350"/>
      <c r="CS240" s="53351"/>
      <c r="CT240" s="53352"/>
      <c r="CU240" s="53353"/>
      <c r="CV240" s="53354" t="s">
        <v>602</v>
      </c>
      <c r="CW240" s="53254"/>
      <c r="CX240" s="53255"/>
      <c r="CY240" s="53255" t="str">
        <f>IF(T240="","",T240)</f>
        <v>Добавить значение признака дифференциации</v>
      </c>
      <c r="CZ240" s="53255"/>
      <c r="DA240" s="53255"/>
      <c r="DB240" s="53256">
        <v>0</v>
      </c>
    </row>
    <row s="53355" customFormat="1" customHeight="1" ht="21">
      <c r="A241" s="16967"/>
      <c r="B241" s="16967"/>
      <c r="C241" s="16967"/>
      <c r="D241" s="16967"/>
      <c r="E241" s="16968"/>
      <c r="F241" s="16968" t="s">
        <v>145</v>
      </c>
      <c r="G241" s="16968"/>
      <c r="H241" s="16968"/>
      <c r="I241" s="16989"/>
      <c r="J241" s="16967"/>
      <c r="K241" s="16967"/>
      <c r="L241" s="16970"/>
      <c r="M241" s="16990"/>
      <c r="N241" s="16990"/>
      <c r="O241" s="16990"/>
      <c r="P241" s="16991"/>
      <c r="Q241" s="16991"/>
      <c r="R241" s="16992"/>
      <c r="S241" s="20144"/>
      <c r="T241" s="20145" t="s">
        <v>530</v>
      </c>
      <c r="U241" s="20146"/>
      <c r="V241" s="20147"/>
      <c r="W241" s="20148"/>
      <c r="X241" s="20149"/>
      <c r="Y241" s="20150"/>
      <c r="Z241" s="20151"/>
      <c r="AA241" s="20152"/>
      <c r="AB241" s="20153"/>
      <c r="AC241" s="20154"/>
      <c r="AD241" s="20155"/>
      <c r="AE241" s="20156"/>
      <c r="AF241" s="20157"/>
      <c r="AG241" s="20158"/>
      <c r="AH241" s="20159"/>
      <c r="AI241" s="20160"/>
      <c r="AJ241" s="20161"/>
      <c r="AK241" s="20162"/>
      <c r="AL241" s="20163"/>
      <c r="AM241" s="20164"/>
      <c r="AN241" s="20165"/>
      <c r="AO241" s="20166"/>
      <c r="AP241" s="20167"/>
      <c r="AQ241" s="20168"/>
      <c r="AR241" s="20169"/>
      <c r="AS241" s="20170"/>
      <c r="AT241" s="20171"/>
      <c r="AU241" s="20172"/>
      <c r="AV241" s="20173"/>
      <c r="AW241" s="20174"/>
      <c r="AX241" s="20175"/>
      <c r="AY241" s="20176"/>
      <c r="AZ241" s="20177"/>
      <c r="BA241" s="20178"/>
      <c r="BB241" s="20179"/>
      <c r="BC241" s="20180"/>
      <c r="BD241" s="20181"/>
      <c r="BE241" s="20182"/>
      <c r="BF241" s="20183"/>
      <c r="BG241" s="20184"/>
      <c r="BH241" s="20185"/>
      <c r="BI241" s="20186"/>
      <c r="BJ241" s="20187"/>
      <c r="BK241" s="20188"/>
      <c r="BL241" s="20189"/>
      <c r="BM241" s="20190"/>
      <c r="BN241" s="20191"/>
      <c r="BO241" s="20192"/>
      <c r="BP241" s="20193"/>
      <c r="BQ241" s="20194"/>
      <c r="BR241" s="20195"/>
      <c r="BS241" s="20196"/>
      <c r="BT241" s="20197"/>
      <c r="BU241" s="20198"/>
      <c r="BV241" s="20199"/>
      <c r="BW241" s="20200"/>
      <c r="BX241" s="20201"/>
      <c r="BY241" s="20202"/>
      <c r="BZ241" s="20203"/>
      <c r="CA241" s="20204"/>
      <c r="CB241" s="20205"/>
      <c r="CC241" s="20206"/>
      <c r="CD241" s="20207"/>
      <c r="CE241" s="20208"/>
      <c r="CF241" s="20209"/>
      <c r="CG241" s="20210"/>
      <c r="CH241" s="20211"/>
      <c r="CI241" s="20212"/>
      <c r="CJ241" s="20213"/>
      <c r="CK241" s="20214"/>
      <c r="CL241" s="20215"/>
      <c r="CM241" s="20216"/>
      <c r="CN241" s="27790"/>
      <c r="CO241" s="27791"/>
      <c r="CP241" s="27792"/>
      <c r="CQ241" s="27793"/>
      <c r="CR241" s="27794"/>
      <c r="CS241" s="27795"/>
      <c r="CT241" s="27796"/>
      <c r="CU241" s="20217"/>
      <c r="CV241" s="20218"/>
      <c r="CW241" s="16982"/>
      <c r="CX241" s="16983"/>
      <c r="CY241" s="16983" t="str">
        <f>IF(T241="","",T241)</f>
        <v>Добавить группу потребителей</v>
      </c>
      <c r="CZ241" s="16983"/>
      <c r="DA241" s="16983"/>
      <c r="DB241" s="16984">
        <v>0</v>
      </c>
    </row>
    <row s="53438" customFormat="1" customHeight="1" ht="21">
      <c r="A242" s="16967"/>
      <c r="B242" s="16967"/>
      <c r="C242" s="16967"/>
      <c r="D242" s="16967"/>
      <c r="E242" s="16968"/>
      <c r="F242" s="16968" t="s">
        <v>145</v>
      </c>
      <c r="G242" s="16968"/>
      <c r="H242" s="16969"/>
      <c r="I242" s="16967"/>
      <c r="J242" s="16967"/>
      <c r="K242" s="16967"/>
      <c r="L242" s="16970"/>
      <c r="M242" s="16971"/>
      <c r="N242" s="16971"/>
      <c r="O242" s="17174"/>
      <c r="P242" s="17175"/>
      <c r="Q242" s="17176"/>
      <c r="R242" s="17177"/>
      <c r="S242" s="20220"/>
      <c r="T242" s="20221" t="s">
        <v>603</v>
      </c>
      <c r="U242" s="20222"/>
      <c r="V242" s="20223"/>
      <c r="W242" s="20224"/>
      <c r="X242" s="20225"/>
      <c r="Y242" s="20226"/>
      <c r="Z242" s="20227"/>
      <c r="AA242" s="20228"/>
      <c r="AB242" s="20229"/>
      <c r="AC242" s="20230"/>
      <c r="AD242" s="20231"/>
      <c r="AE242" s="20232"/>
      <c r="AF242" s="20233"/>
      <c r="AG242" s="20234"/>
      <c r="AH242" s="20235"/>
      <c r="AI242" s="20236"/>
      <c r="AJ242" s="20237"/>
      <c r="AK242" s="20238"/>
      <c r="AL242" s="20239"/>
      <c r="AM242" s="20240"/>
      <c r="AN242" s="20241"/>
      <c r="AO242" s="20242"/>
      <c r="AP242" s="20243"/>
      <c r="AQ242" s="20244"/>
      <c r="AR242" s="20245"/>
      <c r="AS242" s="20246"/>
      <c r="AT242" s="20247"/>
      <c r="AU242" s="20248"/>
      <c r="AV242" s="20249"/>
      <c r="AW242" s="20250"/>
      <c r="AX242" s="20251"/>
      <c r="AY242" s="20252"/>
      <c r="AZ242" s="20253"/>
      <c r="BA242" s="20254"/>
      <c r="BB242" s="20255"/>
      <c r="BC242" s="20256"/>
      <c r="BD242" s="20257"/>
      <c r="BE242" s="20258"/>
      <c r="BF242" s="20259"/>
      <c r="BG242" s="20260"/>
      <c r="BH242" s="20261"/>
      <c r="BI242" s="20262"/>
      <c r="BJ242" s="20263"/>
      <c r="BK242" s="20264"/>
      <c r="BL242" s="20265"/>
      <c r="BM242" s="20266"/>
      <c r="BN242" s="20267"/>
      <c r="BO242" s="20268"/>
      <c r="BP242" s="20269"/>
      <c r="BQ242" s="20270"/>
      <c r="BR242" s="20271"/>
      <c r="BS242" s="20272"/>
      <c r="BT242" s="20273"/>
      <c r="BU242" s="20274"/>
      <c r="BV242" s="20275"/>
      <c r="BW242" s="20276"/>
      <c r="BX242" s="20277"/>
      <c r="BY242" s="20278"/>
      <c r="BZ242" s="20279"/>
      <c r="CA242" s="20280"/>
      <c r="CB242" s="20281"/>
      <c r="CC242" s="20282"/>
      <c r="CD242" s="20283"/>
      <c r="CE242" s="20284"/>
      <c r="CF242" s="20285"/>
      <c r="CG242" s="20286"/>
      <c r="CH242" s="20287"/>
      <c r="CI242" s="20288"/>
      <c r="CJ242" s="20289"/>
      <c r="CK242" s="20290"/>
      <c r="CL242" s="20291"/>
      <c r="CM242" s="20292"/>
      <c r="CN242" s="27873"/>
      <c r="CO242" s="27874"/>
      <c r="CP242" s="27875"/>
      <c r="CQ242" s="27876"/>
      <c r="CR242" s="27877"/>
      <c r="CS242" s="27878"/>
      <c r="CT242" s="27879"/>
      <c r="CU242" s="20293"/>
      <c r="CV242" s="20294"/>
      <c r="CW242" s="16982"/>
      <c r="CX242" s="16983"/>
      <c r="CY242" s="16983" t="str">
        <f>IF(T242="","",T242)</f>
        <v>Добавить наименование признака дифференциации</v>
      </c>
      <c r="CZ242" s="16983"/>
      <c r="DA242" s="16983"/>
      <c r="DB242" s="16984">
        <v>0</v>
      </c>
    </row>
    <row s="53521" customFormat="1" customHeight="1" ht="14.25">
      <c r="A243" s="17254"/>
      <c r="B243" s="17254"/>
      <c r="C243" s="17254"/>
      <c r="D243" s="17254"/>
      <c r="E243" s="16968"/>
      <c r="F243" s="16969" t="s">
        <v>145</v>
      </c>
      <c r="G243" s="17254"/>
      <c r="H243" s="17254"/>
      <c r="I243" s="17254"/>
      <c r="J243" s="17254"/>
      <c r="K243" s="17254"/>
      <c r="L243" s="17255"/>
      <c r="M243" s="17256"/>
      <c r="N243" s="17256"/>
      <c r="O243" s="16982"/>
      <c r="P243" s="17257"/>
      <c r="Q243" s="17258"/>
      <c r="R243" s="17257"/>
      <c r="S243" s="17259"/>
      <c r="T243" s="17260" t="s">
        <v>321</v>
      </c>
      <c r="U243" s="17261"/>
      <c r="V243" s="17261"/>
      <c r="W243" s="17261"/>
      <c r="X243" s="17261"/>
      <c r="Y243" s="17261"/>
      <c r="Z243" s="17261"/>
      <c r="AA243" s="17261"/>
      <c r="AB243" s="17261"/>
      <c r="AC243" s="17261"/>
      <c r="AD243" s="17261"/>
      <c r="AE243" s="17261"/>
      <c r="AF243" s="17261"/>
      <c r="AG243" s="17261"/>
      <c r="AH243" s="17261"/>
      <c r="AI243" s="17261"/>
      <c r="AJ243" s="17261"/>
      <c r="AK243" s="17261"/>
      <c r="AL243" s="17261"/>
      <c r="AM243" s="17261"/>
      <c r="AN243" s="17261"/>
      <c r="AO243" s="17261"/>
      <c r="AP243" s="17261"/>
      <c r="AQ243" s="17261"/>
      <c r="AR243" s="17261"/>
      <c r="AS243" s="17261"/>
      <c r="AT243" s="17261"/>
      <c r="AU243" s="17261"/>
      <c r="AV243" s="17261"/>
      <c r="AW243" s="17261"/>
      <c r="AX243" s="17261"/>
      <c r="AY243" s="17261"/>
      <c r="AZ243" s="17261"/>
      <c r="BA243" s="17261"/>
      <c r="BB243" s="17261"/>
      <c r="BC243" s="17261"/>
      <c r="BD243" s="17261"/>
      <c r="BE243" s="17261"/>
      <c r="BF243" s="17261"/>
      <c r="BG243" s="17261"/>
      <c r="BH243" s="17261"/>
      <c r="BI243" s="17261"/>
      <c r="BJ243" s="17261"/>
      <c r="BK243" s="17261"/>
      <c r="BL243" s="17261"/>
      <c r="BM243" s="17261"/>
      <c r="BN243" s="17261"/>
      <c r="BO243" s="17261"/>
      <c r="BP243" s="17261"/>
      <c r="BQ243" s="17261"/>
      <c r="BR243" s="17261"/>
      <c r="BS243" s="17261"/>
      <c r="BT243" s="17261"/>
      <c r="BU243" s="17261"/>
      <c r="BV243" s="17261"/>
      <c r="BW243" s="17261"/>
      <c r="BX243" s="17261"/>
      <c r="BY243" s="17261"/>
      <c r="BZ243" s="17261"/>
      <c r="CA243" s="17261"/>
      <c r="CB243" s="17261"/>
      <c r="CC243" s="17261"/>
      <c r="CD243" s="17261"/>
      <c r="CE243" s="17261"/>
      <c r="CF243" s="17261"/>
      <c r="CG243" s="17261"/>
      <c r="CH243" s="17261"/>
      <c r="CI243" s="17261"/>
      <c r="CJ243" s="17261"/>
      <c r="CK243" s="17261"/>
      <c r="CL243" s="17261"/>
      <c r="CM243" s="17261"/>
      <c r="CN243" s="23902"/>
      <c r="CO243" s="23902"/>
      <c r="CP243" s="23902"/>
      <c r="CQ243" s="23902"/>
      <c r="CR243" s="23902"/>
      <c r="CS243" s="23902"/>
      <c r="CT243" s="23902"/>
      <c r="CU243" s="17261"/>
      <c r="CV243" s="17261"/>
      <c r="CW243" s="16982"/>
      <c r="CX243" s="16983"/>
      <c r="CY243" s="16983" t="str">
        <f>IF(T243="","",T243)</f>
        <v>Добавить централизованную систему для дифференциации</v>
      </c>
      <c r="CZ243" s="16983"/>
      <c r="DA243" s="16983"/>
      <c r="DB243" s="16982">
        <v>0</v>
      </c>
    </row>
    <row s="53522" customFormat="1" customHeight="1" ht="23.25">
      <c r="A244" s="16967"/>
      <c r="B244" s="16967" t="s">
        <v>375</v>
      </c>
      <c r="C244" s="16967"/>
      <c r="D244" s="16967"/>
      <c r="E244" s="16968"/>
      <c r="F244" s="16969" t="s">
        <v>154</v>
      </c>
      <c r="G244" s="16967"/>
      <c r="H244" s="16967"/>
      <c r="I244" s="16967"/>
      <c r="J244" s="16967"/>
      <c r="K244" s="16967"/>
      <c r="L244" s="16970"/>
      <c r="M244" s="16971"/>
      <c r="N244" s="16971"/>
      <c r="O244" s="16971"/>
      <c r="P244" s="16972"/>
      <c r="Q244" s="16973"/>
      <c r="R244" s="16974"/>
      <c r="S244" s="16975" t="str">
        <f>INDEX(PT_DIFFERENTIATION_NUM_TER,MATCH(B244,PT_DIFFERENTIATION_TER_ID,0))</f>
        <v>1.12</v>
      </c>
      <c r="T244" s="16976" t="s">
        <v>515</v>
      </c>
      <c r="U244" s="16977"/>
      <c r="V244" s="16978"/>
      <c r="W244" s="16979"/>
      <c r="X244" s="16979"/>
      <c r="Y244" s="16979"/>
      <c r="Z244" s="16979"/>
      <c r="AA244" s="16979"/>
      <c r="AB244" s="16980"/>
      <c r="AC244" s="16978" t="str">
        <f>INDEX(PT_DIFFERENTIATION_TER,MATCH(B244,PT_DIFFERENTIATION_TER_ID,0))</f>
        <v>Территория 12</v>
      </c>
      <c r="AD244" s="16979"/>
      <c r="AE244" s="16979"/>
      <c r="AF244" s="16979"/>
      <c r="AG244" s="16979"/>
      <c r="AH244" s="16979"/>
      <c r="AI244" s="16979"/>
      <c r="AJ244" s="16978"/>
      <c r="AK244" s="16979"/>
      <c r="AL244" s="16979"/>
      <c r="AM244" s="16979"/>
      <c r="AN244" s="16979"/>
      <c r="AO244" s="16979"/>
      <c r="AP244" s="16980"/>
      <c r="AQ244" s="16978"/>
      <c r="AR244" s="16979"/>
      <c r="AS244" s="16979"/>
      <c r="AT244" s="16979"/>
      <c r="AU244" s="16979"/>
      <c r="AV244" s="16979"/>
      <c r="AW244" s="16980"/>
      <c r="AX244" s="16978"/>
      <c r="AY244" s="16979"/>
      <c r="AZ244" s="16979"/>
      <c r="BA244" s="16979"/>
      <c r="BB244" s="16979"/>
      <c r="BC244" s="16979"/>
      <c r="BD244" s="16980"/>
      <c r="BE244" s="16978"/>
      <c r="BF244" s="16979"/>
      <c r="BG244" s="16979"/>
      <c r="BH244" s="16979"/>
      <c r="BI244" s="16979"/>
      <c r="BJ244" s="16979"/>
      <c r="BK244" s="16980"/>
      <c r="BL244" s="16978"/>
      <c r="BM244" s="16979"/>
      <c r="BN244" s="16979"/>
      <c r="BO244" s="16979"/>
      <c r="BP244" s="16979"/>
      <c r="BQ244" s="16979"/>
      <c r="BR244" s="16980"/>
      <c r="BS244" s="16978"/>
      <c r="BT244" s="16979"/>
      <c r="BU244" s="16979"/>
      <c r="BV244" s="16979"/>
      <c r="BW244" s="16979"/>
      <c r="BX244" s="16979"/>
      <c r="BY244" s="16980"/>
      <c r="BZ244" s="16978"/>
      <c r="CA244" s="16979"/>
      <c r="CB244" s="16979"/>
      <c r="CC244" s="16979"/>
      <c r="CD244" s="16979"/>
      <c r="CE244" s="16979"/>
      <c r="CF244" s="16980"/>
      <c r="CG244" s="16978"/>
      <c r="CH244" s="16979"/>
      <c r="CI244" s="16979"/>
      <c r="CJ244" s="16979"/>
      <c r="CK244" s="16979"/>
      <c r="CL244" s="16979"/>
      <c r="CM244" s="16980"/>
      <c r="CN244" s="23679"/>
      <c r="CO244" s="23680"/>
      <c r="CP244" s="23680"/>
      <c r="CQ244" s="23680"/>
      <c r="CR244" s="23680"/>
      <c r="CS244" s="23680"/>
      <c r="CT244" s="23681"/>
      <c r="CU244" s="16980"/>
      <c r="CV244" s="16981" t="s">
        <v>516</v>
      </c>
      <c r="CW244" s="16982"/>
      <c r="CX244" s="16983"/>
      <c r="CY244" s="16983" t="str">
        <f>IF(T244="","",T244)</f>
        <v>Территория действия тарифа</v>
      </c>
      <c r="CZ244" s="16983"/>
      <c r="DA244" s="16983"/>
      <c r="DB244" s="16984">
        <v>0</v>
      </c>
    </row>
    <row s="53523" customFormat="1" customHeight="1" ht="23.25">
      <c r="A245" s="16967"/>
      <c r="B245" s="16967"/>
      <c r="C245" s="16967" t="s">
        <v>376</v>
      </c>
      <c r="D245" s="16967"/>
      <c r="E245" s="16968"/>
      <c r="F245" s="16968" t="s">
        <v>150</v>
      </c>
      <c r="G245" s="16969">
        <v>1</v>
      </c>
      <c r="H245" s="16967"/>
      <c r="I245" s="16967"/>
      <c r="J245" s="16967"/>
      <c r="K245" s="16967"/>
      <c r="L245" s="16970"/>
      <c r="M245" s="16971"/>
      <c r="N245" s="16971"/>
      <c r="O245" s="16971"/>
      <c r="P245" s="16986"/>
      <c r="Q245" s="16973"/>
      <c r="R245" s="16974"/>
      <c r="S245" s="16975" t="str">
        <f>INDEX(PT_DIFFERENTIATION_NUM_CS,MATCH(C245,PT_DIFFERENTIATION_CS_ID,0))</f>
        <v>1.12.1</v>
      </c>
      <c r="T245" s="16987" t="s">
        <v>631</v>
      </c>
      <c r="U245" s="16977"/>
      <c r="V245" s="16978"/>
      <c r="W245" s="16979"/>
      <c r="X245" s="16979"/>
      <c r="Y245" s="16979"/>
      <c r="Z245" s="16979"/>
      <c r="AA245" s="16979"/>
      <c r="AB245" s="16980"/>
      <c r="AC245" s="16978" t="str">
        <f>INDEX(PT_DIFFERENTIATION_CS,MATCH(C245,PT_DIFFERENTIATION_CS_ID,0))</f>
        <v>ГО Спасск-Дальний</v>
      </c>
      <c r="AD245" s="16979"/>
      <c r="AE245" s="16979"/>
      <c r="AF245" s="16979"/>
      <c r="AG245" s="16979"/>
      <c r="AH245" s="16979"/>
      <c r="AI245" s="16979"/>
      <c r="AJ245" s="16978"/>
      <c r="AK245" s="16979"/>
      <c r="AL245" s="16979"/>
      <c r="AM245" s="16979"/>
      <c r="AN245" s="16979"/>
      <c r="AO245" s="16979"/>
      <c r="AP245" s="16980"/>
      <c r="AQ245" s="16978"/>
      <c r="AR245" s="16979"/>
      <c r="AS245" s="16979"/>
      <c r="AT245" s="16979"/>
      <c r="AU245" s="16979"/>
      <c r="AV245" s="16979"/>
      <c r="AW245" s="16980"/>
      <c r="AX245" s="16978"/>
      <c r="AY245" s="16979"/>
      <c r="AZ245" s="16979"/>
      <c r="BA245" s="16979"/>
      <c r="BB245" s="16979"/>
      <c r="BC245" s="16979"/>
      <c r="BD245" s="16980"/>
      <c r="BE245" s="16978"/>
      <c r="BF245" s="16979"/>
      <c r="BG245" s="16979"/>
      <c r="BH245" s="16979"/>
      <c r="BI245" s="16979"/>
      <c r="BJ245" s="16979"/>
      <c r="BK245" s="16980"/>
      <c r="BL245" s="16978"/>
      <c r="BM245" s="16979"/>
      <c r="BN245" s="16979"/>
      <c r="BO245" s="16979"/>
      <c r="BP245" s="16979"/>
      <c r="BQ245" s="16979"/>
      <c r="BR245" s="16980"/>
      <c r="BS245" s="16978"/>
      <c r="BT245" s="16979"/>
      <c r="BU245" s="16979"/>
      <c r="BV245" s="16979"/>
      <c r="BW245" s="16979"/>
      <c r="BX245" s="16979"/>
      <c r="BY245" s="16980"/>
      <c r="BZ245" s="16978"/>
      <c r="CA245" s="16979"/>
      <c r="CB245" s="16979"/>
      <c r="CC245" s="16979"/>
      <c r="CD245" s="16979"/>
      <c r="CE245" s="16979"/>
      <c r="CF245" s="16980"/>
      <c r="CG245" s="16978"/>
      <c r="CH245" s="16979"/>
      <c r="CI245" s="16979"/>
      <c r="CJ245" s="16979"/>
      <c r="CK245" s="16979"/>
      <c r="CL245" s="16979"/>
      <c r="CM245" s="16980"/>
      <c r="CN245" s="23679"/>
      <c r="CO245" s="23680"/>
      <c r="CP245" s="23680"/>
      <c r="CQ245" s="23680"/>
      <c r="CR245" s="23680"/>
      <c r="CS245" s="23680"/>
      <c r="CT245" s="23681"/>
      <c r="CU245" s="16980"/>
      <c r="CV245" s="16981" t="s">
        <v>632</v>
      </c>
      <c r="CW245" s="16982"/>
      <c r="CX245" s="16983"/>
      <c r="CY245" s="16983" t="str">
        <f>IF(T245="","",T245)</f>
        <v>Наименование централизованной системы водоотведения</v>
      </c>
      <c r="CZ245" s="16983"/>
      <c r="DA245" s="16983"/>
      <c r="DB245" s="16984">
        <v>0</v>
      </c>
    </row>
    <row s="53524" customFormat="1" customHeight="1" ht="23.25">
      <c r="A246" s="16967"/>
      <c r="B246" s="16967"/>
      <c r="C246" s="16967"/>
      <c r="D246" s="16967"/>
      <c r="E246" s="16968"/>
      <c r="F246" s="16968" t="s">
        <v>150</v>
      </c>
      <c r="G246" s="16968"/>
      <c r="H246" s="16968"/>
      <c r="I246" s="16989" t="str">
        <f>S245&amp;".1"</f>
        <v>1.12.1.1</v>
      </c>
      <c r="J246" s="16967"/>
      <c r="K246" s="16967"/>
      <c r="L246" s="16970"/>
      <c r="M246" s="16990"/>
      <c r="N246" s="16990"/>
      <c r="O246" s="16990"/>
      <c r="P246" s="16991">
        <v>1</v>
      </c>
      <c r="Q246" s="16991"/>
      <c r="R246" s="16992"/>
      <c r="S246" s="16975" t="str">
        <f>$I246</f>
        <v>1.12.1.1</v>
      </c>
      <c r="T246" s="16993" t="s">
        <v>598</v>
      </c>
      <c r="U246" s="16977"/>
      <c r="V246" s="16994"/>
      <c r="W246" s="16995"/>
      <c r="X246" s="16995"/>
      <c r="Y246" s="16995"/>
      <c r="Z246" s="16995"/>
      <c r="AA246" s="16995"/>
      <c r="AB246" s="16996"/>
      <c r="AC246" s="16997"/>
      <c r="AD246" s="16998"/>
      <c r="AE246" s="16998"/>
      <c r="AF246" s="16998"/>
      <c r="AG246" s="16998"/>
      <c r="AH246" s="16998"/>
      <c r="AI246" s="16998"/>
      <c r="AJ246" s="16994"/>
      <c r="AK246" s="16995"/>
      <c r="AL246" s="16995"/>
      <c r="AM246" s="16995"/>
      <c r="AN246" s="16995"/>
      <c r="AO246" s="16995"/>
      <c r="AP246" s="16996"/>
      <c r="AQ246" s="16994"/>
      <c r="AR246" s="16995"/>
      <c r="AS246" s="16995"/>
      <c r="AT246" s="16995"/>
      <c r="AU246" s="16995"/>
      <c r="AV246" s="16995"/>
      <c r="AW246" s="16996"/>
      <c r="AX246" s="16994"/>
      <c r="AY246" s="16995"/>
      <c r="AZ246" s="16995"/>
      <c r="BA246" s="16995"/>
      <c r="BB246" s="16995"/>
      <c r="BC246" s="16995"/>
      <c r="BD246" s="16996"/>
      <c r="BE246" s="16994"/>
      <c r="BF246" s="16995"/>
      <c r="BG246" s="16995"/>
      <c r="BH246" s="16995"/>
      <c r="BI246" s="16995"/>
      <c r="BJ246" s="16995"/>
      <c r="BK246" s="16996"/>
      <c r="BL246" s="16994"/>
      <c r="BM246" s="16995"/>
      <c r="BN246" s="16995"/>
      <c r="BO246" s="16995"/>
      <c r="BP246" s="16995"/>
      <c r="BQ246" s="16995"/>
      <c r="BR246" s="16996"/>
      <c r="BS246" s="16994"/>
      <c r="BT246" s="16995"/>
      <c r="BU246" s="16995"/>
      <c r="BV246" s="16995"/>
      <c r="BW246" s="16995"/>
      <c r="BX246" s="16995"/>
      <c r="BY246" s="16996"/>
      <c r="BZ246" s="16994"/>
      <c r="CA246" s="16995"/>
      <c r="CB246" s="16995"/>
      <c r="CC246" s="16995"/>
      <c r="CD246" s="16995"/>
      <c r="CE246" s="16995"/>
      <c r="CF246" s="16996"/>
      <c r="CG246" s="16994"/>
      <c r="CH246" s="16995"/>
      <c r="CI246" s="16995"/>
      <c r="CJ246" s="16995"/>
      <c r="CK246" s="16995"/>
      <c r="CL246" s="16995"/>
      <c r="CM246" s="16996"/>
      <c r="CN246" s="23687"/>
      <c r="CO246" s="23688"/>
      <c r="CP246" s="23688"/>
      <c r="CQ246" s="23688"/>
      <c r="CR246" s="23688"/>
      <c r="CS246" s="23688"/>
      <c r="CT246" s="23689"/>
      <c r="CU246" s="16999"/>
      <c r="CV246" s="16981" t="s">
        <v>599</v>
      </c>
      <c r="CW246" s="16982"/>
      <c r="CX246" s="16983"/>
      <c r="CY246" s="16983" t="str">
        <f>IF(T246="","",T246)</f>
        <v>Наименование признака дифференциации</v>
      </c>
      <c r="CZ246" s="16983"/>
      <c r="DA246" s="16983"/>
      <c r="DB246" s="16984">
        <v>0</v>
      </c>
    </row>
    <row s="53525" customFormat="1" customHeight="1" ht="23.25">
      <c r="A247" s="16967"/>
      <c r="B247" s="16967"/>
      <c r="C247" s="16967"/>
      <c r="D247" s="16967"/>
      <c r="E247" s="16968"/>
      <c r="F247" s="16968" t="s">
        <v>150</v>
      </c>
      <c r="G247" s="16968"/>
      <c r="H247" s="16968"/>
      <c r="I247" s="17001"/>
      <c r="J247" s="16989" t="str">
        <f>I246&amp;".1"</f>
        <v>1.12.1.1.1</v>
      </c>
      <c r="K247" s="16967"/>
      <c r="L247" s="16970" t="s">
        <v>524</v>
      </c>
      <c r="M247" s="16990"/>
      <c r="N247" s="16990"/>
      <c r="O247" s="16990"/>
      <c r="P247" s="16991"/>
      <c r="Q247" s="16991">
        <v>1</v>
      </c>
      <c r="R247" s="17002"/>
      <c r="S247" s="16975" t="str">
        <f>$J247</f>
        <v>1.12.1.1.1</v>
      </c>
      <c r="T247" s="17003" t="s">
        <v>525</v>
      </c>
      <c r="U247" s="16977"/>
      <c r="V247" s="17004"/>
      <c r="W247" s="17005"/>
      <c r="X247" s="17005"/>
      <c r="Y247" s="17005"/>
      <c r="Z247" s="17005"/>
      <c r="AA247" s="17005"/>
      <c r="AB247" s="17006"/>
      <c r="AC247" s="17004" t="s">
        <v>636</v>
      </c>
      <c r="AD247" s="17005"/>
      <c r="AE247" s="17005"/>
      <c r="AF247" s="17005"/>
      <c r="AG247" s="17005"/>
      <c r="AH247" s="17005"/>
      <c r="AI247" s="17005"/>
      <c r="AJ247" s="17004"/>
      <c r="AK247" s="17005"/>
      <c r="AL247" s="17005"/>
      <c r="AM247" s="17005"/>
      <c r="AN247" s="17005"/>
      <c r="AO247" s="17005"/>
      <c r="AP247" s="17006"/>
      <c r="AQ247" s="17004"/>
      <c r="AR247" s="17005"/>
      <c r="AS247" s="17005"/>
      <c r="AT247" s="17005"/>
      <c r="AU247" s="17005"/>
      <c r="AV247" s="17005"/>
      <c r="AW247" s="17006"/>
      <c r="AX247" s="17004"/>
      <c r="AY247" s="17005"/>
      <c r="AZ247" s="17005"/>
      <c r="BA247" s="17005"/>
      <c r="BB247" s="17005"/>
      <c r="BC247" s="17005"/>
      <c r="BD247" s="17006"/>
      <c r="BE247" s="17004"/>
      <c r="BF247" s="17005"/>
      <c r="BG247" s="17005"/>
      <c r="BH247" s="17005"/>
      <c r="BI247" s="17005"/>
      <c r="BJ247" s="17005"/>
      <c r="BK247" s="17006"/>
      <c r="BL247" s="17004"/>
      <c r="BM247" s="17005"/>
      <c r="BN247" s="17005"/>
      <c r="BO247" s="17005"/>
      <c r="BP247" s="17005"/>
      <c r="BQ247" s="17005"/>
      <c r="BR247" s="17006"/>
      <c r="BS247" s="17004"/>
      <c r="BT247" s="17005"/>
      <c r="BU247" s="17005"/>
      <c r="BV247" s="17005"/>
      <c r="BW247" s="17005"/>
      <c r="BX247" s="17005"/>
      <c r="BY247" s="17006"/>
      <c r="BZ247" s="17004"/>
      <c r="CA247" s="17005"/>
      <c r="CB247" s="17005"/>
      <c r="CC247" s="17005"/>
      <c r="CD247" s="17005"/>
      <c r="CE247" s="17005"/>
      <c r="CF247" s="17006"/>
      <c r="CG247" s="17004"/>
      <c r="CH247" s="17005"/>
      <c r="CI247" s="17005"/>
      <c r="CJ247" s="17005"/>
      <c r="CK247" s="17005"/>
      <c r="CL247" s="17005"/>
      <c r="CM247" s="17006"/>
      <c r="CN247" s="23693"/>
      <c r="CO247" s="23694"/>
      <c r="CP247" s="23694"/>
      <c r="CQ247" s="23694"/>
      <c r="CR247" s="23694"/>
      <c r="CS247" s="23694"/>
      <c r="CT247" s="23695"/>
      <c r="CU247" s="17006"/>
      <c r="CV247" s="17007" t="s">
        <v>600</v>
      </c>
      <c r="CW247" s="16982"/>
      <c r="CX247" s="16983"/>
      <c r="CY247" s="16983" t="str">
        <f>IF(T247="","",T247)</f>
        <v>Группа потребителей</v>
      </c>
      <c r="CZ247" s="16983"/>
      <c r="DA247" s="16983"/>
      <c r="DB247" s="16984">
        <v>0</v>
      </c>
    </row>
    <row s="53526" customFormat="1" customHeight="1" ht="23.25">
      <c r="A248" s="16967"/>
      <c r="B248" s="16967"/>
      <c r="C248" s="16967"/>
      <c r="D248" s="16967"/>
      <c r="E248" s="16968"/>
      <c r="F248" s="16968" t="s">
        <v>150</v>
      </c>
      <c r="G248" s="16968"/>
      <c r="H248" s="16968"/>
      <c r="I248" s="17001"/>
      <c r="J248" s="17001"/>
      <c r="K248" s="16989" t="str">
        <f>J247&amp;".1"</f>
        <v>1.12.1.1.1.1</v>
      </c>
      <c r="L248" s="16970"/>
      <c r="M248" s="16990"/>
      <c r="N248" s="16990"/>
      <c r="O248" s="16990"/>
      <c r="P248" s="16991"/>
      <c r="Q248" s="16991"/>
      <c r="R248" s="17002">
        <v>1</v>
      </c>
      <c r="S248" s="16975" t="str">
        <f>$K248</f>
        <v>1.12.1.1.1.1</v>
      </c>
      <c r="T248" s="17009"/>
      <c r="U248" s="16977"/>
      <c r="V248" s="17010"/>
      <c r="W248" s="17010"/>
      <c r="X248" s="17011"/>
      <c r="Y248" s="16696"/>
      <c r="Z248" s="17012" t="s">
        <v>63</v>
      </c>
      <c r="AA248" s="16696"/>
      <c r="AB248" s="17012" t="s">
        <v>63</v>
      </c>
      <c r="AC248" s="17010">
        <v>28.03</v>
      </c>
      <c r="AD248" s="17010"/>
      <c r="AE248" s="17011"/>
      <c r="AF248" s="53152">
        <v>45292.44975694444</v>
      </c>
      <c r="AG248" s="17012" t="s">
        <v>63</v>
      </c>
      <c r="AH248" s="53153">
        <v>45473.449895833335</v>
      </c>
      <c r="AI248" s="17012" t="s">
        <v>63</v>
      </c>
      <c r="AJ248" s="17010">
        <v>36.43</v>
      </c>
      <c r="AK248" s="17010"/>
      <c r="AL248" s="17011"/>
      <c r="AM248" s="53152">
        <v>45474.45008101852</v>
      </c>
      <c r="AN248" s="17012" t="s">
        <v>63</v>
      </c>
      <c r="AO248" s="53152">
        <v>45657.450208333335</v>
      </c>
      <c r="AP248" s="17012" t="s">
        <v>63</v>
      </c>
      <c r="AQ248" s="17010">
        <v>36.43</v>
      </c>
      <c r="AR248" s="17010"/>
      <c r="AS248" s="17011"/>
      <c r="AT248" s="53152">
        <v>45658.450370370374</v>
      </c>
      <c r="AU248" s="17012" t="s">
        <v>63</v>
      </c>
      <c r="AV248" s="53152">
        <v>45838.45045138889</v>
      </c>
      <c r="AW248" s="17012" t="s">
        <v>63</v>
      </c>
      <c r="AX248" s="17010">
        <v>43.76</v>
      </c>
      <c r="AY248" s="17010"/>
      <c r="AZ248" s="17011"/>
      <c r="BA248" s="53152">
        <v>45839.451840277776</v>
      </c>
      <c r="BB248" s="17012" t="s">
        <v>63</v>
      </c>
      <c r="BC248" s="53152">
        <v>46022.452048611114</v>
      </c>
      <c r="BD248" s="17012" t="s">
        <v>63</v>
      </c>
      <c r="BE248" s="17010">
        <v>43.76</v>
      </c>
      <c r="BF248" s="17010"/>
      <c r="BG248" s="17011"/>
      <c r="BH248" s="53152">
        <v>46023.45226851852</v>
      </c>
      <c r="BI248" s="17012" t="s">
        <v>63</v>
      </c>
      <c r="BJ248" s="53152">
        <v>46203.452418981484</v>
      </c>
      <c r="BK248" s="17012" t="s">
        <v>63</v>
      </c>
      <c r="BL248" s="17010">
        <v>43.98</v>
      </c>
      <c r="BM248" s="17010"/>
      <c r="BN248" s="17011"/>
      <c r="BO248" s="53152">
        <v>46204.452627314815</v>
      </c>
      <c r="BP248" s="17012" t="s">
        <v>63</v>
      </c>
      <c r="BQ248" s="53152">
        <v>46387.452835648146</v>
      </c>
      <c r="BR248" s="17012" t="s">
        <v>63</v>
      </c>
      <c r="BS248" s="17010">
        <v>43.98</v>
      </c>
      <c r="BT248" s="17010"/>
      <c r="BU248" s="17011"/>
      <c r="BV248" s="53152">
        <v>46388.45340277778</v>
      </c>
      <c r="BW248" s="17012" t="s">
        <v>63</v>
      </c>
      <c r="BX248" s="53152">
        <v>46568.453622685185</v>
      </c>
      <c r="BY248" s="17012" t="s">
        <v>63</v>
      </c>
      <c r="BZ248" s="17010">
        <v>44.2</v>
      </c>
      <c r="CA248" s="17010"/>
      <c r="CB248" s="17011"/>
      <c r="CC248" s="53152">
        <v>46569.45395833333</v>
      </c>
      <c r="CD248" s="17012" t="s">
        <v>63</v>
      </c>
      <c r="CE248" s="53152">
        <v>46752.45443287037</v>
      </c>
      <c r="CF248" s="17012" t="s">
        <v>63</v>
      </c>
      <c r="CG248" s="17010">
        <v>44.2</v>
      </c>
      <c r="CH248" s="17010"/>
      <c r="CI248" s="17011"/>
      <c r="CJ248" s="53152">
        <v>46753.454664351855</v>
      </c>
      <c r="CK248" s="17012" t="s">
        <v>63</v>
      </c>
      <c r="CL248" s="53152">
        <v>46934.45484953704</v>
      </c>
      <c r="CM248" s="17012" t="s">
        <v>63</v>
      </c>
      <c r="CN248" s="23700">
        <v>53.45</v>
      </c>
      <c r="CO248" s="23700"/>
      <c r="CP248" s="23701"/>
      <c r="CQ248" s="53152">
        <v>46935.45511574074</v>
      </c>
      <c r="CR248" s="23703" t="s">
        <v>63</v>
      </c>
      <c r="CS248" s="53152">
        <v>47118.455347222225</v>
      </c>
      <c r="CT248" s="23703" t="s">
        <v>63</v>
      </c>
      <c r="CU248" s="17013"/>
      <c r="CV248" s="170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248" s="16982">
        <f>STRCHECKDATE(V249:CU249)</f>
      </c>
      <c r="CX248" s="16983"/>
      <c r="CY248" s="16983" t="str">
        <f>IF(T248="","",T248)</f>
        <v/>
      </c>
      <c r="CZ248" s="16983"/>
      <c r="DA248" s="16983"/>
      <c r="DB248" s="16984">
        <v>0</v>
      </c>
    </row>
    <row s="53527" customFormat="1" customHeight="1" ht="14.25">
      <c r="A249" s="16967"/>
      <c r="B249" s="16967"/>
      <c r="C249" s="16967"/>
      <c r="D249" s="16967"/>
      <c r="E249" s="16968"/>
      <c r="F249" s="16968" t="s">
        <v>150</v>
      </c>
      <c r="G249" s="16968"/>
      <c r="H249" s="16968"/>
      <c r="I249" s="17001"/>
      <c r="J249" s="17001"/>
      <c r="K249" s="16989"/>
      <c r="L249" s="16970"/>
      <c r="M249" s="16990"/>
      <c r="N249" s="16990"/>
      <c r="O249" s="16990"/>
      <c r="P249" s="16991"/>
      <c r="Q249" s="16991"/>
      <c r="R249" s="17002"/>
      <c r="S249" s="17016"/>
      <c r="T249" s="16977"/>
      <c r="U249" s="16977"/>
      <c r="V249" s="17017"/>
      <c r="W249" s="17017"/>
      <c r="X249" s="17018" t="str">
        <f>Y248&amp;"-"&amp;AA248</f>
        <v>-</v>
      </c>
      <c r="Y249" s="17019"/>
      <c r="Z249" s="17012"/>
      <c r="AA249" s="17019"/>
      <c r="AB249" s="17012"/>
      <c r="AC249" s="17017"/>
      <c r="AD249" s="17017"/>
      <c r="AE249" s="17018" t="str">
        <f>AF248&amp;"-"&amp;AH248</f>
        <v>45292.44975694444-45473.449895833335</v>
      </c>
      <c r="AF249" s="17019"/>
      <c r="AG249" s="17012"/>
      <c r="AH249" s="17020"/>
      <c r="AI249" s="17012"/>
      <c r="AJ249" s="17017"/>
      <c r="AK249" s="17017"/>
      <c r="AL249" s="17018" t="str">
        <f>AM248&amp;"-"&amp;AO248</f>
        <v>45474.45008101852-45657.450208333335</v>
      </c>
      <c r="AM249" s="17019"/>
      <c r="AN249" s="17012"/>
      <c r="AO249" s="17019"/>
      <c r="AP249" s="17012"/>
      <c r="AQ249" s="17017"/>
      <c r="AR249" s="17017"/>
      <c r="AS249" s="17018" t="str">
        <f>AT248&amp;"-"&amp;AV248</f>
        <v>45658.450370370374-45838.45045138889</v>
      </c>
      <c r="AT249" s="17019"/>
      <c r="AU249" s="17012"/>
      <c r="AV249" s="17019"/>
      <c r="AW249" s="17012"/>
      <c r="AX249" s="17017"/>
      <c r="AY249" s="17017"/>
      <c r="AZ249" s="17018" t="str">
        <f>BA248&amp;"-"&amp;BC248</f>
        <v>45839.451840277776-46022.452048611114</v>
      </c>
      <c r="BA249" s="17019"/>
      <c r="BB249" s="17012"/>
      <c r="BC249" s="17019"/>
      <c r="BD249" s="17012"/>
      <c r="BE249" s="17017"/>
      <c r="BF249" s="17017"/>
      <c r="BG249" s="17018" t="str">
        <f>BH248&amp;"-"&amp;BJ248</f>
        <v>46023.45226851852-46203.452418981484</v>
      </c>
      <c r="BH249" s="17019"/>
      <c r="BI249" s="17012"/>
      <c r="BJ249" s="17019"/>
      <c r="BK249" s="17012"/>
      <c r="BL249" s="17017"/>
      <c r="BM249" s="17017"/>
      <c r="BN249" s="17018" t="str">
        <f>BO248&amp;"-"&amp;BQ248</f>
        <v>46204.452627314815-46387.452835648146</v>
      </c>
      <c r="BO249" s="17019"/>
      <c r="BP249" s="17012"/>
      <c r="BQ249" s="17019"/>
      <c r="BR249" s="17012"/>
      <c r="BS249" s="17017"/>
      <c r="BT249" s="17017"/>
      <c r="BU249" s="17018" t="str">
        <f>BV248&amp;"-"&amp;BX248</f>
        <v>46388.45340277778-46568.453622685185</v>
      </c>
      <c r="BV249" s="17019"/>
      <c r="BW249" s="17012"/>
      <c r="BX249" s="17019"/>
      <c r="BY249" s="17012"/>
      <c r="BZ249" s="17017"/>
      <c r="CA249" s="17017"/>
      <c r="CB249" s="17018" t="str">
        <f>CC248&amp;"-"&amp;CE248</f>
        <v>46569.45395833333-46752.45443287037</v>
      </c>
      <c r="CC249" s="17019"/>
      <c r="CD249" s="17012"/>
      <c r="CE249" s="17019"/>
      <c r="CF249" s="17012"/>
      <c r="CG249" s="17017"/>
      <c r="CH249" s="17017"/>
      <c r="CI249" s="17018" t="str">
        <f>CJ248&amp;"-"&amp;CL248</f>
        <v>46753.454664351855-46934.45484953704</v>
      </c>
      <c r="CJ249" s="17019"/>
      <c r="CK249" s="17012"/>
      <c r="CL249" s="17019"/>
      <c r="CM249" s="17012"/>
      <c r="CN249" s="23708"/>
      <c r="CO249" s="23708"/>
      <c r="CP249" s="23709" t="str">
        <f>CQ248&amp;"-"&amp;CS248</f>
        <v>46935.45511574074-47118.455347222225</v>
      </c>
      <c r="CQ249" s="23710"/>
      <c r="CR249" s="23703"/>
      <c r="CS249" s="23710"/>
      <c r="CT249" s="23703"/>
      <c r="CU249" s="17021"/>
      <c r="CV249" s="17014"/>
      <c r="CW249" s="16982"/>
      <c r="CX249" s="16983"/>
      <c r="CY249" s="16983" t="str">
        <f>IF(T249="","",T249)</f>
        <v/>
      </c>
      <c r="CZ249" s="16983"/>
      <c r="DA249" s="16983"/>
      <c r="DB249" s="16984">
        <v>0</v>
      </c>
    </row>
    <row s="53528" customFormat="1" customHeight="1" ht="21">
      <c r="A250" s="16967"/>
      <c r="B250" s="16967"/>
      <c r="C250" s="16967"/>
      <c r="D250" s="16967"/>
      <c r="E250" s="16968"/>
      <c r="F250" s="16968" t="s">
        <v>150</v>
      </c>
      <c r="G250" s="16968"/>
      <c r="H250" s="16968"/>
      <c r="I250" s="17001"/>
      <c r="J250" s="16989"/>
      <c r="K250" s="16967"/>
      <c r="L250" s="16970"/>
      <c r="M250" s="16990"/>
      <c r="N250" s="16990"/>
      <c r="O250" s="16990"/>
      <c r="P250" s="16991"/>
      <c r="Q250" s="16991"/>
      <c r="R250" s="16992"/>
      <c r="S250" s="20303"/>
      <c r="T250" s="20304" t="s">
        <v>601</v>
      </c>
      <c r="U250" s="20305"/>
      <c r="V250" s="20306"/>
      <c r="W250" s="20307"/>
      <c r="X250" s="20308"/>
      <c r="Y250" s="20309"/>
      <c r="Z250" s="20310"/>
      <c r="AA250" s="20311"/>
      <c r="AB250" s="20312"/>
      <c r="AC250" s="20313"/>
      <c r="AD250" s="20314"/>
      <c r="AE250" s="20315"/>
      <c r="AF250" s="20316"/>
      <c r="AG250" s="20317"/>
      <c r="AH250" s="20318"/>
      <c r="AI250" s="20319"/>
      <c r="AJ250" s="20320"/>
      <c r="AK250" s="20321"/>
      <c r="AL250" s="20322"/>
      <c r="AM250" s="20323"/>
      <c r="AN250" s="20324"/>
      <c r="AO250" s="20325"/>
      <c r="AP250" s="20326"/>
      <c r="AQ250" s="20327"/>
      <c r="AR250" s="20328"/>
      <c r="AS250" s="20329"/>
      <c r="AT250" s="20330"/>
      <c r="AU250" s="20331"/>
      <c r="AV250" s="20332"/>
      <c r="AW250" s="20333"/>
      <c r="AX250" s="20334"/>
      <c r="AY250" s="20335"/>
      <c r="AZ250" s="20336"/>
      <c r="BA250" s="20337"/>
      <c r="BB250" s="20338"/>
      <c r="BC250" s="20339"/>
      <c r="BD250" s="20340"/>
      <c r="BE250" s="20341"/>
      <c r="BF250" s="20342"/>
      <c r="BG250" s="20343"/>
      <c r="BH250" s="20344"/>
      <c r="BI250" s="20345"/>
      <c r="BJ250" s="20346"/>
      <c r="BK250" s="20347"/>
      <c r="BL250" s="20348"/>
      <c r="BM250" s="20349"/>
      <c r="BN250" s="20350"/>
      <c r="BO250" s="20351"/>
      <c r="BP250" s="20352"/>
      <c r="BQ250" s="20353"/>
      <c r="BR250" s="20354"/>
      <c r="BS250" s="20355"/>
      <c r="BT250" s="20356"/>
      <c r="BU250" s="20357"/>
      <c r="BV250" s="20358"/>
      <c r="BW250" s="20359"/>
      <c r="BX250" s="20360"/>
      <c r="BY250" s="20361"/>
      <c r="BZ250" s="20362"/>
      <c r="CA250" s="20363"/>
      <c r="CB250" s="20364"/>
      <c r="CC250" s="20365"/>
      <c r="CD250" s="20366"/>
      <c r="CE250" s="20367"/>
      <c r="CF250" s="20368"/>
      <c r="CG250" s="20369"/>
      <c r="CH250" s="20370"/>
      <c r="CI250" s="20371"/>
      <c r="CJ250" s="20372"/>
      <c r="CK250" s="20373"/>
      <c r="CL250" s="20374"/>
      <c r="CM250" s="20375"/>
      <c r="CN250" s="27963"/>
      <c r="CO250" s="27964"/>
      <c r="CP250" s="27965"/>
      <c r="CQ250" s="27966"/>
      <c r="CR250" s="27967"/>
      <c r="CS250" s="27968"/>
      <c r="CT250" s="27969"/>
      <c r="CU250" s="20376"/>
      <c r="CV250" s="16981" t="s">
        <v>602</v>
      </c>
      <c r="CW250" s="16982"/>
      <c r="CX250" s="16983"/>
      <c r="CY250" s="16983" t="str">
        <f>IF(T250="","",T250)</f>
        <v>Добавить значение признака дифференциации</v>
      </c>
      <c r="CZ250" s="16983"/>
      <c r="DA250" s="16983"/>
      <c r="DB250" s="16984">
        <v>0</v>
      </c>
    </row>
    <row s="53610" customFormat="1" customHeight="1" ht="23.25">
      <c r="A251" s="53238"/>
      <c r="B251" s="53238"/>
      <c r="C251" s="53238"/>
      <c r="D251" s="53238"/>
      <c r="E251" s="53239"/>
      <c r="F251" s="53239"/>
      <c r="G251" s="53239"/>
      <c r="H251" s="53239"/>
      <c r="I251" s="53240"/>
      <c r="J251" s="53241" t="str">
        <f>I246&amp;".2"</f>
        <v>1.12.1.1.2</v>
      </c>
      <c r="K251" s="53238"/>
      <c r="L251" s="53242" t="s">
        <v>524</v>
      </c>
      <c r="M251" s="53243"/>
      <c r="N251" s="53243"/>
      <c r="O251" s="53243"/>
      <c r="P251" s="53244"/>
      <c r="Q251" s="53245" t="s">
        <v>106</v>
      </c>
      <c r="R251" s="53246"/>
      <c r="S251" s="53247" t="str">
        <f>$J251</f>
        <v>1.12.1.1.2</v>
      </c>
      <c r="T251" s="53248" t="s">
        <v>525</v>
      </c>
      <c r="U251" s="53249"/>
      <c r="V251" s="53250"/>
      <c r="W251" s="53251"/>
      <c r="X251" s="53251"/>
      <c r="Y251" s="53251"/>
      <c r="Z251" s="53251"/>
      <c r="AA251" s="53251"/>
      <c r="AB251" s="53252"/>
      <c r="AC251" s="53250" t="s">
        <v>637</v>
      </c>
      <c r="AD251" s="53251"/>
      <c r="AE251" s="53251"/>
      <c r="AF251" s="53251"/>
      <c r="AG251" s="53251"/>
      <c r="AH251" s="53251"/>
      <c r="AI251" s="53251"/>
      <c r="AJ251" s="53250"/>
      <c r="AK251" s="53251"/>
      <c r="AL251" s="53251"/>
      <c r="AM251" s="53251"/>
      <c r="AN251" s="53251"/>
      <c r="AO251" s="53251"/>
      <c r="AP251" s="53252"/>
      <c r="AQ251" s="53250"/>
      <c r="AR251" s="53251"/>
      <c r="AS251" s="53251"/>
      <c r="AT251" s="53251"/>
      <c r="AU251" s="53251"/>
      <c r="AV251" s="53251"/>
      <c r="AW251" s="53252"/>
      <c r="AX251" s="53250"/>
      <c r="AY251" s="53251"/>
      <c r="AZ251" s="53251"/>
      <c r="BA251" s="53251"/>
      <c r="BB251" s="53251"/>
      <c r="BC251" s="53251"/>
      <c r="BD251" s="53252"/>
      <c r="BE251" s="53250"/>
      <c r="BF251" s="53251"/>
      <c r="BG251" s="53251"/>
      <c r="BH251" s="53251"/>
      <c r="BI251" s="53251"/>
      <c r="BJ251" s="53251"/>
      <c r="BK251" s="53252"/>
      <c r="BL251" s="53250"/>
      <c r="BM251" s="53251"/>
      <c r="BN251" s="53251"/>
      <c r="BO251" s="53251"/>
      <c r="BP251" s="53251"/>
      <c r="BQ251" s="53251"/>
      <c r="BR251" s="53252"/>
      <c r="BS251" s="53250"/>
      <c r="BT251" s="53251"/>
      <c r="BU251" s="53251"/>
      <c r="BV251" s="53251"/>
      <c r="BW251" s="53251"/>
      <c r="BX251" s="53251"/>
      <c r="BY251" s="53252"/>
      <c r="BZ251" s="53250"/>
      <c r="CA251" s="53251"/>
      <c r="CB251" s="53251"/>
      <c r="CC251" s="53251"/>
      <c r="CD251" s="53251"/>
      <c r="CE251" s="53251"/>
      <c r="CF251" s="53252"/>
      <c r="CG251" s="53250"/>
      <c r="CH251" s="53251"/>
      <c r="CI251" s="53251"/>
      <c r="CJ251" s="53251"/>
      <c r="CK251" s="53251"/>
      <c r="CL251" s="53251"/>
      <c r="CM251" s="53252"/>
      <c r="CN251" s="53250"/>
      <c r="CO251" s="53251"/>
      <c r="CP251" s="53251"/>
      <c r="CQ251" s="53251"/>
      <c r="CR251" s="53251"/>
      <c r="CS251" s="53251"/>
      <c r="CT251" s="53252"/>
      <c r="CU251" s="53252"/>
      <c r="CV251" s="53253" t="s">
        <v>600</v>
      </c>
      <c r="CW251" s="53254"/>
      <c r="CX251" s="53255"/>
      <c r="CY251" s="53255" t="str">
        <f>IF(T251="","",T251)</f>
        <v>Группа потребителей</v>
      </c>
      <c r="CZ251" s="53255"/>
      <c r="DA251" s="53255"/>
      <c r="DB251" s="53256">
        <v>0</v>
      </c>
    </row>
    <row s="53611" customFormat="1" customHeight="1" ht="23.25">
      <c r="A252" s="53238"/>
      <c r="B252" s="53238"/>
      <c r="C252" s="53238"/>
      <c r="D252" s="53238"/>
      <c r="E252" s="53239"/>
      <c r="F252" s="53239"/>
      <c r="G252" s="53239"/>
      <c r="H252" s="53239"/>
      <c r="I252" s="53240"/>
      <c r="J252" s="53240" t="str">
        <f>I246&amp;".1"</f>
        <v>1.12.1.1.1</v>
      </c>
      <c r="K252" s="53241" t="str">
        <f>J251&amp;".1"</f>
        <v>1.12.1.1.2.1</v>
      </c>
      <c r="L252" s="53242"/>
      <c r="M252" s="53243"/>
      <c r="N252" s="53243"/>
      <c r="O252" s="53243"/>
      <c r="P252" s="53244"/>
      <c r="Q252" s="53244"/>
      <c r="R252" s="53246">
        <v>1</v>
      </c>
      <c r="S252" s="53247" t="str">
        <f>$K252</f>
        <v>1.12.1.1.2.1</v>
      </c>
      <c r="T252" s="53258"/>
      <c r="U252" s="53249"/>
      <c r="V252" s="53259"/>
      <c r="W252" s="53259"/>
      <c r="X252" s="53260"/>
      <c r="Y252" s="53152"/>
      <c r="Z252" s="53261" t="s">
        <v>63</v>
      </c>
      <c r="AA252" s="53152"/>
      <c r="AB252" s="53261" t="s">
        <v>63</v>
      </c>
      <c r="AC252" s="53259">
        <v>23.36</v>
      </c>
      <c r="AD252" s="53259"/>
      <c r="AE252" s="53260"/>
      <c r="AF252" s="53152">
        <v>45292.44982638889</v>
      </c>
      <c r="AG252" s="53261" t="s">
        <v>63</v>
      </c>
      <c r="AH252" s="53153">
        <v>45473.449953703705</v>
      </c>
      <c r="AI252" s="53261" t="s">
        <v>63</v>
      </c>
      <c r="AJ252" s="53259">
        <v>30.36</v>
      </c>
      <c r="AK252" s="53259"/>
      <c r="AL252" s="53260"/>
      <c r="AM252" s="53152">
        <v>45474.450150462966</v>
      </c>
      <c r="AN252" s="53261" t="s">
        <v>63</v>
      </c>
      <c r="AO252" s="53152">
        <v>45657.45025462963</v>
      </c>
      <c r="AP252" s="53261" t="s">
        <v>63</v>
      </c>
      <c r="AQ252" s="53259">
        <v>30.36</v>
      </c>
      <c r="AR252" s="53259"/>
      <c r="AS252" s="53260"/>
      <c r="AT252" s="53152">
        <v>45658.45041666667</v>
      </c>
      <c r="AU252" s="53261" t="s">
        <v>63</v>
      </c>
      <c r="AV252" s="53152">
        <v>45838.450520833336</v>
      </c>
      <c r="AW252" s="53261" t="s">
        <v>63</v>
      </c>
      <c r="AX252" s="53259">
        <v>36.47</v>
      </c>
      <c r="AY252" s="53259"/>
      <c r="AZ252" s="53260"/>
      <c r="BA252" s="53152">
        <v>45839.45195601852</v>
      </c>
      <c r="BB252" s="53261" t="s">
        <v>63</v>
      </c>
      <c r="BC252" s="53152">
        <v>46022.45211805555</v>
      </c>
      <c r="BD252" s="53261" t="s">
        <v>63</v>
      </c>
      <c r="BE252" s="53259">
        <v>36.47</v>
      </c>
      <c r="BF252" s="53259"/>
      <c r="BG252" s="53260"/>
      <c r="BH252" s="53152">
        <v>46023.452361111114</v>
      </c>
      <c r="BI252" s="53261" t="s">
        <v>63</v>
      </c>
      <c r="BJ252" s="53152">
        <v>46203.45253472222</v>
      </c>
      <c r="BK252" s="53261" t="s">
        <v>63</v>
      </c>
      <c r="BL252" s="53259">
        <v>36.65</v>
      </c>
      <c r="BM252" s="53259"/>
      <c r="BN252" s="53260"/>
      <c r="BO252" s="53152">
        <v>46204.452731481484</v>
      </c>
      <c r="BP252" s="53261" t="s">
        <v>63</v>
      </c>
      <c r="BQ252" s="53152">
        <v>46387.45290509259</v>
      </c>
      <c r="BR252" s="53261" t="s">
        <v>63</v>
      </c>
      <c r="BS252" s="53259">
        <v>36.65</v>
      </c>
      <c r="BT252" s="53259"/>
      <c r="BU252" s="53260"/>
      <c r="BV252" s="53152">
        <v>46388.45354166667</v>
      </c>
      <c r="BW252" s="53261" t="s">
        <v>63</v>
      </c>
      <c r="BX252" s="53152">
        <v>46568.453784722224</v>
      </c>
      <c r="BY252" s="53261" t="s">
        <v>63</v>
      </c>
      <c r="BZ252" s="53259">
        <v>36.83</v>
      </c>
      <c r="CA252" s="53259"/>
      <c r="CB252" s="53260"/>
      <c r="CC252" s="53152">
        <v>46569.4540625</v>
      </c>
      <c r="CD252" s="53261" t="s">
        <v>63</v>
      </c>
      <c r="CE252" s="53152">
        <v>46752.454513888886</v>
      </c>
      <c r="CF252" s="53261" t="s">
        <v>63</v>
      </c>
      <c r="CG252" s="53259">
        <v>36.83</v>
      </c>
      <c r="CH252" s="53259"/>
      <c r="CI252" s="53260"/>
      <c r="CJ252" s="53152">
        <v>46753.45476851852</v>
      </c>
      <c r="CK252" s="53261" t="s">
        <v>63</v>
      </c>
      <c r="CL252" s="53152">
        <v>46934.45494212963</v>
      </c>
      <c r="CM252" s="53261" t="s">
        <v>63</v>
      </c>
      <c r="CN252" s="53259">
        <v>44.54</v>
      </c>
      <c r="CO252" s="53259"/>
      <c r="CP252" s="53260"/>
      <c r="CQ252" s="53152">
        <v>46935.455243055556</v>
      </c>
      <c r="CR252" s="53261" t="s">
        <v>63</v>
      </c>
      <c r="CS252" s="53152">
        <v>47118.455416666664</v>
      </c>
      <c r="CT252" s="53261" t="s">
        <v>63</v>
      </c>
      <c r="CU252" s="53262"/>
      <c r="CV252" s="5326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252" s="53254">
        <f>STRCHECKDATE(V253:CU253)</f>
      </c>
      <c r="CX252" s="53255"/>
      <c r="CY252" s="53255" t="str">
        <f>IF(T252="","",T252)</f>
        <v/>
      </c>
      <c r="CZ252" s="53255"/>
      <c r="DA252" s="53255"/>
      <c r="DB252" s="53256">
        <v>0</v>
      </c>
    </row>
    <row s="53612" customFormat="1" customHeight="1" ht="14.25">
      <c r="A253" s="53238"/>
      <c r="B253" s="53238"/>
      <c r="C253" s="53238"/>
      <c r="D253" s="53238"/>
      <c r="E253" s="53239"/>
      <c r="F253" s="53239"/>
      <c r="G253" s="53239"/>
      <c r="H253" s="53239"/>
      <c r="I253" s="53240"/>
      <c r="J253" s="53240" t="str">
        <f>I246&amp;".1"</f>
        <v>1.12.1.1.1</v>
      </c>
      <c r="K253" s="53241"/>
      <c r="L253" s="53242"/>
      <c r="M253" s="53243"/>
      <c r="N253" s="53243"/>
      <c r="O253" s="53243"/>
      <c r="P253" s="53244"/>
      <c r="Q253" s="53244"/>
      <c r="R253" s="53246"/>
      <c r="S253" s="53265"/>
      <c r="T253" s="53249"/>
      <c r="U253" s="53249"/>
      <c r="V253" s="53266"/>
      <c r="W253" s="53266"/>
      <c r="X253" s="53267" t="str">
        <f>Y252&amp;"-"&amp;AA252</f>
        <v>-</v>
      </c>
      <c r="Y253" s="53268"/>
      <c r="Z253" s="53261"/>
      <c r="AA253" s="53268"/>
      <c r="AB253" s="53261"/>
      <c r="AC253" s="53266"/>
      <c r="AD253" s="53266"/>
      <c r="AE253" s="53267" t="str">
        <f>AF252&amp;"-"&amp;AH252</f>
        <v>45292.44982638889-45473.449953703705</v>
      </c>
      <c r="AF253" s="53268"/>
      <c r="AG253" s="53261"/>
      <c r="AH253" s="53269"/>
      <c r="AI253" s="53261"/>
      <c r="AJ253" s="53266"/>
      <c r="AK253" s="53266"/>
      <c r="AL253" s="53267" t="str">
        <f>AM252&amp;"-"&amp;AO252</f>
        <v>45474.450150462966-45657.45025462963</v>
      </c>
      <c r="AM253" s="53268"/>
      <c r="AN253" s="53261"/>
      <c r="AO253" s="53268"/>
      <c r="AP253" s="53261"/>
      <c r="AQ253" s="53266"/>
      <c r="AR253" s="53266"/>
      <c r="AS253" s="53267" t="str">
        <f>AT252&amp;"-"&amp;AV252</f>
        <v>45658.45041666667-45838.450520833336</v>
      </c>
      <c r="AT253" s="53268"/>
      <c r="AU253" s="53261"/>
      <c r="AV253" s="53268"/>
      <c r="AW253" s="53261"/>
      <c r="AX253" s="53266"/>
      <c r="AY253" s="53266"/>
      <c r="AZ253" s="53267" t="str">
        <f>BA252&amp;"-"&amp;BC252</f>
        <v>45839.45195601852-46022.45211805555</v>
      </c>
      <c r="BA253" s="53268"/>
      <c r="BB253" s="53261"/>
      <c r="BC253" s="53268"/>
      <c r="BD253" s="53261"/>
      <c r="BE253" s="53266"/>
      <c r="BF253" s="53266"/>
      <c r="BG253" s="53267" t="str">
        <f>BH252&amp;"-"&amp;BJ252</f>
        <v>46023.452361111114-46203.45253472222</v>
      </c>
      <c r="BH253" s="53268"/>
      <c r="BI253" s="53261"/>
      <c r="BJ253" s="53268"/>
      <c r="BK253" s="53261"/>
      <c r="BL253" s="53266"/>
      <c r="BM253" s="53266"/>
      <c r="BN253" s="53267" t="str">
        <f>BO252&amp;"-"&amp;BQ252</f>
        <v>46204.452731481484-46387.45290509259</v>
      </c>
      <c r="BO253" s="53268"/>
      <c r="BP253" s="53261"/>
      <c r="BQ253" s="53268"/>
      <c r="BR253" s="53261"/>
      <c r="BS253" s="53266"/>
      <c r="BT253" s="53266"/>
      <c r="BU253" s="53267" t="str">
        <f>BV252&amp;"-"&amp;BX252</f>
        <v>46388.45354166667-46568.453784722224</v>
      </c>
      <c r="BV253" s="53268"/>
      <c r="BW253" s="53261"/>
      <c r="BX253" s="53268"/>
      <c r="BY253" s="53261"/>
      <c r="BZ253" s="53266"/>
      <c r="CA253" s="53266"/>
      <c r="CB253" s="53267" t="str">
        <f>CC252&amp;"-"&amp;CE252</f>
        <v>46569.4540625-46752.454513888886</v>
      </c>
      <c r="CC253" s="53268"/>
      <c r="CD253" s="53261"/>
      <c r="CE253" s="53268"/>
      <c r="CF253" s="53261"/>
      <c r="CG253" s="53266"/>
      <c r="CH253" s="53266"/>
      <c r="CI253" s="53267" t="str">
        <f>CJ252&amp;"-"&amp;CL252</f>
        <v>46753.45476851852-46934.45494212963</v>
      </c>
      <c r="CJ253" s="53268"/>
      <c r="CK253" s="53261"/>
      <c r="CL253" s="53268"/>
      <c r="CM253" s="53261"/>
      <c r="CN253" s="53266"/>
      <c r="CO253" s="53266"/>
      <c r="CP253" s="53267" t="str">
        <f>CQ252&amp;"-"&amp;CS252</f>
        <v>46935.455243055556-47118.455416666664</v>
      </c>
      <c r="CQ253" s="53268"/>
      <c r="CR253" s="53261"/>
      <c r="CS253" s="53268"/>
      <c r="CT253" s="53261"/>
      <c r="CU253" s="53270"/>
      <c r="CV253" s="53263"/>
      <c r="CW253" s="53254"/>
      <c r="CX253" s="53255"/>
      <c r="CY253" s="53255" t="str">
        <f>IF(T253="","",T253)</f>
        <v/>
      </c>
      <c r="CZ253" s="53255"/>
      <c r="DA253" s="53255"/>
      <c r="DB253" s="53256">
        <v>0</v>
      </c>
    </row>
    <row s="53613" customFormat="1" customHeight="1" ht="21">
      <c r="A254" s="53238"/>
      <c r="B254" s="53238"/>
      <c r="C254" s="53238"/>
      <c r="D254" s="53238"/>
      <c r="E254" s="53239"/>
      <c r="F254" s="53239"/>
      <c r="G254" s="53239"/>
      <c r="H254" s="53239"/>
      <c r="I254" s="53240"/>
      <c r="J254" s="53241" t="str">
        <f>I246&amp;".1"</f>
        <v>1.12.1.1.1</v>
      </c>
      <c r="K254" s="53238"/>
      <c r="L254" s="53242"/>
      <c r="M254" s="53243"/>
      <c r="N254" s="53243"/>
      <c r="O254" s="53243"/>
      <c r="P254" s="53244"/>
      <c r="Q254" s="53244"/>
      <c r="R254" s="53272"/>
      <c r="S254" s="53614"/>
      <c r="T254" s="53615" t="s">
        <v>601</v>
      </c>
      <c r="U254" s="53616"/>
      <c r="V254" s="53617"/>
      <c r="W254" s="53618"/>
      <c r="X254" s="53619"/>
      <c r="Y254" s="53620"/>
      <c r="Z254" s="53621"/>
      <c r="AA254" s="53622"/>
      <c r="AB254" s="53623"/>
      <c r="AC254" s="53624"/>
      <c r="AD254" s="53625"/>
      <c r="AE254" s="53626"/>
      <c r="AF254" s="53627"/>
      <c r="AG254" s="53628"/>
      <c r="AH254" s="53629"/>
      <c r="AI254" s="53630"/>
      <c r="AJ254" s="53631"/>
      <c r="AK254" s="53632"/>
      <c r="AL254" s="53633"/>
      <c r="AM254" s="53634"/>
      <c r="AN254" s="53635"/>
      <c r="AO254" s="53636"/>
      <c r="AP254" s="53637"/>
      <c r="AQ254" s="53638"/>
      <c r="AR254" s="53639"/>
      <c r="AS254" s="53640"/>
      <c r="AT254" s="53641"/>
      <c r="AU254" s="53642"/>
      <c r="AV254" s="53643"/>
      <c r="AW254" s="53644"/>
      <c r="AX254" s="53645"/>
      <c r="AY254" s="53646"/>
      <c r="AZ254" s="53647"/>
      <c r="BA254" s="53648"/>
      <c r="BB254" s="53649"/>
      <c r="BC254" s="53650"/>
      <c r="BD254" s="53651"/>
      <c r="BE254" s="53652"/>
      <c r="BF254" s="53653"/>
      <c r="BG254" s="53654"/>
      <c r="BH254" s="53655"/>
      <c r="BI254" s="53656"/>
      <c r="BJ254" s="53657"/>
      <c r="BK254" s="53658"/>
      <c r="BL254" s="53659"/>
      <c r="BM254" s="53660"/>
      <c r="BN254" s="53661"/>
      <c r="BO254" s="53662"/>
      <c r="BP254" s="53663"/>
      <c r="BQ254" s="53664"/>
      <c r="BR254" s="53665"/>
      <c r="BS254" s="53666"/>
      <c r="BT254" s="53667"/>
      <c r="BU254" s="53668"/>
      <c r="BV254" s="53669"/>
      <c r="BW254" s="53670"/>
      <c r="BX254" s="53671"/>
      <c r="BY254" s="53672"/>
      <c r="BZ254" s="53673"/>
      <c r="CA254" s="53674"/>
      <c r="CB254" s="53675"/>
      <c r="CC254" s="53676"/>
      <c r="CD254" s="53677"/>
      <c r="CE254" s="53678"/>
      <c r="CF254" s="53679"/>
      <c r="CG254" s="53680"/>
      <c r="CH254" s="53681"/>
      <c r="CI254" s="53682"/>
      <c r="CJ254" s="53683"/>
      <c r="CK254" s="53684"/>
      <c r="CL254" s="53685"/>
      <c r="CM254" s="53686"/>
      <c r="CN254" s="53687"/>
      <c r="CO254" s="53688"/>
      <c r="CP254" s="53689"/>
      <c r="CQ254" s="53690"/>
      <c r="CR254" s="53691"/>
      <c r="CS254" s="53692"/>
      <c r="CT254" s="53693"/>
      <c r="CU254" s="53694"/>
      <c r="CV254" s="53354" t="s">
        <v>602</v>
      </c>
      <c r="CW254" s="53254"/>
      <c r="CX254" s="53255"/>
      <c r="CY254" s="53255" t="str">
        <f>IF(T254="","",T254)</f>
        <v>Добавить значение признака дифференциации</v>
      </c>
      <c r="CZ254" s="53255"/>
      <c r="DA254" s="53255"/>
      <c r="DB254" s="53256">
        <v>0</v>
      </c>
    </row>
    <row s="53695" customFormat="1" customHeight="1" ht="21">
      <c r="A255" s="16967"/>
      <c r="B255" s="16967"/>
      <c r="C255" s="16967"/>
      <c r="D255" s="16967"/>
      <c r="E255" s="16968"/>
      <c r="F255" s="16968" t="s">
        <v>150</v>
      </c>
      <c r="G255" s="16968"/>
      <c r="H255" s="16968"/>
      <c r="I255" s="16989"/>
      <c r="J255" s="16967"/>
      <c r="K255" s="16967"/>
      <c r="L255" s="16970"/>
      <c r="M255" s="16990"/>
      <c r="N255" s="16990"/>
      <c r="O255" s="16990"/>
      <c r="P255" s="16991"/>
      <c r="Q255" s="16991"/>
      <c r="R255" s="16992"/>
      <c r="S255" s="20378"/>
      <c r="T255" s="20379" t="s">
        <v>530</v>
      </c>
      <c r="U255" s="20380"/>
      <c r="V255" s="20381"/>
      <c r="W255" s="20382"/>
      <c r="X255" s="20383"/>
      <c r="Y255" s="20384"/>
      <c r="Z255" s="20385"/>
      <c r="AA255" s="20386"/>
      <c r="AB255" s="20387"/>
      <c r="AC255" s="20388"/>
      <c r="AD255" s="20389"/>
      <c r="AE255" s="20390"/>
      <c r="AF255" s="20391"/>
      <c r="AG255" s="20392"/>
      <c r="AH255" s="20393"/>
      <c r="AI255" s="20394"/>
      <c r="AJ255" s="20395"/>
      <c r="AK255" s="20396"/>
      <c r="AL255" s="20397"/>
      <c r="AM255" s="20398"/>
      <c r="AN255" s="20399"/>
      <c r="AO255" s="20400"/>
      <c r="AP255" s="20401"/>
      <c r="AQ255" s="20402"/>
      <c r="AR255" s="20403"/>
      <c r="AS255" s="20404"/>
      <c r="AT255" s="20405"/>
      <c r="AU255" s="20406"/>
      <c r="AV255" s="20407"/>
      <c r="AW255" s="20408"/>
      <c r="AX255" s="20409"/>
      <c r="AY255" s="20410"/>
      <c r="AZ255" s="20411"/>
      <c r="BA255" s="20412"/>
      <c r="BB255" s="20413"/>
      <c r="BC255" s="20414"/>
      <c r="BD255" s="20415"/>
      <c r="BE255" s="20416"/>
      <c r="BF255" s="20417"/>
      <c r="BG255" s="20418"/>
      <c r="BH255" s="20419"/>
      <c r="BI255" s="20420"/>
      <c r="BJ255" s="20421"/>
      <c r="BK255" s="20422"/>
      <c r="BL255" s="20423"/>
      <c r="BM255" s="20424"/>
      <c r="BN255" s="20425"/>
      <c r="BO255" s="20426"/>
      <c r="BP255" s="20427"/>
      <c r="BQ255" s="20428"/>
      <c r="BR255" s="20429"/>
      <c r="BS255" s="20430"/>
      <c r="BT255" s="20431"/>
      <c r="BU255" s="20432"/>
      <c r="BV255" s="20433"/>
      <c r="BW255" s="20434"/>
      <c r="BX255" s="20435"/>
      <c r="BY255" s="20436"/>
      <c r="BZ255" s="20437"/>
      <c r="CA255" s="20438"/>
      <c r="CB255" s="20439"/>
      <c r="CC255" s="20440"/>
      <c r="CD255" s="20441"/>
      <c r="CE255" s="20442"/>
      <c r="CF255" s="20443"/>
      <c r="CG255" s="20444"/>
      <c r="CH255" s="20445"/>
      <c r="CI255" s="20446"/>
      <c r="CJ255" s="20447"/>
      <c r="CK255" s="20448"/>
      <c r="CL255" s="20449"/>
      <c r="CM255" s="20450"/>
      <c r="CN255" s="28045"/>
      <c r="CO255" s="28046"/>
      <c r="CP255" s="28047"/>
      <c r="CQ255" s="28048"/>
      <c r="CR255" s="28049"/>
      <c r="CS255" s="28050"/>
      <c r="CT255" s="28051"/>
      <c r="CU255" s="20451"/>
      <c r="CV255" s="20452"/>
      <c r="CW255" s="16982"/>
      <c r="CX255" s="16983"/>
      <c r="CY255" s="16983" t="str">
        <f>IF(T255="","",T255)</f>
        <v>Добавить группу потребителей</v>
      </c>
      <c r="CZ255" s="16983"/>
      <c r="DA255" s="16983"/>
      <c r="DB255" s="16984">
        <v>0</v>
      </c>
    </row>
    <row s="53778" customFormat="1" customHeight="1" ht="21">
      <c r="A256" s="16967"/>
      <c r="B256" s="16967"/>
      <c r="C256" s="16967"/>
      <c r="D256" s="16967"/>
      <c r="E256" s="16968"/>
      <c r="F256" s="16968" t="s">
        <v>150</v>
      </c>
      <c r="G256" s="16968"/>
      <c r="H256" s="16969"/>
      <c r="I256" s="16967"/>
      <c r="J256" s="16967"/>
      <c r="K256" s="16967"/>
      <c r="L256" s="16970"/>
      <c r="M256" s="16971"/>
      <c r="N256" s="16971"/>
      <c r="O256" s="17174"/>
      <c r="P256" s="17175"/>
      <c r="Q256" s="17176"/>
      <c r="R256" s="17177"/>
      <c r="S256" s="20454"/>
      <c r="T256" s="20455" t="s">
        <v>603</v>
      </c>
      <c r="U256" s="20456"/>
      <c r="V256" s="20457"/>
      <c r="W256" s="20458"/>
      <c r="X256" s="20459"/>
      <c r="Y256" s="20460"/>
      <c r="Z256" s="20461"/>
      <c r="AA256" s="20462"/>
      <c r="AB256" s="20463"/>
      <c r="AC256" s="20464"/>
      <c r="AD256" s="20465"/>
      <c r="AE256" s="20466"/>
      <c r="AF256" s="20467"/>
      <c r="AG256" s="20468"/>
      <c r="AH256" s="20469"/>
      <c r="AI256" s="20470"/>
      <c r="AJ256" s="20471"/>
      <c r="AK256" s="20472"/>
      <c r="AL256" s="20473"/>
      <c r="AM256" s="20474"/>
      <c r="AN256" s="20475"/>
      <c r="AO256" s="20476"/>
      <c r="AP256" s="20477"/>
      <c r="AQ256" s="20478"/>
      <c r="AR256" s="20479"/>
      <c r="AS256" s="20480"/>
      <c r="AT256" s="20481"/>
      <c r="AU256" s="20482"/>
      <c r="AV256" s="20483"/>
      <c r="AW256" s="20484"/>
      <c r="AX256" s="20485"/>
      <c r="AY256" s="20486"/>
      <c r="AZ256" s="20487"/>
      <c r="BA256" s="20488"/>
      <c r="BB256" s="20489"/>
      <c r="BC256" s="20490"/>
      <c r="BD256" s="20491"/>
      <c r="BE256" s="20492"/>
      <c r="BF256" s="20493"/>
      <c r="BG256" s="20494"/>
      <c r="BH256" s="20495"/>
      <c r="BI256" s="20496"/>
      <c r="BJ256" s="20497"/>
      <c r="BK256" s="20498"/>
      <c r="BL256" s="20499"/>
      <c r="BM256" s="20500"/>
      <c r="BN256" s="20501"/>
      <c r="BO256" s="20502"/>
      <c r="BP256" s="20503"/>
      <c r="BQ256" s="20504"/>
      <c r="BR256" s="20505"/>
      <c r="BS256" s="20506"/>
      <c r="BT256" s="20507"/>
      <c r="BU256" s="20508"/>
      <c r="BV256" s="20509"/>
      <c r="BW256" s="20510"/>
      <c r="BX256" s="20511"/>
      <c r="BY256" s="20512"/>
      <c r="BZ256" s="20513"/>
      <c r="CA256" s="20514"/>
      <c r="CB256" s="20515"/>
      <c r="CC256" s="20516"/>
      <c r="CD256" s="20517"/>
      <c r="CE256" s="20518"/>
      <c r="CF256" s="20519"/>
      <c r="CG256" s="20520"/>
      <c r="CH256" s="20521"/>
      <c r="CI256" s="20522"/>
      <c r="CJ256" s="20523"/>
      <c r="CK256" s="20524"/>
      <c r="CL256" s="20525"/>
      <c r="CM256" s="20526"/>
      <c r="CN256" s="28128"/>
      <c r="CO256" s="28129"/>
      <c r="CP256" s="28130"/>
      <c r="CQ256" s="28131"/>
      <c r="CR256" s="28132"/>
      <c r="CS256" s="28133"/>
      <c r="CT256" s="28134"/>
      <c r="CU256" s="20527"/>
      <c r="CV256" s="20528"/>
      <c r="CW256" s="16982"/>
      <c r="CX256" s="16983"/>
      <c r="CY256" s="16983" t="str">
        <f>IF(T256="","",T256)</f>
        <v>Добавить наименование признака дифференциации</v>
      </c>
      <c r="CZ256" s="16983"/>
      <c r="DA256" s="16983"/>
      <c r="DB256" s="16984">
        <v>0</v>
      </c>
    </row>
    <row s="53861" customFormat="1" customHeight="1" ht="14.25">
      <c r="A257" s="17254"/>
      <c r="B257" s="17254"/>
      <c r="C257" s="17254"/>
      <c r="D257" s="17254"/>
      <c r="E257" s="16968"/>
      <c r="F257" s="16969" t="s">
        <v>150</v>
      </c>
      <c r="G257" s="17254"/>
      <c r="H257" s="17254"/>
      <c r="I257" s="17254"/>
      <c r="J257" s="17254"/>
      <c r="K257" s="17254"/>
      <c r="L257" s="17255"/>
      <c r="M257" s="17256"/>
      <c r="N257" s="17256"/>
      <c r="O257" s="16982"/>
      <c r="P257" s="17257"/>
      <c r="Q257" s="17258"/>
      <c r="R257" s="17257"/>
      <c r="S257" s="17259"/>
      <c r="T257" s="17260" t="s">
        <v>321</v>
      </c>
      <c r="U257" s="17261"/>
      <c r="V257" s="17261"/>
      <c r="W257" s="17261"/>
      <c r="X257" s="17261"/>
      <c r="Y257" s="17261"/>
      <c r="Z257" s="17261"/>
      <c r="AA257" s="17261"/>
      <c r="AB257" s="17261"/>
      <c r="AC257" s="17261"/>
      <c r="AD257" s="17261"/>
      <c r="AE257" s="17261"/>
      <c r="AF257" s="17261"/>
      <c r="AG257" s="17261"/>
      <c r="AH257" s="17261"/>
      <c r="AI257" s="17261"/>
      <c r="AJ257" s="17261"/>
      <c r="AK257" s="17261"/>
      <c r="AL257" s="17261"/>
      <c r="AM257" s="17261"/>
      <c r="AN257" s="17261"/>
      <c r="AO257" s="17261"/>
      <c r="AP257" s="17261"/>
      <c r="AQ257" s="17261"/>
      <c r="AR257" s="17261"/>
      <c r="AS257" s="17261"/>
      <c r="AT257" s="17261"/>
      <c r="AU257" s="17261"/>
      <c r="AV257" s="17261"/>
      <c r="AW257" s="17261"/>
      <c r="AX257" s="17261"/>
      <c r="AY257" s="17261"/>
      <c r="AZ257" s="17261"/>
      <c r="BA257" s="17261"/>
      <c r="BB257" s="17261"/>
      <c r="BC257" s="17261"/>
      <c r="BD257" s="17261"/>
      <c r="BE257" s="17261"/>
      <c r="BF257" s="17261"/>
      <c r="BG257" s="17261"/>
      <c r="BH257" s="17261"/>
      <c r="BI257" s="17261"/>
      <c r="BJ257" s="17261"/>
      <c r="BK257" s="17261"/>
      <c r="BL257" s="17261"/>
      <c r="BM257" s="17261"/>
      <c r="BN257" s="17261"/>
      <c r="BO257" s="17261"/>
      <c r="BP257" s="17261"/>
      <c r="BQ257" s="17261"/>
      <c r="BR257" s="17261"/>
      <c r="BS257" s="17261"/>
      <c r="BT257" s="17261"/>
      <c r="BU257" s="17261"/>
      <c r="BV257" s="17261"/>
      <c r="BW257" s="17261"/>
      <c r="BX257" s="17261"/>
      <c r="BY257" s="17261"/>
      <c r="BZ257" s="17261"/>
      <c r="CA257" s="17261"/>
      <c r="CB257" s="17261"/>
      <c r="CC257" s="17261"/>
      <c r="CD257" s="17261"/>
      <c r="CE257" s="17261"/>
      <c r="CF257" s="17261"/>
      <c r="CG257" s="17261"/>
      <c r="CH257" s="17261"/>
      <c r="CI257" s="17261"/>
      <c r="CJ257" s="17261"/>
      <c r="CK257" s="17261"/>
      <c r="CL257" s="17261"/>
      <c r="CM257" s="17261"/>
      <c r="CN257" s="23902"/>
      <c r="CO257" s="23902"/>
      <c r="CP257" s="23902"/>
      <c r="CQ257" s="23902"/>
      <c r="CR257" s="23902"/>
      <c r="CS257" s="23902"/>
      <c r="CT257" s="23902"/>
      <c r="CU257" s="17261"/>
      <c r="CV257" s="17261"/>
      <c r="CW257" s="16982"/>
      <c r="CX257" s="16983"/>
      <c r="CY257" s="16983" t="str">
        <f>IF(T257="","",T257)</f>
        <v>Добавить централизованную систему для дифференциации</v>
      </c>
      <c r="CZ257" s="16983"/>
      <c r="DA257" s="16983"/>
      <c r="DB257" s="16982">
        <v>0</v>
      </c>
    </row>
    <row s="53862" customFormat="1" customHeight="1" ht="23.25">
      <c r="A258" s="16967"/>
      <c r="B258" s="16967" t="s">
        <v>379</v>
      </c>
      <c r="C258" s="16967"/>
      <c r="D258" s="16967"/>
      <c r="E258" s="16968"/>
      <c r="F258" s="16969" t="s">
        <v>158</v>
      </c>
      <c r="G258" s="16967"/>
      <c r="H258" s="16967"/>
      <c r="I258" s="16967"/>
      <c r="J258" s="16967"/>
      <c r="K258" s="16967"/>
      <c r="L258" s="16970"/>
      <c r="M258" s="16971"/>
      <c r="N258" s="16971"/>
      <c r="O258" s="16971"/>
      <c r="P258" s="16972"/>
      <c r="Q258" s="16973"/>
      <c r="R258" s="16974"/>
      <c r="S258" s="16975" t="str">
        <f>INDEX(PT_DIFFERENTIATION_NUM_TER,MATCH(B258,PT_DIFFERENTIATION_TER_ID,0))</f>
        <v>1.13</v>
      </c>
      <c r="T258" s="16976" t="s">
        <v>515</v>
      </c>
      <c r="U258" s="16977"/>
      <c r="V258" s="16978"/>
      <c r="W258" s="16979"/>
      <c r="X258" s="16979"/>
      <c r="Y258" s="16979"/>
      <c r="Z258" s="16979"/>
      <c r="AA258" s="16979"/>
      <c r="AB258" s="16980"/>
      <c r="AC258" s="16978" t="str">
        <f>INDEX(PT_DIFFERENTIATION_TER,MATCH(B258,PT_DIFFERENTIATION_TER_ID,0))</f>
        <v>Территория 13</v>
      </c>
      <c r="AD258" s="16979"/>
      <c r="AE258" s="16979"/>
      <c r="AF258" s="16979"/>
      <c r="AG258" s="16979"/>
      <c r="AH258" s="16979"/>
      <c r="AI258" s="16979"/>
      <c r="AJ258" s="16978"/>
      <c r="AK258" s="16979"/>
      <c r="AL258" s="16979"/>
      <c r="AM258" s="16979"/>
      <c r="AN258" s="16979"/>
      <c r="AO258" s="16979"/>
      <c r="AP258" s="16980"/>
      <c r="AQ258" s="16978"/>
      <c r="AR258" s="16979"/>
      <c r="AS258" s="16979"/>
      <c r="AT258" s="16979"/>
      <c r="AU258" s="16979"/>
      <c r="AV258" s="16979"/>
      <c r="AW258" s="16980"/>
      <c r="AX258" s="16978"/>
      <c r="AY258" s="16979"/>
      <c r="AZ258" s="16979"/>
      <c r="BA258" s="16979"/>
      <c r="BB258" s="16979"/>
      <c r="BC258" s="16979"/>
      <c r="BD258" s="16980"/>
      <c r="BE258" s="16978"/>
      <c r="BF258" s="16979"/>
      <c r="BG258" s="16979"/>
      <c r="BH258" s="16979"/>
      <c r="BI258" s="16979"/>
      <c r="BJ258" s="16979"/>
      <c r="BK258" s="16980"/>
      <c r="BL258" s="16978"/>
      <c r="BM258" s="16979"/>
      <c r="BN258" s="16979"/>
      <c r="BO258" s="16979"/>
      <c r="BP258" s="16979"/>
      <c r="BQ258" s="16979"/>
      <c r="BR258" s="16980"/>
      <c r="BS258" s="16978"/>
      <c r="BT258" s="16979"/>
      <c r="BU258" s="16979"/>
      <c r="BV258" s="16979"/>
      <c r="BW258" s="16979"/>
      <c r="BX258" s="16979"/>
      <c r="BY258" s="16980"/>
      <c r="BZ258" s="16978"/>
      <c r="CA258" s="16979"/>
      <c r="CB258" s="16979"/>
      <c r="CC258" s="16979"/>
      <c r="CD258" s="16979"/>
      <c r="CE258" s="16979"/>
      <c r="CF258" s="16980"/>
      <c r="CG258" s="16978"/>
      <c r="CH258" s="16979"/>
      <c r="CI258" s="16979"/>
      <c r="CJ258" s="16979"/>
      <c r="CK258" s="16979"/>
      <c r="CL258" s="16979"/>
      <c r="CM258" s="16980"/>
      <c r="CN258" s="23679"/>
      <c r="CO258" s="23680"/>
      <c r="CP258" s="23680"/>
      <c r="CQ258" s="23680"/>
      <c r="CR258" s="23680"/>
      <c r="CS258" s="23680"/>
      <c r="CT258" s="23681"/>
      <c r="CU258" s="16980"/>
      <c r="CV258" s="16981" t="s">
        <v>516</v>
      </c>
      <c r="CW258" s="16982"/>
      <c r="CX258" s="16983"/>
      <c r="CY258" s="16983" t="str">
        <f>IF(T258="","",T258)</f>
        <v>Территория действия тарифа</v>
      </c>
      <c r="CZ258" s="16983"/>
      <c r="DA258" s="16983"/>
      <c r="DB258" s="16984">
        <v>0</v>
      </c>
    </row>
    <row s="53863" customFormat="1" customHeight="1" ht="23.25">
      <c r="A259" s="16967"/>
      <c r="B259" s="16967"/>
      <c r="C259" s="16967" t="s">
        <v>380</v>
      </c>
      <c r="D259" s="16967"/>
      <c r="E259" s="16968"/>
      <c r="F259" s="16968" t="s">
        <v>154</v>
      </c>
      <c r="G259" s="16969">
        <v>1</v>
      </c>
      <c r="H259" s="16967"/>
      <c r="I259" s="16967"/>
      <c r="J259" s="16967"/>
      <c r="K259" s="16967"/>
      <c r="L259" s="16970"/>
      <c r="M259" s="16971"/>
      <c r="N259" s="16971"/>
      <c r="O259" s="16971"/>
      <c r="P259" s="16986"/>
      <c r="Q259" s="16973"/>
      <c r="R259" s="16974"/>
      <c r="S259" s="16975" t="str">
        <f>INDEX(PT_DIFFERENTIATION_NUM_CS,MATCH(C259,PT_DIFFERENTIATION_CS_ID,0))</f>
        <v>1.13.1</v>
      </c>
      <c r="T259" s="16987" t="s">
        <v>631</v>
      </c>
      <c r="U259" s="16977"/>
      <c r="V259" s="16978"/>
      <c r="W259" s="16979"/>
      <c r="X259" s="16979"/>
      <c r="Y259" s="16979"/>
      <c r="Z259" s="16979"/>
      <c r="AA259" s="16979"/>
      <c r="AB259" s="16980"/>
      <c r="AC259" s="16978" t="str">
        <f>INDEX(PT_DIFFERENTIATION_CS,MATCH(C259,PT_DIFFERENTIATION_CS_ID,0))</f>
        <v>ГО ЗАТО г. Фокино</v>
      </c>
      <c r="AD259" s="16979"/>
      <c r="AE259" s="16979"/>
      <c r="AF259" s="16979"/>
      <c r="AG259" s="16979"/>
      <c r="AH259" s="16979"/>
      <c r="AI259" s="16979"/>
      <c r="AJ259" s="16978"/>
      <c r="AK259" s="16979"/>
      <c r="AL259" s="16979"/>
      <c r="AM259" s="16979"/>
      <c r="AN259" s="16979"/>
      <c r="AO259" s="16979"/>
      <c r="AP259" s="16980"/>
      <c r="AQ259" s="16978"/>
      <c r="AR259" s="16979"/>
      <c r="AS259" s="16979"/>
      <c r="AT259" s="16979"/>
      <c r="AU259" s="16979"/>
      <c r="AV259" s="16979"/>
      <c r="AW259" s="16980"/>
      <c r="AX259" s="16978"/>
      <c r="AY259" s="16979"/>
      <c r="AZ259" s="16979"/>
      <c r="BA259" s="16979"/>
      <c r="BB259" s="16979"/>
      <c r="BC259" s="16979"/>
      <c r="BD259" s="16980"/>
      <c r="BE259" s="16978"/>
      <c r="BF259" s="16979"/>
      <c r="BG259" s="16979"/>
      <c r="BH259" s="16979"/>
      <c r="BI259" s="16979"/>
      <c r="BJ259" s="16979"/>
      <c r="BK259" s="16980"/>
      <c r="BL259" s="16978"/>
      <c r="BM259" s="16979"/>
      <c r="BN259" s="16979"/>
      <c r="BO259" s="16979"/>
      <c r="BP259" s="16979"/>
      <c r="BQ259" s="16979"/>
      <c r="BR259" s="16980"/>
      <c r="BS259" s="16978"/>
      <c r="BT259" s="16979"/>
      <c r="BU259" s="16979"/>
      <c r="BV259" s="16979"/>
      <c r="BW259" s="16979"/>
      <c r="BX259" s="16979"/>
      <c r="BY259" s="16980"/>
      <c r="BZ259" s="16978"/>
      <c r="CA259" s="16979"/>
      <c r="CB259" s="16979"/>
      <c r="CC259" s="16979"/>
      <c r="CD259" s="16979"/>
      <c r="CE259" s="16979"/>
      <c r="CF259" s="16980"/>
      <c r="CG259" s="16978"/>
      <c r="CH259" s="16979"/>
      <c r="CI259" s="16979"/>
      <c r="CJ259" s="16979"/>
      <c r="CK259" s="16979"/>
      <c r="CL259" s="16979"/>
      <c r="CM259" s="16980"/>
      <c r="CN259" s="23679"/>
      <c r="CO259" s="23680"/>
      <c r="CP259" s="23680"/>
      <c r="CQ259" s="23680"/>
      <c r="CR259" s="23680"/>
      <c r="CS259" s="23680"/>
      <c r="CT259" s="23681"/>
      <c r="CU259" s="16980"/>
      <c r="CV259" s="16981" t="s">
        <v>632</v>
      </c>
      <c r="CW259" s="16982"/>
      <c r="CX259" s="16983"/>
      <c r="CY259" s="16983" t="str">
        <f>IF(T259="","",T259)</f>
        <v>Наименование централизованной системы водоотведения</v>
      </c>
      <c r="CZ259" s="16983"/>
      <c r="DA259" s="16983"/>
      <c r="DB259" s="16984">
        <v>0</v>
      </c>
    </row>
    <row s="53864" customFormat="1" customHeight="1" ht="23.25">
      <c r="A260" s="16967"/>
      <c r="B260" s="16967"/>
      <c r="C260" s="16967"/>
      <c r="D260" s="16967"/>
      <c r="E260" s="16968"/>
      <c r="F260" s="16968" t="s">
        <v>154</v>
      </c>
      <c r="G260" s="16968"/>
      <c r="H260" s="16968"/>
      <c r="I260" s="16989" t="str">
        <f>S259&amp;".1"</f>
        <v>1.13.1.1</v>
      </c>
      <c r="J260" s="16967"/>
      <c r="K260" s="16967"/>
      <c r="L260" s="16970"/>
      <c r="M260" s="16990"/>
      <c r="N260" s="16990"/>
      <c r="O260" s="16990"/>
      <c r="P260" s="16991">
        <v>1</v>
      </c>
      <c r="Q260" s="16991"/>
      <c r="R260" s="16992"/>
      <c r="S260" s="16975" t="str">
        <f>$I260</f>
        <v>1.13.1.1</v>
      </c>
      <c r="T260" s="16993" t="s">
        <v>598</v>
      </c>
      <c r="U260" s="16977"/>
      <c r="V260" s="16994"/>
      <c r="W260" s="16995"/>
      <c r="X260" s="16995"/>
      <c r="Y260" s="16995"/>
      <c r="Z260" s="16995"/>
      <c r="AA260" s="16995"/>
      <c r="AB260" s="16996"/>
      <c r="AC260" s="16997"/>
      <c r="AD260" s="16998"/>
      <c r="AE260" s="16998"/>
      <c r="AF260" s="16998"/>
      <c r="AG260" s="16998"/>
      <c r="AH260" s="16998"/>
      <c r="AI260" s="16998"/>
      <c r="AJ260" s="16994"/>
      <c r="AK260" s="16995"/>
      <c r="AL260" s="16995"/>
      <c r="AM260" s="16995"/>
      <c r="AN260" s="16995"/>
      <c r="AO260" s="16995"/>
      <c r="AP260" s="16996"/>
      <c r="AQ260" s="16994"/>
      <c r="AR260" s="16995"/>
      <c r="AS260" s="16995"/>
      <c r="AT260" s="16995"/>
      <c r="AU260" s="16995"/>
      <c r="AV260" s="16995"/>
      <c r="AW260" s="16996"/>
      <c r="AX260" s="16994"/>
      <c r="AY260" s="16995"/>
      <c r="AZ260" s="16995"/>
      <c r="BA260" s="16995"/>
      <c r="BB260" s="16995"/>
      <c r="BC260" s="16995"/>
      <c r="BD260" s="16996"/>
      <c r="BE260" s="16994"/>
      <c r="BF260" s="16995"/>
      <c r="BG260" s="16995"/>
      <c r="BH260" s="16995"/>
      <c r="BI260" s="16995"/>
      <c r="BJ260" s="16995"/>
      <c r="BK260" s="16996"/>
      <c r="BL260" s="16994"/>
      <c r="BM260" s="16995"/>
      <c r="BN260" s="16995"/>
      <c r="BO260" s="16995"/>
      <c r="BP260" s="16995"/>
      <c r="BQ260" s="16995"/>
      <c r="BR260" s="16996"/>
      <c r="BS260" s="16994"/>
      <c r="BT260" s="16995"/>
      <c r="BU260" s="16995"/>
      <c r="BV260" s="16995"/>
      <c r="BW260" s="16995"/>
      <c r="BX260" s="16995"/>
      <c r="BY260" s="16996"/>
      <c r="BZ260" s="16994"/>
      <c r="CA260" s="16995"/>
      <c r="CB260" s="16995"/>
      <c r="CC260" s="16995"/>
      <c r="CD260" s="16995"/>
      <c r="CE260" s="16995"/>
      <c r="CF260" s="16996"/>
      <c r="CG260" s="16994"/>
      <c r="CH260" s="16995"/>
      <c r="CI260" s="16995"/>
      <c r="CJ260" s="16995"/>
      <c r="CK260" s="16995"/>
      <c r="CL260" s="16995"/>
      <c r="CM260" s="16996"/>
      <c r="CN260" s="23687"/>
      <c r="CO260" s="23688"/>
      <c r="CP260" s="23688"/>
      <c r="CQ260" s="23688"/>
      <c r="CR260" s="23688"/>
      <c r="CS260" s="23688"/>
      <c r="CT260" s="23689"/>
      <c r="CU260" s="16999"/>
      <c r="CV260" s="16981" t="s">
        <v>599</v>
      </c>
      <c r="CW260" s="16982"/>
      <c r="CX260" s="16983"/>
      <c r="CY260" s="16983" t="str">
        <f>IF(T260="","",T260)</f>
        <v>Наименование признака дифференциации</v>
      </c>
      <c r="CZ260" s="16983"/>
      <c r="DA260" s="16983"/>
      <c r="DB260" s="16984">
        <v>0</v>
      </c>
    </row>
    <row s="53865" customFormat="1" customHeight="1" ht="23.25">
      <c r="A261" s="16967"/>
      <c r="B261" s="16967"/>
      <c r="C261" s="16967"/>
      <c r="D261" s="16967"/>
      <c r="E261" s="16968"/>
      <c r="F261" s="16968" t="s">
        <v>154</v>
      </c>
      <c r="G261" s="16968"/>
      <c r="H261" s="16968"/>
      <c r="I261" s="17001"/>
      <c r="J261" s="16989" t="str">
        <f>I260&amp;".1"</f>
        <v>1.13.1.1.1</v>
      </c>
      <c r="K261" s="16967"/>
      <c r="L261" s="16970" t="s">
        <v>524</v>
      </c>
      <c r="M261" s="16990"/>
      <c r="N261" s="16990"/>
      <c r="O261" s="16990"/>
      <c r="P261" s="16991"/>
      <c r="Q261" s="16991">
        <v>1</v>
      </c>
      <c r="R261" s="17002"/>
      <c r="S261" s="16975" t="str">
        <f>$J261</f>
        <v>1.13.1.1.1</v>
      </c>
      <c r="T261" s="17003" t="s">
        <v>525</v>
      </c>
      <c r="U261" s="16977"/>
      <c r="V261" s="17004"/>
      <c r="W261" s="17005"/>
      <c r="X261" s="17005"/>
      <c r="Y261" s="17005"/>
      <c r="Z261" s="17005"/>
      <c r="AA261" s="17005"/>
      <c r="AB261" s="17006"/>
      <c r="AC261" s="17004" t="s">
        <v>636</v>
      </c>
      <c r="AD261" s="17005"/>
      <c r="AE261" s="17005"/>
      <c r="AF261" s="17005"/>
      <c r="AG261" s="17005"/>
      <c r="AH261" s="17005"/>
      <c r="AI261" s="17005"/>
      <c r="AJ261" s="17004"/>
      <c r="AK261" s="17005"/>
      <c r="AL261" s="17005"/>
      <c r="AM261" s="17005"/>
      <c r="AN261" s="17005"/>
      <c r="AO261" s="17005"/>
      <c r="AP261" s="17006"/>
      <c r="AQ261" s="17004"/>
      <c r="AR261" s="17005"/>
      <c r="AS261" s="17005"/>
      <c r="AT261" s="17005"/>
      <c r="AU261" s="17005"/>
      <c r="AV261" s="17005"/>
      <c r="AW261" s="17006"/>
      <c r="AX261" s="17004"/>
      <c r="AY261" s="17005"/>
      <c r="AZ261" s="17005"/>
      <c r="BA261" s="17005"/>
      <c r="BB261" s="17005"/>
      <c r="BC261" s="17005"/>
      <c r="BD261" s="17006"/>
      <c r="BE261" s="17004"/>
      <c r="BF261" s="17005"/>
      <c r="BG261" s="17005"/>
      <c r="BH261" s="17005"/>
      <c r="BI261" s="17005"/>
      <c r="BJ261" s="17005"/>
      <c r="BK261" s="17006"/>
      <c r="BL261" s="17004"/>
      <c r="BM261" s="17005"/>
      <c r="BN261" s="17005"/>
      <c r="BO261" s="17005"/>
      <c r="BP261" s="17005"/>
      <c r="BQ261" s="17005"/>
      <c r="BR261" s="17006"/>
      <c r="BS261" s="17004"/>
      <c r="BT261" s="17005"/>
      <c r="BU261" s="17005"/>
      <c r="BV261" s="17005"/>
      <c r="BW261" s="17005"/>
      <c r="BX261" s="17005"/>
      <c r="BY261" s="17006"/>
      <c r="BZ261" s="17004"/>
      <c r="CA261" s="17005"/>
      <c r="CB261" s="17005"/>
      <c r="CC261" s="17005"/>
      <c r="CD261" s="17005"/>
      <c r="CE261" s="17005"/>
      <c r="CF261" s="17006"/>
      <c r="CG261" s="17004"/>
      <c r="CH261" s="17005"/>
      <c r="CI261" s="17005"/>
      <c r="CJ261" s="17005"/>
      <c r="CK261" s="17005"/>
      <c r="CL261" s="17005"/>
      <c r="CM261" s="17006"/>
      <c r="CN261" s="23693"/>
      <c r="CO261" s="23694"/>
      <c r="CP261" s="23694"/>
      <c r="CQ261" s="23694"/>
      <c r="CR261" s="23694"/>
      <c r="CS261" s="23694"/>
      <c r="CT261" s="23695"/>
      <c r="CU261" s="17006"/>
      <c r="CV261" s="17007" t="s">
        <v>600</v>
      </c>
      <c r="CW261" s="16982"/>
      <c r="CX261" s="16983"/>
      <c r="CY261" s="16983" t="str">
        <f>IF(T261="","",T261)</f>
        <v>Группа потребителей</v>
      </c>
      <c r="CZ261" s="16983"/>
      <c r="DA261" s="16983"/>
      <c r="DB261" s="16984">
        <v>0</v>
      </c>
    </row>
    <row s="53866" customFormat="1" customHeight="1" ht="23.25">
      <c r="A262" s="16967"/>
      <c r="B262" s="16967"/>
      <c r="C262" s="16967"/>
      <c r="D262" s="16967"/>
      <c r="E262" s="16968"/>
      <c r="F262" s="16968" t="s">
        <v>154</v>
      </c>
      <c r="G262" s="16968"/>
      <c r="H262" s="16968"/>
      <c r="I262" s="17001"/>
      <c r="J262" s="17001"/>
      <c r="K262" s="16989" t="str">
        <f>J261&amp;".1"</f>
        <v>1.13.1.1.1.1</v>
      </c>
      <c r="L262" s="16970"/>
      <c r="M262" s="16990"/>
      <c r="N262" s="16990"/>
      <c r="O262" s="16990"/>
      <c r="P262" s="16991"/>
      <c r="Q262" s="16991"/>
      <c r="R262" s="17002">
        <v>1</v>
      </c>
      <c r="S262" s="16975" t="str">
        <f>$K262</f>
        <v>1.13.1.1.1.1</v>
      </c>
      <c r="T262" s="17009"/>
      <c r="U262" s="16977"/>
      <c r="V262" s="17010"/>
      <c r="W262" s="17010"/>
      <c r="X262" s="17011"/>
      <c r="Y262" s="16696"/>
      <c r="Z262" s="17012" t="s">
        <v>63</v>
      </c>
      <c r="AA262" s="16696"/>
      <c r="AB262" s="17012" t="s">
        <v>63</v>
      </c>
      <c r="AC262" s="17010">
        <v>22.27</v>
      </c>
      <c r="AD262" s="17010"/>
      <c r="AE262" s="17011"/>
      <c r="AF262" s="53152">
        <v>45292.46239583333</v>
      </c>
      <c r="AG262" s="17012" t="s">
        <v>63</v>
      </c>
      <c r="AH262" s="53153">
        <v>45473.46252314815</v>
      </c>
      <c r="AI262" s="17012" t="s">
        <v>63</v>
      </c>
      <c r="AJ262" s="17010">
        <v>28.94</v>
      </c>
      <c r="AK262" s="17010"/>
      <c r="AL262" s="17011"/>
      <c r="AM262" s="53152">
        <v>45474.462696759256</v>
      </c>
      <c r="AN262" s="17012" t="s">
        <v>63</v>
      </c>
      <c r="AO262" s="53152">
        <v>45657.46283564815</v>
      </c>
      <c r="AP262" s="17012" t="s">
        <v>63</v>
      </c>
      <c r="AQ262" s="17010">
        <v>28.94</v>
      </c>
      <c r="AR262" s="17010"/>
      <c r="AS262" s="17011"/>
      <c r="AT262" s="53152">
        <v>45658.462916666664</v>
      </c>
      <c r="AU262" s="17012" t="s">
        <v>63</v>
      </c>
      <c r="AV262" s="53152">
        <v>45838.4630787037</v>
      </c>
      <c r="AW262" s="17012" t="s">
        <v>63</v>
      </c>
      <c r="AX262" s="17010">
        <v>35.99</v>
      </c>
      <c r="AY262" s="17010"/>
      <c r="AZ262" s="17011"/>
      <c r="BA262" s="53152">
        <v>45839.46326388889</v>
      </c>
      <c r="BB262" s="17012" t="s">
        <v>63</v>
      </c>
      <c r="BC262" s="53152">
        <v>46022.46340277778</v>
      </c>
      <c r="BD262" s="17012" t="s">
        <v>63</v>
      </c>
      <c r="BE262" s="17010">
        <v>35.99</v>
      </c>
      <c r="BF262" s="17010"/>
      <c r="BG262" s="17011"/>
      <c r="BH262" s="53152">
        <v>46023.46368055556</v>
      </c>
      <c r="BI262" s="17012" t="s">
        <v>63</v>
      </c>
      <c r="BJ262" s="53152">
        <v>46203.463854166665</v>
      </c>
      <c r="BK262" s="17012" t="s">
        <v>63</v>
      </c>
      <c r="BL262" s="17010">
        <v>37.07</v>
      </c>
      <c r="BM262" s="17010"/>
      <c r="BN262" s="17011"/>
      <c r="BO262" s="53152">
        <v>46204.46424768519</v>
      </c>
      <c r="BP262" s="17012" t="s">
        <v>63</v>
      </c>
      <c r="BQ262" s="53152">
        <v>46387.46445601852</v>
      </c>
      <c r="BR262" s="17012" t="s">
        <v>63</v>
      </c>
      <c r="BS262" s="17010">
        <v>32.88</v>
      </c>
      <c r="BT262" s="17010"/>
      <c r="BU262" s="17011"/>
      <c r="BV262" s="53152">
        <v>46388.464641203704</v>
      </c>
      <c r="BW262" s="17012" t="s">
        <v>63</v>
      </c>
      <c r="BX262" s="53152">
        <v>46568.46481481481</v>
      </c>
      <c r="BY262" s="17012" t="s">
        <v>63</v>
      </c>
      <c r="BZ262" s="17010">
        <v>32.92</v>
      </c>
      <c r="CA262" s="17010"/>
      <c r="CB262" s="17011"/>
      <c r="CC262" s="53152">
        <v>46569.46530092593</v>
      </c>
      <c r="CD262" s="17012" t="s">
        <v>63</v>
      </c>
      <c r="CE262" s="53152">
        <v>46752.46550925926</v>
      </c>
      <c r="CF262" s="17012" t="s">
        <v>63</v>
      </c>
      <c r="CG262" s="17010">
        <v>32.92</v>
      </c>
      <c r="CH262" s="17010"/>
      <c r="CI262" s="17011"/>
      <c r="CJ262" s="53152">
        <v>46753.46571759259</v>
      </c>
      <c r="CK262" s="17012" t="s">
        <v>63</v>
      </c>
      <c r="CL262" s="53152">
        <v>46934.46600694444</v>
      </c>
      <c r="CM262" s="17012" t="s">
        <v>63</v>
      </c>
      <c r="CN262" s="23700">
        <v>34.91</v>
      </c>
      <c r="CO262" s="23700"/>
      <c r="CP262" s="23701"/>
      <c r="CQ262" s="53152">
        <v>46935.46635416667</v>
      </c>
      <c r="CR262" s="23703" t="s">
        <v>63</v>
      </c>
      <c r="CS262" s="53152">
        <v>47118.46653935185</v>
      </c>
      <c r="CT262" s="23703" t="s">
        <v>63</v>
      </c>
      <c r="CU262" s="17013"/>
      <c r="CV262" s="170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262" s="16982">
        <f>STRCHECKDATE(V263:CU263)</f>
      </c>
      <c r="CX262" s="16983"/>
      <c r="CY262" s="16983" t="str">
        <f>IF(T262="","",T262)</f>
        <v/>
      </c>
      <c r="CZ262" s="16983"/>
      <c r="DA262" s="16983"/>
      <c r="DB262" s="16984">
        <v>0</v>
      </c>
    </row>
    <row s="53867" customFormat="1" customHeight="1" ht="14.25">
      <c r="A263" s="16967"/>
      <c r="B263" s="16967"/>
      <c r="C263" s="16967"/>
      <c r="D263" s="16967"/>
      <c r="E263" s="16968"/>
      <c r="F263" s="16968" t="s">
        <v>154</v>
      </c>
      <c r="G263" s="16968"/>
      <c r="H263" s="16968"/>
      <c r="I263" s="17001"/>
      <c r="J263" s="17001"/>
      <c r="K263" s="16989"/>
      <c r="L263" s="16970"/>
      <c r="M263" s="16990"/>
      <c r="N263" s="16990"/>
      <c r="O263" s="16990"/>
      <c r="P263" s="16991"/>
      <c r="Q263" s="16991"/>
      <c r="R263" s="17002"/>
      <c r="S263" s="17016"/>
      <c r="T263" s="16977"/>
      <c r="U263" s="16977"/>
      <c r="V263" s="17017"/>
      <c r="W263" s="17017"/>
      <c r="X263" s="17018" t="str">
        <f>Y262&amp;"-"&amp;AA262</f>
        <v>-</v>
      </c>
      <c r="Y263" s="17019"/>
      <c r="Z263" s="17012"/>
      <c r="AA263" s="17019"/>
      <c r="AB263" s="17012"/>
      <c r="AC263" s="17017"/>
      <c r="AD263" s="17017"/>
      <c r="AE263" s="17018" t="str">
        <f>AF262&amp;"-"&amp;AH262</f>
        <v>45292.46239583333-45473.46252314815</v>
      </c>
      <c r="AF263" s="17019"/>
      <c r="AG263" s="17012"/>
      <c r="AH263" s="17020"/>
      <c r="AI263" s="17012"/>
      <c r="AJ263" s="17017"/>
      <c r="AK263" s="17017"/>
      <c r="AL263" s="17018" t="str">
        <f>AM262&amp;"-"&amp;AO262</f>
        <v>45474.462696759256-45657.46283564815</v>
      </c>
      <c r="AM263" s="17019"/>
      <c r="AN263" s="17012"/>
      <c r="AO263" s="17019"/>
      <c r="AP263" s="17012"/>
      <c r="AQ263" s="17017"/>
      <c r="AR263" s="17017"/>
      <c r="AS263" s="17018" t="str">
        <f>AT262&amp;"-"&amp;AV262</f>
        <v>45658.462916666664-45838.4630787037</v>
      </c>
      <c r="AT263" s="17019"/>
      <c r="AU263" s="17012"/>
      <c r="AV263" s="17019"/>
      <c r="AW263" s="17012"/>
      <c r="AX263" s="17017"/>
      <c r="AY263" s="17017"/>
      <c r="AZ263" s="17018" t="str">
        <f>BA262&amp;"-"&amp;BC262</f>
        <v>45839.46326388889-46022.46340277778</v>
      </c>
      <c r="BA263" s="17019"/>
      <c r="BB263" s="17012"/>
      <c r="BC263" s="17019"/>
      <c r="BD263" s="17012"/>
      <c r="BE263" s="17017"/>
      <c r="BF263" s="17017"/>
      <c r="BG263" s="17018" t="str">
        <f>BH262&amp;"-"&amp;BJ262</f>
        <v>46023.46368055556-46203.463854166665</v>
      </c>
      <c r="BH263" s="17019"/>
      <c r="BI263" s="17012"/>
      <c r="BJ263" s="17019"/>
      <c r="BK263" s="17012"/>
      <c r="BL263" s="17017"/>
      <c r="BM263" s="17017"/>
      <c r="BN263" s="17018" t="str">
        <f>BO262&amp;"-"&amp;BQ262</f>
        <v>46204.46424768519-46387.46445601852</v>
      </c>
      <c r="BO263" s="17019"/>
      <c r="BP263" s="17012"/>
      <c r="BQ263" s="17019"/>
      <c r="BR263" s="17012"/>
      <c r="BS263" s="17017"/>
      <c r="BT263" s="17017"/>
      <c r="BU263" s="17018" t="str">
        <f>BV262&amp;"-"&amp;BX262</f>
        <v>46388.464641203704-46568.46481481481</v>
      </c>
      <c r="BV263" s="17019"/>
      <c r="BW263" s="17012"/>
      <c r="BX263" s="17019"/>
      <c r="BY263" s="17012"/>
      <c r="BZ263" s="17017"/>
      <c r="CA263" s="17017"/>
      <c r="CB263" s="17018" t="str">
        <f>CC262&amp;"-"&amp;CE262</f>
        <v>46569.46530092593-46752.46550925926</v>
      </c>
      <c r="CC263" s="17019"/>
      <c r="CD263" s="17012"/>
      <c r="CE263" s="17019"/>
      <c r="CF263" s="17012"/>
      <c r="CG263" s="17017"/>
      <c r="CH263" s="17017"/>
      <c r="CI263" s="17018" t="str">
        <f>CJ262&amp;"-"&amp;CL262</f>
        <v>46753.46571759259-46934.46600694444</v>
      </c>
      <c r="CJ263" s="17019"/>
      <c r="CK263" s="17012"/>
      <c r="CL263" s="17019"/>
      <c r="CM263" s="17012"/>
      <c r="CN263" s="23708"/>
      <c r="CO263" s="23708"/>
      <c r="CP263" s="23709" t="str">
        <f>CQ262&amp;"-"&amp;CS262</f>
        <v>46935.46635416667-47118.46653935185</v>
      </c>
      <c r="CQ263" s="23710"/>
      <c r="CR263" s="23703"/>
      <c r="CS263" s="23710"/>
      <c r="CT263" s="23703"/>
      <c r="CU263" s="17021"/>
      <c r="CV263" s="17014"/>
      <c r="CW263" s="16982"/>
      <c r="CX263" s="16983"/>
      <c r="CY263" s="16983" t="str">
        <f>IF(T263="","",T263)</f>
        <v/>
      </c>
      <c r="CZ263" s="16983"/>
      <c r="DA263" s="16983"/>
      <c r="DB263" s="16984">
        <v>0</v>
      </c>
    </row>
    <row s="53868" customFormat="1" customHeight="1" ht="21">
      <c r="A264" s="16967"/>
      <c r="B264" s="16967"/>
      <c r="C264" s="16967"/>
      <c r="D264" s="16967"/>
      <c r="E264" s="16968"/>
      <c r="F264" s="16968" t="s">
        <v>154</v>
      </c>
      <c r="G264" s="16968"/>
      <c r="H264" s="16968"/>
      <c r="I264" s="17001"/>
      <c r="J264" s="16989"/>
      <c r="K264" s="16967"/>
      <c r="L264" s="16970"/>
      <c r="M264" s="16990"/>
      <c r="N264" s="16990"/>
      <c r="O264" s="16990"/>
      <c r="P264" s="16991"/>
      <c r="Q264" s="16991"/>
      <c r="R264" s="16992"/>
      <c r="S264" s="20537"/>
      <c r="T264" s="20538" t="s">
        <v>601</v>
      </c>
      <c r="U264" s="20539"/>
      <c r="V264" s="20540"/>
      <c r="W264" s="20541"/>
      <c r="X264" s="20542"/>
      <c r="Y264" s="20543"/>
      <c r="Z264" s="20544"/>
      <c r="AA264" s="20545"/>
      <c r="AB264" s="20546"/>
      <c r="AC264" s="20547"/>
      <c r="AD264" s="20548"/>
      <c r="AE264" s="20549"/>
      <c r="AF264" s="20550"/>
      <c r="AG264" s="20551"/>
      <c r="AH264" s="20552"/>
      <c r="AI264" s="20553"/>
      <c r="AJ264" s="20554"/>
      <c r="AK264" s="20555"/>
      <c r="AL264" s="20556"/>
      <c r="AM264" s="20557"/>
      <c r="AN264" s="20558"/>
      <c r="AO264" s="20559"/>
      <c r="AP264" s="20560"/>
      <c r="AQ264" s="20561"/>
      <c r="AR264" s="20562"/>
      <c r="AS264" s="20563"/>
      <c r="AT264" s="20564"/>
      <c r="AU264" s="20565"/>
      <c r="AV264" s="20566"/>
      <c r="AW264" s="20567"/>
      <c r="AX264" s="20568"/>
      <c r="AY264" s="20569"/>
      <c r="AZ264" s="20570"/>
      <c r="BA264" s="20571"/>
      <c r="BB264" s="20572"/>
      <c r="BC264" s="20573"/>
      <c r="BD264" s="20574"/>
      <c r="BE264" s="20575"/>
      <c r="BF264" s="20576"/>
      <c r="BG264" s="20577"/>
      <c r="BH264" s="20578"/>
      <c r="BI264" s="20579"/>
      <c r="BJ264" s="20580"/>
      <c r="BK264" s="20581"/>
      <c r="BL264" s="20582"/>
      <c r="BM264" s="20583"/>
      <c r="BN264" s="20584"/>
      <c r="BO264" s="20585"/>
      <c r="BP264" s="20586"/>
      <c r="BQ264" s="20587"/>
      <c r="BR264" s="20588"/>
      <c r="BS264" s="20589"/>
      <c r="BT264" s="20590"/>
      <c r="BU264" s="20591"/>
      <c r="BV264" s="20592"/>
      <c r="BW264" s="20593"/>
      <c r="BX264" s="20594"/>
      <c r="BY264" s="20595"/>
      <c r="BZ264" s="20596"/>
      <c r="CA264" s="20597"/>
      <c r="CB264" s="20598"/>
      <c r="CC264" s="20599"/>
      <c r="CD264" s="20600"/>
      <c r="CE264" s="20601"/>
      <c r="CF264" s="20602"/>
      <c r="CG264" s="20603"/>
      <c r="CH264" s="20604"/>
      <c r="CI264" s="20605"/>
      <c r="CJ264" s="20606"/>
      <c r="CK264" s="20607"/>
      <c r="CL264" s="20608"/>
      <c r="CM264" s="20609"/>
      <c r="CN264" s="28218"/>
      <c r="CO264" s="28219"/>
      <c r="CP264" s="28220"/>
      <c r="CQ264" s="28221"/>
      <c r="CR264" s="28222"/>
      <c r="CS264" s="28223"/>
      <c r="CT264" s="28224"/>
      <c r="CU264" s="20610"/>
      <c r="CV264" s="16981" t="s">
        <v>602</v>
      </c>
      <c r="CW264" s="16982"/>
      <c r="CX264" s="16983"/>
      <c r="CY264" s="16983" t="str">
        <f>IF(T264="","",T264)</f>
        <v>Добавить значение признака дифференциации</v>
      </c>
      <c r="CZ264" s="16983"/>
      <c r="DA264" s="16983"/>
      <c r="DB264" s="16984">
        <v>0</v>
      </c>
    </row>
    <row s="53950" customFormat="1" customHeight="1" ht="23.25">
      <c r="A265" s="53238"/>
      <c r="B265" s="53238"/>
      <c r="C265" s="53238"/>
      <c r="D265" s="53238"/>
      <c r="E265" s="53239"/>
      <c r="F265" s="53239"/>
      <c r="G265" s="53239"/>
      <c r="H265" s="53239"/>
      <c r="I265" s="53240"/>
      <c r="J265" s="53241" t="str">
        <f>I260&amp;".2"</f>
        <v>1.13.1.1.2</v>
      </c>
      <c r="K265" s="53238"/>
      <c r="L265" s="53242" t="s">
        <v>524</v>
      </c>
      <c r="M265" s="53243"/>
      <c r="N265" s="53243"/>
      <c r="O265" s="53243"/>
      <c r="P265" s="53244"/>
      <c r="Q265" s="53245" t="s">
        <v>106</v>
      </c>
      <c r="R265" s="53246"/>
      <c r="S265" s="53247" t="str">
        <f>$J265</f>
        <v>1.13.1.1.2</v>
      </c>
      <c r="T265" s="53248" t="s">
        <v>525</v>
      </c>
      <c r="U265" s="53249"/>
      <c r="V265" s="53250"/>
      <c r="W265" s="53251"/>
      <c r="X265" s="53251"/>
      <c r="Y265" s="53251"/>
      <c r="Z265" s="53251"/>
      <c r="AA265" s="53251"/>
      <c r="AB265" s="53252"/>
      <c r="AC265" s="53250" t="s">
        <v>637</v>
      </c>
      <c r="AD265" s="53251"/>
      <c r="AE265" s="53251"/>
      <c r="AF265" s="53251"/>
      <c r="AG265" s="53251"/>
      <c r="AH265" s="53251"/>
      <c r="AI265" s="53251"/>
      <c r="AJ265" s="53250"/>
      <c r="AK265" s="53251"/>
      <c r="AL265" s="53251"/>
      <c r="AM265" s="53251"/>
      <c r="AN265" s="53251"/>
      <c r="AO265" s="53251"/>
      <c r="AP265" s="53252"/>
      <c r="AQ265" s="53250"/>
      <c r="AR265" s="53251"/>
      <c r="AS265" s="53251"/>
      <c r="AT265" s="53251"/>
      <c r="AU265" s="53251"/>
      <c r="AV265" s="53251"/>
      <c r="AW265" s="53252"/>
      <c r="AX265" s="53250"/>
      <c r="AY265" s="53251"/>
      <c r="AZ265" s="53251"/>
      <c r="BA265" s="53251"/>
      <c r="BB265" s="53251"/>
      <c r="BC265" s="53251"/>
      <c r="BD265" s="53252"/>
      <c r="BE265" s="53250"/>
      <c r="BF265" s="53251"/>
      <c r="BG265" s="53251"/>
      <c r="BH265" s="53251"/>
      <c r="BI265" s="53251"/>
      <c r="BJ265" s="53251"/>
      <c r="BK265" s="53252"/>
      <c r="BL265" s="53250"/>
      <c r="BM265" s="53251"/>
      <c r="BN265" s="53251"/>
      <c r="BO265" s="53251"/>
      <c r="BP265" s="53251"/>
      <c r="BQ265" s="53251"/>
      <c r="BR265" s="53252"/>
      <c r="BS265" s="53250"/>
      <c r="BT265" s="53251"/>
      <c r="BU265" s="53251"/>
      <c r="BV265" s="53251"/>
      <c r="BW265" s="53251"/>
      <c r="BX265" s="53251"/>
      <c r="BY265" s="53252"/>
      <c r="BZ265" s="53250"/>
      <c r="CA265" s="53251"/>
      <c r="CB265" s="53251"/>
      <c r="CC265" s="53251"/>
      <c r="CD265" s="53251"/>
      <c r="CE265" s="53251"/>
      <c r="CF265" s="53252"/>
      <c r="CG265" s="53250"/>
      <c r="CH265" s="53251"/>
      <c r="CI265" s="53251"/>
      <c r="CJ265" s="53251"/>
      <c r="CK265" s="53251"/>
      <c r="CL265" s="53251"/>
      <c r="CM265" s="53252"/>
      <c r="CN265" s="53250"/>
      <c r="CO265" s="53251"/>
      <c r="CP265" s="53251"/>
      <c r="CQ265" s="53251"/>
      <c r="CR265" s="53251"/>
      <c r="CS265" s="53251"/>
      <c r="CT265" s="53252"/>
      <c r="CU265" s="53252"/>
      <c r="CV265" s="53253" t="s">
        <v>600</v>
      </c>
      <c r="CW265" s="53254"/>
      <c r="CX265" s="53255"/>
      <c r="CY265" s="53255" t="str">
        <f>IF(T265="","",T265)</f>
        <v>Группа потребителей</v>
      </c>
      <c r="CZ265" s="53255"/>
      <c r="DA265" s="53255"/>
      <c r="DB265" s="53256">
        <v>0</v>
      </c>
    </row>
    <row s="53951" customFormat="1" customHeight="1" ht="23.25">
      <c r="A266" s="53238"/>
      <c r="B266" s="53238"/>
      <c r="C266" s="53238"/>
      <c r="D266" s="53238"/>
      <c r="E266" s="53239"/>
      <c r="F266" s="53239"/>
      <c r="G266" s="53239"/>
      <c r="H266" s="53239"/>
      <c r="I266" s="53240"/>
      <c r="J266" s="53240" t="str">
        <f>I260&amp;".1"</f>
        <v>1.13.1.1.1</v>
      </c>
      <c r="K266" s="53241" t="str">
        <f>J265&amp;".1"</f>
        <v>1.13.1.1.2.1</v>
      </c>
      <c r="L266" s="53242"/>
      <c r="M266" s="53243"/>
      <c r="N266" s="53243"/>
      <c r="O266" s="53243"/>
      <c r="P266" s="53244"/>
      <c r="Q266" s="53244"/>
      <c r="R266" s="53246">
        <v>1</v>
      </c>
      <c r="S266" s="53247" t="str">
        <f>$K266</f>
        <v>1.13.1.1.2.1</v>
      </c>
      <c r="T266" s="53258"/>
      <c r="U266" s="53249"/>
      <c r="V266" s="53259"/>
      <c r="W266" s="53259"/>
      <c r="X266" s="53260"/>
      <c r="Y266" s="53152"/>
      <c r="Z266" s="53261" t="s">
        <v>63</v>
      </c>
      <c r="AA266" s="53152"/>
      <c r="AB266" s="53261" t="s">
        <v>63</v>
      </c>
      <c r="AC266" s="53259">
        <v>18.56</v>
      </c>
      <c r="AD266" s="53259"/>
      <c r="AE266" s="53260"/>
      <c r="AF266" s="53152">
        <v>45292.4624537037</v>
      </c>
      <c r="AG266" s="53261" t="s">
        <v>63</v>
      </c>
      <c r="AH266" s="53153">
        <v>45473.462592592594</v>
      </c>
      <c r="AI266" s="53261" t="s">
        <v>63</v>
      </c>
      <c r="AJ266" s="53259">
        <v>24.12</v>
      </c>
      <c r="AK266" s="53259"/>
      <c r="AL266" s="53260"/>
      <c r="AM266" s="53152">
        <v>45474.46275462963</v>
      </c>
      <c r="AN266" s="53261" t="s">
        <v>63</v>
      </c>
      <c r="AO266" s="53152">
        <v>45657.46287037037</v>
      </c>
      <c r="AP266" s="53261" t="s">
        <v>63</v>
      </c>
      <c r="AQ266" s="53259">
        <v>24.12</v>
      </c>
      <c r="AR266" s="53259"/>
      <c r="AS266" s="53260"/>
      <c r="AT266" s="53152">
        <v>45658.46295138889</v>
      </c>
      <c r="AU266" s="53261" t="s">
        <v>63</v>
      </c>
      <c r="AV266" s="53152">
        <v>45838.463171296295</v>
      </c>
      <c r="AW266" s="53261" t="s">
        <v>63</v>
      </c>
      <c r="AX266" s="53259">
        <v>29.99</v>
      </c>
      <c r="AY266" s="53259"/>
      <c r="AZ266" s="53260"/>
      <c r="BA266" s="53152">
        <v>45839.46333333333</v>
      </c>
      <c r="BB266" s="53261" t="s">
        <v>63</v>
      </c>
      <c r="BC266" s="53152">
        <v>46022.463541666664</v>
      </c>
      <c r="BD266" s="53261" t="s">
        <v>63</v>
      </c>
      <c r="BE266" s="53259">
        <v>29.99</v>
      </c>
      <c r="BF266" s="53259"/>
      <c r="BG266" s="53260"/>
      <c r="BH266" s="53152">
        <v>46023.46377314815</v>
      </c>
      <c r="BI266" s="53261" t="s">
        <v>63</v>
      </c>
      <c r="BJ266" s="53152">
        <v>46203.46396990741</v>
      </c>
      <c r="BK266" s="53261" t="s">
        <v>63</v>
      </c>
      <c r="BL266" s="53259">
        <v>30.89</v>
      </c>
      <c r="BM266" s="53259"/>
      <c r="BN266" s="53260"/>
      <c r="BO266" s="53152">
        <v>46204.46435185185</v>
      </c>
      <c r="BP266" s="53261" t="s">
        <v>63</v>
      </c>
      <c r="BQ266" s="53152">
        <v>46387.464525462965</v>
      </c>
      <c r="BR266" s="53261" t="s">
        <v>63</v>
      </c>
      <c r="BS266" s="53259">
        <v>27.4</v>
      </c>
      <c r="BT266" s="53259"/>
      <c r="BU266" s="53260"/>
      <c r="BV266" s="53152">
        <v>46388.464733796296</v>
      </c>
      <c r="BW266" s="53261" t="s">
        <v>63</v>
      </c>
      <c r="BX266" s="53152">
        <v>46568.46505787037</v>
      </c>
      <c r="BY266" s="53261" t="s">
        <v>63</v>
      </c>
      <c r="BZ266" s="53259">
        <v>27.43</v>
      </c>
      <c r="CA266" s="53259"/>
      <c r="CB266" s="53260"/>
      <c r="CC266" s="53152">
        <v>46569.465416666666</v>
      </c>
      <c r="CD266" s="53261" t="s">
        <v>63</v>
      </c>
      <c r="CE266" s="53152">
        <v>46752.46559027778</v>
      </c>
      <c r="CF266" s="53261" t="s">
        <v>63</v>
      </c>
      <c r="CG266" s="53259">
        <v>27.43</v>
      </c>
      <c r="CH266" s="53259"/>
      <c r="CI266" s="53260"/>
      <c r="CJ266" s="53152">
        <v>46753.46585648148</v>
      </c>
      <c r="CK266" s="53261" t="s">
        <v>63</v>
      </c>
      <c r="CL266" s="53152">
        <v>46934.46613425926</v>
      </c>
      <c r="CM266" s="53261" t="s">
        <v>63</v>
      </c>
      <c r="CN266" s="53259">
        <v>29.09</v>
      </c>
      <c r="CO266" s="53259"/>
      <c r="CP266" s="53260"/>
      <c r="CQ266" s="53152">
        <v>46935.46643518518</v>
      </c>
      <c r="CR266" s="53261" t="s">
        <v>63</v>
      </c>
      <c r="CS266" s="53152">
        <v>47118.46662037037</v>
      </c>
      <c r="CT266" s="53261" t="s">
        <v>63</v>
      </c>
      <c r="CU266" s="53262"/>
      <c r="CV266" s="5326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266" s="53254">
        <f>STRCHECKDATE(V267:CU267)</f>
      </c>
      <c r="CX266" s="53255"/>
      <c r="CY266" s="53255" t="str">
        <f>IF(T266="","",T266)</f>
        <v/>
      </c>
      <c r="CZ266" s="53255"/>
      <c r="DA266" s="53255"/>
      <c r="DB266" s="53256">
        <v>0</v>
      </c>
    </row>
    <row s="53952" customFormat="1" customHeight="1" ht="14.25">
      <c r="A267" s="53238"/>
      <c r="B267" s="53238"/>
      <c r="C267" s="53238"/>
      <c r="D267" s="53238"/>
      <c r="E267" s="53239"/>
      <c r="F267" s="53239"/>
      <c r="G267" s="53239"/>
      <c r="H267" s="53239"/>
      <c r="I267" s="53240"/>
      <c r="J267" s="53240" t="str">
        <f>I260&amp;".1"</f>
        <v>1.13.1.1.1</v>
      </c>
      <c r="K267" s="53241"/>
      <c r="L267" s="53242"/>
      <c r="M267" s="53243"/>
      <c r="N267" s="53243"/>
      <c r="O267" s="53243"/>
      <c r="P267" s="53244"/>
      <c r="Q267" s="53244"/>
      <c r="R267" s="53246"/>
      <c r="S267" s="53265"/>
      <c r="T267" s="53249"/>
      <c r="U267" s="53249"/>
      <c r="V267" s="53266"/>
      <c r="W267" s="53266"/>
      <c r="X267" s="53267" t="str">
        <f>Y266&amp;"-"&amp;AA266</f>
        <v>-</v>
      </c>
      <c r="Y267" s="53268"/>
      <c r="Z267" s="53261"/>
      <c r="AA267" s="53268"/>
      <c r="AB267" s="53261"/>
      <c r="AC267" s="53266"/>
      <c r="AD267" s="53266"/>
      <c r="AE267" s="53267" t="str">
        <f>AF266&amp;"-"&amp;AH266</f>
        <v>45292.4624537037-45473.462592592594</v>
      </c>
      <c r="AF267" s="53268"/>
      <c r="AG267" s="53261"/>
      <c r="AH267" s="53269"/>
      <c r="AI267" s="53261"/>
      <c r="AJ267" s="53266"/>
      <c r="AK267" s="53266"/>
      <c r="AL267" s="53267" t="str">
        <f>AM266&amp;"-"&amp;AO266</f>
        <v>45474.46275462963-45657.46287037037</v>
      </c>
      <c r="AM267" s="53268"/>
      <c r="AN267" s="53261"/>
      <c r="AO267" s="53268"/>
      <c r="AP267" s="53261"/>
      <c r="AQ267" s="53266"/>
      <c r="AR267" s="53266"/>
      <c r="AS267" s="53267" t="str">
        <f>AT266&amp;"-"&amp;AV266</f>
        <v>45658.46295138889-45838.463171296295</v>
      </c>
      <c r="AT267" s="53268"/>
      <c r="AU267" s="53261"/>
      <c r="AV267" s="53268"/>
      <c r="AW267" s="53261"/>
      <c r="AX267" s="53266"/>
      <c r="AY267" s="53266"/>
      <c r="AZ267" s="53267" t="str">
        <f>BA266&amp;"-"&amp;BC266</f>
        <v>45839.46333333333-46022.463541666664</v>
      </c>
      <c r="BA267" s="53268"/>
      <c r="BB267" s="53261"/>
      <c r="BC267" s="53268"/>
      <c r="BD267" s="53261"/>
      <c r="BE267" s="53266"/>
      <c r="BF267" s="53266"/>
      <c r="BG267" s="53267" t="str">
        <f>BH266&amp;"-"&amp;BJ266</f>
        <v>46023.46377314815-46203.46396990741</v>
      </c>
      <c r="BH267" s="53268"/>
      <c r="BI267" s="53261"/>
      <c r="BJ267" s="53268"/>
      <c r="BK267" s="53261"/>
      <c r="BL267" s="53266"/>
      <c r="BM267" s="53266"/>
      <c r="BN267" s="53267" t="str">
        <f>BO266&amp;"-"&amp;BQ266</f>
        <v>46204.46435185185-46387.464525462965</v>
      </c>
      <c r="BO267" s="53268"/>
      <c r="BP267" s="53261"/>
      <c r="BQ267" s="53268"/>
      <c r="BR267" s="53261"/>
      <c r="BS267" s="53266"/>
      <c r="BT267" s="53266"/>
      <c r="BU267" s="53267" t="str">
        <f>BV266&amp;"-"&amp;BX266</f>
        <v>46388.464733796296-46568.46505787037</v>
      </c>
      <c r="BV267" s="53268"/>
      <c r="BW267" s="53261"/>
      <c r="BX267" s="53268"/>
      <c r="BY267" s="53261"/>
      <c r="BZ267" s="53266"/>
      <c r="CA267" s="53266"/>
      <c r="CB267" s="53267" t="str">
        <f>CC266&amp;"-"&amp;CE266</f>
        <v>46569.465416666666-46752.46559027778</v>
      </c>
      <c r="CC267" s="53268"/>
      <c r="CD267" s="53261"/>
      <c r="CE267" s="53268"/>
      <c r="CF267" s="53261"/>
      <c r="CG267" s="53266"/>
      <c r="CH267" s="53266"/>
      <c r="CI267" s="53267" t="str">
        <f>CJ266&amp;"-"&amp;CL266</f>
        <v>46753.46585648148-46934.46613425926</v>
      </c>
      <c r="CJ267" s="53268"/>
      <c r="CK267" s="53261"/>
      <c r="CL267" s="53268"/>
      <c r="CM267" s="53261"/>
      <c r="CN267" s="53266"/>
      <c r="CO267" s="53266"/>
      <c r="CP267" s="53267" t="str">
        <f>CQ266&amp;"-"&amp;CS266</f>
        <v>46935.46643518518-47118.46662037037</v>
      </c>
      <c r="CQ267" s="53268"/>
      <c r="CR267" s="53261"/>
      <c r="CS267" s="53268"/>
      <c r="CT267" s="53261"/>
      <c r="CU267" s="53270"/>
      <c r="CV267" s="53263"/>
      <c r="CW267" s="53254"/>
      <c r="CX267" s="53255"/>
      <c r="CY267" s="53255" t="str">
        <f>IF(T267="","",T267)</f>
        <v/>
      </c>
      <c r="CZ267" s="53255"/>
      <c r="DA267" s="53255"/>
      <c r="DB267" s="53256">
        <v>0</v>
      </c>
    </row>
    <row s="53953" customFormat="1" customHeight="1" ht="21">
      <c r="A268" s="53238"/>
      <c r="B268" s="53238"/>
      <c r="C268" s="53238"/>
      <c r="D268" s="53238"/>
      <c r="E268" s="53239"/>
      <c r="F268" s="53239"/>
      <c r="G268" s="53239"/>
      <c r="H268" s="53239"/>
      <c r="I268" s="53240"/>
      <c r="J268" s="53241" t="str">
        <f>I260&amp;".1"</f>
        <v>1.13.1.1.1</v>
      </c>
      <c r="K268" s="53238"/>
      <c r="L268" s="53242"/>
      <c r="M268" s="53243"/>
      <c r="N268" s="53243"/>
      <c r="O268" s="53243"/>
      <c r="P268" s="53244"/>
      <c r="Q268" s="53244"/>
      <c r="R268" s="53272"/>
      <c r="S268" s="53954"/>
      <c r="T268" s="53955" t="s">
        <v>601</v>
      </c>
      <c r="U268" s="53956"/>
      <c r="V268" s="53957"/>
      <c r="W268" s="53958"/>
      <c r="X268" s="53959"/>
      <c r="Y268" s="53960"/>
      <c r="Z268" s="53961"/>
      <c r="AA268" s="53962"/>
      <c r="AB268" s="53963"/>
      <c r="AC268" s="53964"/>
      <c r="AD268" s="53965"/>
      <c r="AE268" s="53966"/>
      <c r="AF268" s="53967"/>
      <c r="AG268" s="53968"/>
      <c r="AH268" s="53969"/>
      <c r="AI268" s="53970"/>
      <c r="AJ268" s="53971"/>
      <c r="AK268" s="53972"/>
      <c r="AL268" s="53973"/>
      <c r="AM268" s="53974"/>
      <c r="AN268" s="53975"/>
      <c r="AO268" s="53976"/>
      <c r="AP268" s="53977"/>
      <c r="AQ268" s="53978"/>
      <c r="AR268" s="53979"/>
      <c r="AS268" s="53980"/>
      <c r="AT268" s="53981"/>
      <c r="AU268" s="53982"/>
      <c r="AV268" s="53983"/>
      <c r="AW268" s="53984"/>
      <c r="AX268" s="53985"/>
      <c r="AY268" s="53986"/>
      <c r="AZ268" s="53987"/>
      <c r="BA268" s="53988"/>
      <c r="BB268" s="53989"/>
      <c r="BC268" s="53990"/>
      <c r="BD268" s="53991"/>
      <c r="BE268" s="53992"/>
      <c r="BF268" s="53993"/>
      <c r="BG268" s="53994"/>
      <c r="BH268" s="53995"/>
      <c r="BI268" s="53996"/>
      <c r="BJ268" s="53997"/>
      <c r="BK268" s="53998"/>
      <c r="BL268" s="53999"/>
      <c r="BM268" s="54000"/>
      <c r="BN268" s="54001"/>
      <c r="BO268" s="54002"/>
      <c r="BP268" s="54003"/>
      <c r="BQ268" s="54004"/>
      <c r="BR268" s="54005"/>
      <c r="BS268" s="54006"/>
      <c r="BT268" s="54007"/>
      <c r="BU268" s="54008"/>
      <c r="BV268" s="54009"/>
      <c r="BW268" s="54010"/>
      <c r="BX268" s="54011"/>
      <c r="BY268" s="54012"/>
      <c r="BZ268" s="54013"/>
      <c r="CA268" s="54014"/>
      <c r="CB268" s="54015"/>
      <c r="CC268" s="54016"/>
      <c r="CD268" s="54017"/>
      <c r="CE268" s="54018"/>
      <c r="CF268" s="54019"/>
      <c r="CG268" s="54020"/>
      <c r="CH268" s="54021"/>
      <c r="CI268" s="54022"/>
      <c r="CJ268" s="54023"/>
      <c r="CK268" s="54024"/>
      <c r="CL268" s="54025"/>
      <c r="CM268" s="54026"/>
      <c r="CN268" s="54027"/>
      <c r="CO268" s="54028"/>
      <c r="CP268" s="54029"/>
      <c r="CQ268" s="54030"/>
      <c r="CR268" s="54031"/>
      <c r="CS268" s="54032"/>
      <c r="CT268" s="54033"/>
      <c r="CU268" s="54034"/>
      <c r="CV268" s="53354" t="s">
        <v>602</v>
      </c>
      <c r="CW268" s="53254"/>
      <c r="CX268" s="53255"/>
      <c r="CY268" s="53255" t="str">
        <f>IF(T268="","",T268)</f>
        <v>Добавить значение признака дифференциации</v>
      </c>
      <c r="CZ268" s="53255"/>
      <c r="DA268" s="53255"/>
      <c r="DB268" s="53256">
        <v>0</v>
      </c>
    </row>
    <row s="54035" customFormat="1" customHeight="1" ht="21">
      <c r="A269" s="16967"/>
      <c r="B269" s="16967"/>
      <c r="C269" s="16967"/>
      <c r="D269" s="16967"/>
      <c r="E269" s="16968"/>
      <c r="F269" s="16968" t="s">
        <v>154</v>
      </c>
      <c r="G269" s="16968"/>
      <c r="H269" s="16968"/>
      <c r="I269" s="16989"/>
      <c r="J269" s="16967"/>
      <c r="K269" s="16967"/>
      <c r="L269" s="16970"/>
      <c r="M269" s="16990"/>
      <c r="N269" s="16990"/>
      <c r="O269" s="16990"/>
      <c r="P269" s="16991"/>
      <c r="Q269" s="16991"/>
      <c r="R269" s="16992"/>
      <c r="S269" s="20612"/>
      <c r="T269" s="20613" t="s">
        <v>530</v>
      </c>
      <c r="U269" s="20614"/>
      <c r="V269" s="20615"/>
      <c r="W269" s="20616"/>
      <c r="X269" s="20617"/>
      <c r="Y269" s="20618"/>
      <c r="Z269" s="20619"/>
      <c r="AA269" s="20620"/>
      <c r="AB269" s="20621"/>
      <c r="AC269" s="20622"/>
      <c r="AD269" s="20623"/>
      <c r="AE269" s="20624"/>
      <c r="AF269" s="20625"/>
      <c r="AG269" s="20626"/>
      <c r="AH269" s="20627"/>
      <c r="AI269" s="20628"/>
      <c r="AJ269" s="20629"/>
      <c r="AK269" s="20630"/>
      <c r="AL269" s="20631"/>
      <c r="AM269" s="20632"/>
      <c r="AN269" s="20633"/>
      <c r="AO269" s="20634"/>
      <c r="AP269" s="20635"/>
      <c r="AQ269" s="20636"/>
      <c r="AR269" s="20637"/>
      <c r="AS269" s="20638"/>
      <c r="AT269" s="20639"/>
      <c r="AU269" s="20640"/>
      <c r="AV269" s="20641"/>
      <c r="AW269" s="20642"/>
      <c r="AX269" s="20643"/>
      <c r="AY269" s="20644"/>
      <c r="AZ269" s="20645"/>
      <c r="BA269" s="20646"/>
      <c r="BB269" s="20647"/>
      <c r="BC269" s="20648"/>
      <c r="BD269" s="20649"/>
      <c r="BE269" s="20650"/>
      <c r="BF269" s="20651"/>
      <c r="BG269" s="20652"/>
      <c r="BH269" s="20653"/>
      <c r="BI269" s="20654"/>
      <c r="BJ269" s="20655"/>
      <c r="BK269" s="20656"/>
      <c r="BL269" s="20657"/>
      <c r="BM269" s="20658"/>
      <c r="BN269" s="20659"/>
      <c r="BO269" s="20660"/>
      <c r="BP269" s="20661"/>
      <c r="BQ269" s="20662"/>
      <c r="BR269" s="20663"/>
      <c r="BS269" s="20664"/>
      <c r="BT269" s="20665"/>
      <c r="BU269" s="20666"/>
      <c r="BV269" s="20667"/>
      <c r="BW269" s="20668"/>
      <c r="BX269" s="20669"/>
      <c r="BY269" s="20670"/>
      <c r="BZ269" s="20671"/>
      <c r="CA269" s="20672"/>
      <c r="CB269" s="20673"/>
      <c r="CC269" s="20674"/>
      <c r="CD269" s="20675"/>
      <c r="CE269" s="20676"/>
      <c r="CF269" s="20677"/>
      <c r="CG269" s="20678"/>
      <c r="CH269" s="20679"/>
      <c r="CI269" s="20680"/>
      <c r="CJ269" s="20681"/>
      <c r="CK269" s="20682"/>
      <c r="CL269" s="20683"/>
      <c r="CM269" s="20684"/>
      <c r="CN269" s="28300"/>
      <c r="CO269" s="28301"/>
      <c r="CP269" s="28302"/>
      <c r="CQ269" s="28303"/>
      <c r="CR269" s="28304"/>
      <c r="CS269" s="28305"/>
      <c r="CT269" s="28306"/>
      <c r="CU269" s="20685"/>
      <c r="CV269" s="20686"/>
      <c r="CW269" s="16982"/>
      <c r="CX269" s="16983"/>
      <c r="CY269" s="16983" t="str">
        <f>IF(T269="","",T269)</f>
        <v>Добавить группу потребителей</v>
      </c>
      <c r="CZ269" s="16983"/>
      <c r="DA269" s="16983"/>
      <c r="DB269" s="16984">
        <v>0</v>
      </c>
    </row>
    <row s="54118" customFormat="1" customHeight="1" ht="21">
      <c r="A270" s="16967"/>
      <c r="B270" s="16967"/>
      <c r="C270" s="16967"/>
      <c r="D270" s="16967"/>
      <c r="E270" s="16968"/>
      <c r="F270" s="16968" t="s">
        <v>154</v>
      </c>
      <c r="G270" s="16968"/>
      <c r="H270" s="16969"/>
      <c r="I270" s="16967"/>
      <c r="J270" s="16967"/>
      <c r="K270" s="16967"/>
      <c r="L270" s="16970"/>
      <c r="M270" s="16971"/>
      <c r="N270" s="16971"/>
      <c r="O270" s="17174"/>
      <c r="P270" s="17175"/>
      <c r="Q270" s="17176"/>
      <c r="R270" s="17177"/>
      <c r="S270" s="20688"/>
      <c r="T270" s="20689" t="s">
        <v>603</v>
      </c>
      <c r="U270" s="20690"/>
      <c r="V270" s="20691"/>
      <c r="W270" s="20692"/>
      <c r="X270" s="20693"/>
      <c r="Y270" s="20694"/>
      <c r="Z270" s="20695"/>
      <c r="AA270" s="20696"/>
      <c r="AB270" s="20697"/>
      <c r="AC270" s="20698"/>
      <c r="AD270" s="20699"/>
      <c r="AE270" s="20700"/>
      <c r="AF270" s="20701"/>
      <c r="AG270" s="20702"/>
      <c r="AH270" s="20703"/>
      <c r="AI270" s="20704"/>
      <c r="AJ270" s="20705"/>
      <c r="AK270" s="20706"/>
      <c r="AL270" s="20707"/>
      <c r="AM270" s="20708"/>
      <c r="AN270" s="20709"/>
      <c r="AO270" s="20710"/>
      <c r="AP270" s="20711"/>
      <c r="AQ270" s="20712"/>
      <c r="AR270" s="20713"/>
      <c r="AS270" s="20714"/>
      <c r="AT270" s="20715"/>
      <c r="AU270" s="20716"/>
      <c r="AV270" s="20717"/>
      <c r="AW270" s="20718"/>
      <c r="AX270" s="20719"/>
      <c r="AY270" s="20720"/>
      <c r="AZ270" s="20721"/>
      <c r="BA270" s="20722"/>
      <c r="BB270" s="20723"/>
      <c r="BC270" s="20724"/>
      <c r="BD270" s="20725"/>
      <c r="BE270" s="20726"/>
      <c r="BF270" s="20727"/>
      <c r="BG270" s="20728"/>
      <c r="BH270" s="20729"/>
      <c r="BI270" s="20730"/>
      <c r="BJ270" s="20731"/>
      <c r="BK270" s="20732"/>
      <c r="BL270" s="20733"/>
      <c r="BM270" s="20734"/>
      <c r="BN270" s="20735"/>
      <c r="BO270" s="20736"/>
      <c r="BP270" s="20737"/>
      <c r="BQ270" s="20738"/>
      <c r="BR270" s="20739"/>
      <c r="BS270" s="20740"/>
      <c r="BT270" s="20741"/>
      <c r="BU270" s="20742"/>
      <c r="BV270" s="20743"/>
      <c r="BW270" s="20744"/>
      <c r="BX270" s="20745"/>
      <c r="BY270" s="20746"/>
      <c r="BZ270" s="20747"/>
      <c r="CA270" s="20748"/>
      <c r="CB270" s="20749"/>
      <c r="CC270" s="20750"/>
      <c r="CD270" s="20751"/>
      <c r="CE270" s="20752"/>
      <c r="CF270" s="20753"/>
      <c r="CG270" s="20754"/>
      <c r="CH270" s="20755"/>
      <c r="CI270" s="20756"/>
      <c r="CJ270" s="20757"/>
      <c r="CK270" s="20758"/>
      <c r="CL270" s="20759"/>
      <c r="CM270" s="20760"/>
      <c r="CN270" s="28383"/>
      <c r="CO270" s="28384"/>
      <c r="CP270" s="28385"/>
      <c r="CQ270" s="28386"/>
      <c r="CR270" s="28387"/>
      <c r="CS270" s="28388"/>
      <c r="CT270" s="28389"/>
      <c r="CU270" s="20761"/>
      <c r="CV270" s="20762"/>
      <c r="CW270" s="16982"/>
      <c r="CX270" s="16983"/>
      <c r="CY270" s="16983" t="str">
        <f>IF(T270="","",T270)</f>
        <v>Добавить наименование признака дифференциации</v>
      </c>
      <c r="CZ270" s="16983"/>
      <c r="DA270" s="16983"/>
      <c r="DB270" s="16984">
        <v>0</v>
      </c>
    </row>
    <row s="54201" customFormat="1" customHeight="1" ht="23.25">
      <c r="A271" s="16967"/>
      <c r="B271" s="16967"/>
      <c r="C271" s="16967" t="s">
        <v>383</v>
      </c>
      <c r="D271" s="16967"/>
      <c r="E271" s="16968"/>
      <c r="F271" s="16968"/>
      <c r="G271" s="16969" t="s">
        <v>105</v>
      </c>
      <c r="H271" s="16967"/>
      <c r="I271" s="16967"/>
      <c r="J271" s="16967"/>
      <c r="K271" s="16967"/>
      <c r="L271" s="16970"/>
      <c r="M271" s="16971"/>
      <c r="N271" s="16971"/>
      <c r="O271" s="16971"/>
      <c r="P271" s="16986"/>
      <c r="Q271" s="16973"/>
      <c r="R271" s="16974"/>
      <c r="S271" s="16975" t="str">
        <f>INDEX(PT_DIFFERENTIATION_NUM_CS,MATCH(C271,PT_DIFFERENTIATION_CS_ID,0))</f>
        <v>1.13.2</v>
      </c>
      <c r="T271" s="16987" t="s">
        <v>631</v>
      </c>
      <c r="U271" s="16977"/>
      <c r="V271" s="16978"/>
      <c r="W271" s="16979"/>
      <c r="X271" s="16979"/>
      <c r="Y271" s="16979"/>
      <c r="Z271" s="16979"/>
      <c r="AA271" s="16979"/>
      <c r="AB271" s="16980"/>
      <c r="AC271" s="16978" t="str">
        <f>INDEX(PT_DIFFERENTIATION_CS,MATCH(C271,PT_DIFFERENTIATION_CS_ID,0))</f>
        <v>ГО ЗАТО г. Фокино (пгт. Путятин)</v>
      </c>
      <c r="AD271" s="16979"/>
      <c r="AE271" s="16979"/>
      <c r="AF271" s="16979"/>
      <c r="AG271" s="16979"/>
      <c r="AH271" s="16979"/>
      <c r="AI271" s="16979"/>
      <c r="AJ271" s="16978"/>
      <c r="AK271" s="16979"/>
      <c r="AL271" s="16979"/>
      <c r="AM271" s="16979"/>
      <c r="AN271" s="16979"/>
      <c r="AO271" s="16979"/>
      <c r="AP271" s="16980"/>
      <c r="AQ271" s="16978"/>
      <c r="AR271" s="16979"/>
      <c r="AS271" s="16979"/>
      <c r="AT271" s="16979"/>
      <c r="AU271" s="16979"/>
      <c r="AV271" s="16979"/>
      <c r="AW271" s="16980"/>
      <c r="AX271" s="16978"/>
      <c r="AY271" s="16979"/>
      <c r="AZ271" s="16979"/>
      <c r="BA271" s="16979"/>
      <c r="BB271" s="16979"/>
      <c r="BC271" s="16979"/>
      <c r="BD271" s="16980"/>
      <c r="BE271" s="16978"/>
      <c r="BF271" s="16979"/>
      <c r="BG271" s="16979"/>
      <c r="BH271" s="16979"/>
      <c r="BI271" s="16979"/>
      <c r="BJ271" s="16979"/>
      <c r="BK271" s="16980"/>
      <c r="BL271" s="16978"/>
      <c r="BM271" s="16979"/>
      <c r="BN271" s="16979"/>
      <c r="BO271" s="16979"/>
      <c r="BP271" s="16979"/>
      <c r="BQ271" s="16979"/>
      <c r="BR271" s="16980"/>
      <c r="BS271" s="16978"/>
      <c r="BT271" s="16979"/>
      <c r="BU271" s="16979"/>
      <c r="BV271" s="16979"/>
      <c r="BW271" s="16979"/>
      <c r="BX271" s="16979"/>
      <c r="BY271" s="16980"/>
      <c r="BZ271" s="16978"/>
      <c r="CA271" s="16979"/>
      <c r="CB271" s="16979"/>
      <c r="CC271" s="16979"/>
      <c r="CD271" s="16979"/>
      <c r="CE271" s="16979"/>
      <c r="CF271" s="16980"/>
      <c r="CG271" s="16978"/>
      <c r="CH271" s="16979"/>
      <c r="CI271" s="16979"/>
      <c r="CJ271" s="16979"/>
      <c r="CK271" s="16979"/>
      <c r="CL271" s="16979"/>
      <c r="CM271" s="16980"/>
      <c r="CN271" s="23679"/>
      <c r="CO271" s="23680"/>
      <c r="CP271" s="23680"/>
      <c r="CQ271" s="23680"/>
      <c r="CR271" s="23680"/>
      <c r="CS271" s="23680"/>
      <c r="CT271" s="23681"/>
      <c r="CU271" s="16980"/>
      <c r="CV271" s="16981" t="s">
        <v>632</v>
      </c>
      <c r="CW271" s="16982"/>
      <c r="CX271" s="16983"/>
      <c r="CY271" s="16983" t="str">
        <f>IF(T271="","",T271)</f>
        <v>Наименование централизованной системы водоотведения</v>
      </c>
      <c r="CZ271" s="16983"/>
      <c r="DA271" s="16983"/>
      <c r="DB271" s="16984">
        <v>0</v>
      </c>
    </row>
    <row s="54202" customFormat="1" customHeight="1" ht="23.25">
      <c r="A272" s="16967"/>
      <c r="B272" s="16967"/>
      <c r="C272" s="16967"/>
      <c r="D272" s="16967"/>
      <c r="E272" s="16968"/>
      <c r="F272" s="16968"/>
      <c r="G272" s="16968">
        <v>1</v>
      </c>
      <c r="H272" s="16968"/>
      <c r="I272" s="16989" t="str">
        <f>S271&amp;".1"</f>
        <v>1.13.2.1</v>
      </c>
      <c r="J272" s="16967"/>
      <c r="K272" s="16967"/>
      <c r="L272" s="16970"/>
      <c r="M272" s="16990"/>
      <c r="N272" s="16990"/>
      <c r="O272" s="16990"/>
      <c r="P272" s="16991">
        <v>1</v>
      </c>
      <c r="Q272" s="16991"/>
      <c r="R272" s="16992"/>
      <c r="S272" s="16975" t="str">
        <f>$I272</f>
        <v>1.13.2.1</v>
      </c>
      <c r="T272" s="16993" t="s">
        <v>598</v>
      </c>
      <c r="U272" s="16977"/>
      <c r="V272" s="16994"/>
      <c r="W272" s="16995"/>
      <c r="X272" s="16995"/>
      <c r="Y272" s="16995"/>
      <c r="Z272" s="16995"/>
      <c r="AA272" s="16995"/>
      <c r="AB272" s="16996"/>
      <c r="AC272" s="16997"/>
      <c r="AD272" s="16998"/>
      <c r="AE272" s="16998"/>
      <c r="AF272" s="16998"/>
      <c r="AG272" s="16998"/>
      <c r="AH272" s="16998"/>
      <c r="AI272" s="16998"/>
      <c r="AJ272" s="16994"/>
      <c r="AK272" s="16995"/>
      <c r="AL272" s="16995"/>
      <c r="AM272" s="16995"/>
      <c r="AN272" s="16995"/>
      <c r="AO272" s="16995"/>
      <c r="AP272" s="16996"/>
      <c r="AQ272" s="16994"/>
      <c r="AR272" s="16995"/>
      <c r="AS272" s="16995"/>
      <c r="AT272" s="16995"/>
      <c r="AU272" s="16995"/>
      <c r="AV272" s="16995"/>
      <c r="AW272" s="16996"/>
      <c r="AX272" s="16994"/>
      <c r="AY272" s="16995"/>
      <c r="AZ272" s="16995"/>
      <c r="BA272" s="16995"/>
      <c r="BB272" s="16995"/>
      <c r="BC272" s="16995"/>
      <c r="BD272" s="16996"/>
      <c r="BE272" s="16994"/>
      <c r="BF272" s="16995"/>
      <c r="BG272" s="16995"/>
      <c r="BH272" s="16995"/>
      <c r="BI272" s="16995"/>
      <c r="BJ272" s="16995"/>
      <c r="BK272" s="16996"/>
      <c r="BL272" s="16994"/>
      <c r="BM272" s="16995"/>
      <c r="BN272" s="16995"/>
      <c r="BO272" s="16995"/>
      <c r="BP272" s="16995"/>
      <c r="BQ272" s="16995"/>
      <c r="BR272" s="16996"/>
      <c r="BS272" s="16994"/>
      <c r="BT272" s="16995"/>
      <c r="BU272" s="16995"/>
      <c r="BV272" s="16995"/>
      <c r="BW272" s="16995"/>
      <c r="BX272" s="16995"/>
      <c r="BY272" s="16996"/>
      <c r="BZ272" s="16994"/>
      <c r="CA272" s="16995"/>
      <c r="CB272" s="16995"/>
      <c r="CC272" s="16995"/>
      <c r="CD272" s="16995"/>
      <c r="CE272" s="16995"/>
      <c r="CF272" s="16996"/>
      <c r="CG272" s="16994"/>
      <c r="CH272" s="16995"/>
      <c r="CI272" s="16995"/>
      <c r="CJ272" s="16995"/>
      <c r="CK272" s="16995"/>
      <c r="CL272" s="16995"/>
      <c r="CM272" s="16996"/>
      <c r="CN272" s="23687"/>
      <c r="CO272" s="23688"/>
      <c r="CP272" s="23688"/>
      <c r="CQ272" s="23688"/>
      <c r="CR272" s="23688"/>
      <c r="CS272" s="23688"/>
      <c r="CT272" s="23689"/>
      <c r="CU272" s="16999"/>
      <c r="CV272" s="16981" t="s">
        <v>599</v>
      </c>
      <c r="CW272" s="16982"/>
      <c r="CX272" s="16983"/>
      <c r="CY272" s="16983" t="str">
        <f>IF(T272="","",T272)</f>
        <v>Наименование признака дифференциации</v>
      </c>
      <c r="CZ272" s="16983"/>
      <c r="DA272" s="16983"/>
      <c r="DB272" s="16984">
        <v>0</v>
      </c>
    </row>
    <row s="54203" customFormat="1" customHeight="1" ht="23.25">
      <c r="A273" s="16967"/>
      <c r="B273" s="16967"/>
      <c r="C273" s="16967"/>
      <c r="D273" s="16967"/>
      <c r="E273" s="16968"/>
      <c r="F273" s="16968"/>
      <c r="G273" s="16968">
        <v>1</v>
      </c>
      <c r="H273" s="16968"/>
      <c r="I273" s="17001"/>
      <c r="J273" s="16989" t="str">
        <f>I272&amp;".1"</f>
        <v>1.13.2.1.1</v>
      </c>
      <c r="K273" s="16967"/>
      <c r="L273" s="16970" t="s">
        <v>524</v>
      </c>
      <c r="M273" s="16990"/>
      <c r="N273" s="16990"/>
      <c r="O273" s="16990"/>
      <c r="P273" s="16991"/>
      <c r="Q273" s="16991">
        <v>1</v>
      </c>
      <c r="R273" s="17002"/>
      <c r="S273" s="16975" t="str">
        <f>$J273</f>
        <v>1.13.2.1.1</v>
      </c>
      <c r="T273" s="17003" t="s">
        <v>525</v>
      </c>
      <c r="U273" s="16977"/>
      <c r="V273" s="17004"/>
      <c r="W273" s="17005"/>
      <c r="X273" s="17005"/>
      <c r="Y273" s="17005"/>
      <c r="Z273" s="17005"/>
      <c r="AA273" s="17005"/>
      <c r="AB273" s="17006"/>
      <c r="AC273" s="17004" t="s">
        <v>636</v>
      </c>
      <c r="AD273" s="17005"/>
      <c r="AE273" s="17005"/>
      <c r="AF273" s="17005"/>
      <c r="AG273" s="17005"/>
      <c r="AH273" s="17005"/>
      <c r="AI273" s="17005"/>
      <c r="AJ273" s="17004"/>
      <c r="AK273" s="17005"/>
      <c r="AL273" s="17005"/>
      <c r="AM273" s="17005"/>
      <c r="AN273" s="17005"/>
      <c r="AO273" s="17005"/>
      <c r="AP273" s="17006"/>
      <c r="AQ273" s="17004"/>
      <c r="AR273" s="17005"/>
      <c r="AS273" s="17005"/>
      <c r="AT273" s="17005"/>
      <c r="AU273" s="17005"/>
      <c r="AV273" s="17005"/>
      <c r="AW273" s="17006"/>
      <c r="AX273" s="17004"/>
      <c r="AY273" s="17005"/>
      <c r="AZ273" s="17005"/>
      <c r="BA273" s="17005"/>
      <c r="BB273" s="17005"/>
      <c r="BC273" s="17005"/>
      <c r="BD273" s="17006"/>
      <c r="BE273" s="17004"/>
      <c r="BF273" s="17005"/>
      <c r="BG273" s="17005"/>
      <c r="BH273" s="17005"/>
      <c r="BI273" s="17005"/>
      <c r="BJ273" s="17005"/>
      <c r="BK273" s="17006"/>
      <c r="BL273" s="17004"/>
      <c r="BM273" s="17005"/>
      <c r="BN273" s="17005"/>
      <c r="BO273" s="17005"/>
      <c r="BP273" s="17005"/>
      <c r="BQ273" s="17005"/>
      <c r="BR273" s="17006"/>
      <c r="BS273" s="17004"/>
      <c r="BT273" s="17005"/>
      <c r="BU273" s="17005"/>
      <c r="BV273" s="17005"/>
      <c r="BW273" s="17005"/>
      <c r="BX273" s="17005"/>
      <c r="BY273" s="17006"/>
      <c r="BZ273" s="17004"/>
      <c r="CA273" s="17005"/>
      <c r="CB273" s="17005"/>
      <c r="CC273" s="17005"/>
      <c r="CD273" s="17005"/>
      <c r="CE273" s="17005"/>
      <c r="CF273" s="17006"/>
      <c r="CG273" s="17004"/>
      <c r="CH273" s="17005"/>
      <c r="CI273" s="17005"/>
      <c r="CJ273" s="17005"/>
      <c r="CK273" s="17005"/>
      <c r="CL273" s="17005"/>
      <c r="CM273" s="17006"/>
      <c r="CN273" s="23693"/>
      <c r="CO273" s="23694"/>
      <c r="CP273" s="23694"/>
      <c r="CQ273" s="23694"/>
      <c r="CR273" s="23694"/>
      <c r="CS273" s="23694"/>
      <c r="CT273" s="23695"/>
      <c r="CU273" s="17006"/>
      <c r="CV273" s="17007" t="s">
        <v>600</v>
      </c>
      <c r="CW273" s="16982"/>
      <c r="CX273" s="16983"/>
      <c r="CY273" s="16983" t="str">
        <f>IF(T273="","",T273)</f>
        <v>Группа потребителей</v>
      </c>
      <c r="CZ273" s="16983"/>
      <c r="DA273" s="16983"/>
      <c r="DB273" s="16984">
        <v>0</v>
      </c>
    </row>
    <row s="54204" customFormat="1" customHeight="1" ht="23.25">
      <c r="A274" s="16967"/>
      <c r="B274" s="16967"/>
      <c r="C274" s="16967"/>
      <c r="D274" s="16967"/>
      <c r="E274" s="16968"/>
      <c r="F274" s="16968"/>
      <c r="G274" s="16968">
        <v>1</v>
      </c>
      <c r="H274" s="16968"/>
      <c r="I274" s="17001"/>
      <c r="J274" s="17001"/>
      <c r="K274" s="16989" t="str">
        <f>J273&amp;".1"</f>
        <v>1.13.2.1.1.1</v>
      </c>
      <c r="L274" s="16970"/>
      <c r="M274" s="16990"/>
      <c r="N274" s="16990"/>
      <c r="O274" s="16990"/>
      <c r="P274" s="16991"/>
      <c r="Q274" s="16991"/>
      <c r="R274" s="17002">
        <v>1</v>
      </c>
      <c r="S274" s="16975" t="str">
        <f>$K274</f>
        <v>1.13.2.1.1.1</v>
      </c>
      <c r="T274" s="17009"/>
      <c r="U274" s="16977"/>
      <c r="V274" s="17010"/>
      <c r="W274" s="17010"/>
      <c r="X274" s="17011"/>
      <c r="Y274" s="16696"/>
      <c r="Z274" s="17012" t="s">
        <v>63</v>
      </c>
      <c r="AA274" s="16696"/>
      <c r="AB274" s="17012" t="s">
        <v>63</v>
      </c>
      <c r="AC274" s="17010">
        <v>25.4</v>
      </c>
      <c r="AD274" s="17010"/>
      <c r="AE274" s="17011"/>
      <c r="AF274" s="53152">
        <v>45292.47386574074</v>
      </c>
      <c r="AG274" s="17012" t="s">
        <v>63</v>
      </c>
      <c r="AH274" s="53153">
        <v>45473.47399305556</v>
      </c>
      <c r="AI274" s="17012" t="s">
        <v>63</v>
      </c>
      <c r="AJ274" s="17010">
        <v>33.02</v>
      </c>
      <c r="AK274" s="17010"/>
      <c r="AL274" s="17011"/>
      <c r="AM274" s="53152">
        <v>45474.474131944444</v>
      </c>
      <c r="AN274" s="17012" t="s">
        <v>63</v>
      </c>
      <c r="AO274" s="53152">
        <v>45657.474270833336</v>
      </c>
      <c r="AP274" s="17012" t="s">
        <v>63</v>
      </c>
      <c r="AQ274" s="17010">
        <v>33.02</v>
      </c>
      <c r="AR274" s="17010"/>
      <c r="AS274" s="17011"/>
      <c r="AT274" s="53152">
        <v>45658.47456018518</v>
      </c>
      <c r="AU274" s="17012" t="s">
        <v>63</v>
      </c>
      <c r="AV274" s="53152">
        <v>45838.474641203706</v>
      </c>
      <c r="AW274" s="17012" t="s">
        <v>63</v>
      </c>
      <c r="AX274" s="17010">
        <v>41.28</v>
      </c>
      <c r="AY274" s="17010"/>
      <c r="AZ274" s="17011"/>
      <c r="BA274" s="53152">
        <v>45839.47493055555</v>
      </c>
      <c r="BB274" s="17012" t="s">
        <v>63</v>
      </c>
      <c r="BC274" s="53152">
        <v>46022.47510416667</v>
      </c>
      <c r="BD274" s="17012" t="s">
        <v>63</v>
      </c>
      <c r="BE274" s="17010">
        <v>41.28</v>
      </c>
      <c r="BF274" s="17010"/>
      <c r="BG274" s="17011"/>
      <c r="BH274" s="53152">
        <v>46023.47524305555</v>
      </c>
      <c r="BI274" s="17012" t="s">
        <v>63</v>
      </c>
      <c r="BJ274" s="53152">
        <v>46203.475497685184</v>
      </c>
      <c r="BK274" s="17012" t="s">
        <v>63</v>
      </c>
      <c r="BL274" s="17010">
        <v>42.92</v>
      </c>
      <c r="BM274" s="17010"/>
      <c r="BN274" s="17011"/>
      <c r="BO274" s="53152">
        <v>46204.47587962963</v>
      </c>
      <c r="BP274" s="17012" t="s">
        <v>63</v>
      </c>
      <c r="BQ274" s="53152">
        <v>46387.47605324074</v>
      </c>
      <c r="BR274" s="17012" t="s">
        <v>63</v>
      </c>
      <c r="BS274" s="17010">
        <v>42.92</v>
      </c>
      <c r="BT274" s="17010"/>
      <c r="BU274" s="17011"/>
      <c r="BV274" s="53152">
        <v>46388.47619212963</v>
      </c>
      <c r="BW274" s="17012" t="s">
        <v>63</v>
      </c>
      <c r="BX274" s="53152">
        <v>46568.47635416667</v>
      </c>
      <c r="BY274" s="17012" t="s">
        <v>63</v>
      </c>
      <c r="BZ274" s="17010">
        <v>44.22</v>
      </c>
      <c r="CA274" s="17010"/>
      <c r="CB274" s="17011"/>
      <c r="CC274" s="53152">
        <v>46569.47667824074</v>
      </c>
      <c r="CD274" s="17012" t="s">
        <v>63</v>
      </c>
      <c r="CE274" s="53152">
        <v>46752.47696759259</v>
      </c>
      <c r="CF274" s="17012" t="s">
        <v>63</v>
      </c>
      <c r="CG274" s="17010">
        <v>44.22</v>
      </c>
      <c r="CH274" s="17010"/>
      <c r="CI274" s="17011"/>
      <c r="CJ274" s="53152">
        <v>46753.47751157408</v>
      </c>
      <c r="CK274" s="17012" t="s">
        <v>63</v>
      </c>
      <c r="CL274" s="53152">
        <v>46934.47773148148</v>
      </c>
      <c r="CM274" s="17012" t="s">
        <v>63</v>
      </c>
      <c r="CN274" s="23700">
        <v>45.37</v>
      </c>
      <c r="CO274" s="23700"/>
      <c r="CP274" s="23701"/>
      <c r="CQ274" s="53152">
        <v>46935.47819444445</v>
      </c>
      <c r="CR274" s="23703" t="s">
        <v>63</v>
      </c>
      <c r="CS274" s="53152">
        <v>47118.478541666664</v>
      </c>
      <c r="CT274" s="23703" t="s">
        <v>63</v>
      </c>
      <c r="CU274" s="17013"/>
      <c r="CV274" s="170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274" s="16982">
        <f>STRCHECKDATE(V275:CU275)</f>
      </c>
      <c r="CX274" s="16983"/>
      <c r="CY274" s="16983" t="str">
        <f>IF(T274="","",T274)</f>
        <v/>
      </c>
      <c r="CZ274" s="16983"/>
      <c r="DA274" s="16983"/>
      <c r="DB274" s="16984">
        <v>0</v>
      </c>
    </row>
    <row s="54205" customFormat="1" customHeight="1" ht="14.25">
      <c r="A275" s="16967"/>
      <c r="B275" s="16967"/>
      <c r="C275" s="16967"/>
      <c r="D275" s="16967"/>
      <c r="E275" s="16968"/>
      <c r="F275" s="16968"/>
      <c r="G275" s="16968">
        <v>1</v>
      </c>
      <c r="H275" s="16968"/>
      <c r="I275" s="17001"/>
      <c r="J275" s="17001"/>
      <c r="K275" s="16989"/>
      <c r="L275" s="16970"/>
      <c r="M275" s="16990"/>
      <c r="N275" s="16990"/>
      <c r="O275" s="16990"/>
      <c r="P275" s="16991"/>
      <c r="Q275" s="16991"/>
      <c r="R275" s="17002"/>
      <c r="S275" s="17016"/>
      <c r="T275" s="16977"/>
      <c r="U275" s="16977"/>
      <c r="V275" s="17017"/>
      <c r="W275" s="17017"/>
      <c r="X275" s="17018" t="str">
        <f>Y274&amp;"-"&amp;AA274</f>
        <v>-</v>
      </c>
      <c r="Y275" s="17019"/>
      <c r="Z275" s="17012"/>
      <c r="AA275" s="17019"/>
      <c r="AB275" s="17012"/>
      <c r="AC275" s="17017"/>
      <c r="AD275" s="17017"/>
      <c r="AE275" s="17018" t="str">
        <f>AF274&amp;"-"&amp;AH274</f>
        <v>45292.47386574074-45473.47399305556</v>
      </c>
      <c r="AF275" s="17019"/>
      <c r="AG275" s="17012"/>
      <c r="AH275" s="17020"/>
      <c r="AI275" s="17012"/>
      <c r="AJ275" s="17017"/>
      <c r="AK275" s="17017"/>
      <c r="AL275" s="17018" t="str">
        <f>AM274&amp;"-"&amp;AO274</f>
        <v>45474.474131944444-45657.474270833336</v>
      </c>
      <c r="AM275" s="17019"/>
      <c r="AN275" s="17012"/>
      <c r="AO275" s="17019"/>
      <c r="AP275" s="17012"/>
      <c r="AQ275" s="17017"/>
      <c r="AR275" s="17017"/>
      <c r="AS275" s="17018" t="str">
        <f>AT274&amp;"-"&amp;AV274</f>
        <v>45658.47456018518-45838.474641203706</v>
      </c>
      <c r="AT275" s="17019"/>
      <c r="AU275" s="17012"/>
      <c r="AV275" s="17019"/>
      <c r="AW275" s="17012"/>
      <c r="AX275" s="17017"/>
      <c r="AY275" s="17017"/>
      <c r="AZ275" s="17018" t="str">
        <f>BA274&amp;"-"&amp;BC274</f>
        <v>45839.47493055555-46022.47510416667</v>
      </c>
      <c r="BA275" s="17019"/>
      <c r="BB275" s="17012"/>
      <c r="BC275" s="17019"/>
      <c r="BD275" s="17012"/>
      <c r="BE275" s="17017"/>
      <c r="BF275" s="17017"/>
      <c r="BG275" s="17018" t="str">
        <f>BH274&amp;"-"&amp;BJ274</f>
        <v>46023.47524305555-46203.475497685184</v>
      </c>
      <c r="BH275" s="17019"/>
      <c r="BI275" s="17012"/>
      <c r="BJ275" s="17019"/>
      <c r="BK275" s="17012"/>
      <c r="BL275" s="17017"/>
      <c r="BM275" s="17017"/>
      <c r="BN275" s="17018" t="str">
        <f>BO274&amp;"-"&amp;BQ274</f>
        <v>46204.47587962963-46387.47605324074</v>
      </c>
      <c r="BO275" s="17019"/>
      <c r="BP275" s="17012"/>
      <c r="BQ275" s="17019"/>
      <c r="BR275" s="17012"/>
      <c r="BS275" s="17017"/>
      <c r="BT275" s="17017"/>
      <c r="BU275" s="17018" t="str">
        <f>BV274&amp;"-"&amp;BX274</f>
        <v>46388.47619212963-46568.47635416667</v>
      </c>
      <c r="BV275" s="17019"/>
      <c r="BW275" s="17012"/>
      <c r="BX275" s="17019"/>
      <c r="BY275" s="17012"/>
      <c r="BZ275" s="17017"/>
      <c r="CA275" s="17017"/>
      <c r="CB275" s="17018" t="str">
        <f>CC274&amp;"-"&amp;CE274</f>
        <v>46569.47667824074-46752.47696759259</v>
      </c>
      <c r="CC275" s="17019"/>
      <c r="CD275" s="17012"/>
      <c r="CE275" s="17019"/>
      <c r="CF275" s="17012"/>
      <c r="CG275" s="17017"/>
      <c r="CH275" s="17017"/>
      <c r="CI275" s="17018" t="str">
        <f>CJ274&amp;"-"&amp;CL274</f>
        <v>46753.47751157408-46934.47773148148</v>
      </c>
      <c r="CJ275" s="17019"/>
      <c r="CK275" s="17012"/>
      <c r="CL275" s="17019"/>
      <c r="CM275" s="17012"/>
      <c r="CN275" s="23708"/>
      <c r="CO275" s="23708"/>
      <c r="CP275" s="23709" t="str">
        <f>CQ274&amp;"-"&amp;CS274</f>
        <v>46935.47819444445-47118.478541666664</v>
      </c>
      <c r="CQ275" s="23710"/>
      <c r="CR275" s="23703"/>
      <c r="CS275" s="23710"/>
      <c r="CT275" s="23703"/>
      <c r="CU275" s="17021"/>
      <c r="CV275" s="17014"/>
      <c r="CW275" s="16982"/>
      <c r="CX275" s="16983"/>
      <c r="CY275" s="16983" t="str">
        <f>IF(T275="","",T275)</f>
        <v/>
      </c>
      <c r="CZ275" s="16983"/>
      <c r="DA275" s="16983"/>
      <c r="DB275" s="16984">
        <v>0</v>
      </c>
    </row>
    <row s="54206" customFormat="1" customHeight="1" ht="21">
      <c r="A276" s="16967"/>
      <c r="B276" s="16967"/>
      <c r="C276" s="16967"/>
      <c r="D276" s="16967"/>
      <c r="E276" s="16968"/>
      <c r="F276" s="16968"/>
      <c r="G276" s="16968">
        <v>1</v>
      </c>
      <c r="H276" s="16968"/>
      <c r="I276" s="17001"/>
      <c r="J276" s="16989"/>
      <c r="K276" s="16967"/>
      <c r="L276" s="16970"/>
      <c r="M276" s="16990"/>
      <c r="N276" s="16990"/>
      <c r="O276" s="16990"/>
      <c r="P276" s="16991"/>
      <c r="Q276" s="16991"/>
      <c r="R276" s="16992"/>
      <c r="S276" s="20769"/>
      <c r="T276" s="20770" t="s">
        <v>601</v>
      </c>
      <c r="U276" s="20771"/>
      <c r="V276" s="20772"/>
      <c r="W276" s="20773"/>
      <c r="X276" s="20774"/>
      <c r="Y276" s="20775"/>
      <c r="Z276" s="20776"/>
      <c r="AA276" s="20777"/>
      <c r="AB276" s="20778"/>
      <c r="AC276" s="20779"/>
      <c r="AD276" s="20780"/>
      <c r="AE276" s="20781"/>
      <c r="AF276" s="20782"/>
      <c r="AG276" s="20783"/>
      <c r="AH276" s="20784"/>
      <c r="AI276" s="20785"/>
      <c r="AJ276" s="20786"/>
      <c r="AK276" s="20787"/>
      <c r="AL276" s="20788"/>
      <c r="AM276" s="20789"/>
      <c r="AN276" s="20790"/>
      <c r="AO276" s="20791"/>
      <c r="AP276" s="20792"/>
      <c r="AQ276" s="20793"/>
      <c r="AR276" s="20794"/>
      <c r="AS276" s="20795"/>
      <c r="AT276" s="20796"/>
      <c r="AU276" s="20797"/>
      <c r="AV276" s="20798"/>
      <c r="AW276" s="20799"/>
      <c r="AX276" s="20800"/>
      <c r="AY276" s="20801"/>
      <c r="AZ276" s="20802"/>
      <c r="BA276" s="20803"/>
      <c r="BB276" s="20804"/>
      <c r="BC276" s="20805"/>
      <c r="BD276" s="20806"/>
      <c r="BE276" s="20807"/>
      <c r="BF276" s="20808"/>
      <c r="BG276" s="20809"/>
      <c r="BH276" s="20810"/>
      <c r="BI276" s="20811"/>
      <c r="BJ276" s="20812"/>
      <c r="BK276" s="20813"/>
      <c r="BL276" s="20814"/>
      <c r="BM276" s="20815"/>
      <c r="BN276" s="20816"/>
      <c r="BO276" s="20817"/>
      <c r="BP276" s="20818"/>
      <c r="BQ276" s="20819"/>
      <c r="BR276" s="20820"/>
      <c r="BS276" s="20821"/>
      <c r="BT276" s="20822"/>
      <c r="BU276" s="20823"/>
      <c r="BV276" s="20824"/>
      <c r="BW276" s="20825"/>
      <c r="BX276" s="20826"/>
      <c r="BY276" s="20827"/>
      <c r="BZ276" s="20828"/>
      <c r="CA276" s="20829"/>
      <c r="CB276" s="20830"/>
      <c r="CC276" s="20831"/>
      <c r="CD276" s="20832"/>
      <c r="CE276" s="20833"/>
      <c r="CF276" s="20834"/>
      <c r="CG276" s="20835"/>
      <c r="CH276" s="20836"/>
      <c r="CI276" s="20837"/>
      <c r="CJ276" s="20838"/>
      <c r="CK276" s="20839"/>
      <c r="CL276" s="20840"/>
      <c r="CM276" s="20841"/>
      <c r="CN276" s="28471"/>
      <c r="CO276" s="28472"/>
      <c r="CP276" s="28473"/>
      <c r="CQ276" s="28474"/>
      <c r="CR276" s="28475"/>
      <c r="CS276" s="28476"/>
      <c r="CT276" s="28477"/>
      <c r="CU276" s="20842"/>
      <c r="CV276" s="16981" t="s">
        <v>602</v>
      </c>
      <c r="CW276" s="16982"/>
      <c r="CX276" s="16983"/>
      <c r="CY276" s="16983" t="str">
        <f>IF(T276="","",T276)</f>
        <v>Добавить значение признака дифференциации</v>
      </c>
      <c r="CZ276" s="16983"/>
      <c r="DA276" s="16983"/>
      <c r="DB276" s="16984">
        <v>0</v>
      </c>
    </row>
    <row s="54288" customFormat="1" customHeight="1" ht="23.25">
      <c r="A277" s="53238"/>
      <c r="B277" s="53238"/>
      <c r="C277" s="53238"/>
      <c r="D277" s="53238"/>
      <c r="E277" s="53239"/>
      <c r="F277" s="53239"/>
      <c r="G277" s="53239"/>
      <c r="H277" s="53239"/>
      <c r="I277" s="53240"/>
      <c r="J277" s="53241" t="str">
        <f>I272&amp;".2"</f>
        <v>1.13.2.1.2</v>
      </c>
      <c r="K277" s="53238"/>
      <c r="L277" s="53242" t="s">
        <v>524</v>
      </c>
      <c r="M277" s="53243"/>
      <c r="N277" s="53243"/>
      <c r="O277" s="53243"/>
      <c r="P277" s="53244"/>
      <c r="Q277" s="53245" t="s">
        <v>106</v>
      </c>
      <c r="R277" s="53246"/>
      <c r="S277" s="53247" t="str">
        <f>$J277</f>
        <v>1.13.2.1.2</v>
      </c>
      <c r="T277" s="53248" t="s">
        <v>525</v>
      </c>
      <c r="U277" s="53249"/>
      <c r="V277" s="53250"/>
      <c r="W277" s="53251"/>
      <c r="X277" s="53251"/>
      <c r="Y277" s="53251"/>
      <c r="Z277" s="53251"/>
      <c r="AA277" s="53251"/>
      <c r="AB277" s="53252"/>
      <c r="AC277" s="53250" t="s">
        <v>637</v>
      </c>
      <c r="AD277" s="53251"/>
      <c r="AE277" s="53251"/>
      <c r="AF277" s="53251"/>
      <c r="AG277" s="53251"/>
      <c r="AH277" s="53251"/>
      <c r="AI277" s="53251"/>
      <c r="AJ277" s="53250"/>
      <c r="AK277" s="53251"/>
      <c r="AL277" s="53251"/>
      <c r="AM277" s="53251"/>
      <c r="AN277" s="53251"/>
      <c r="AO277" s="53251"/>
      <c r="AP277" s="53252"/>
      <c r="AQ277" s="53250"/>
      <c r="AR277" s="53251"/>
      <c r="AS277" s="53251"/>
      <c r="AT277" s="53251"/>
      <c r="AU277" s="53251"/>
      <c r="AV277" s="53251"/>
      <c r="AW277" s="53252"/>
      <c r="AX277" s="53250"/>
      <c r="AY277" s="53251"/>
      <c r="AZ277" s="53251"/>
      <c r="BA277" s="53251"/>
      <c r="BB277" s="53251"/>
      <c r="BC277" s="53251"/>
      <c r="BD277" s="53252"/>
      <c r="BE277" s="53250"/>
      <c r="BF277" s="53251"/>
      <c r="BG277" s="53251"/>
      <c r="BH277" s="53251"/>
      <c r="BI277" s="53251"/>
      <c r="BJ277" s="53251"/>
      <c r="BK277" s="53252"/>
      <c r="BL277" s="53250"/>
      <c r="BM277" s="53251"/>
      <c r="BN277" s="53251"/>
      <c r="BO277" s="53251"/>
      <c r="BP277" s="53251"/>
      <c r="BQ277" s="53251"/>
      <c r="BR277" s="53252"/>
      <c r="BS277" s="53250"/>
      <c r="BT277" s="53251"/>
      <c r="BU277" s="53251"/>
      <c r="BV277" s="53251"/>
      <c r="BW277" s="53251"/>
      <c r="BX277" s="53251"/>
      <c r="BY277" s="53252"/>
      <c r="BZ277" s="53250"/>
      <c r="CA277" s="53251"/>
      <c r="CB277" s="53251"/>
      <c r="CC277" s="53251"/>
      <c r="CD277" s="53251"/>
      <c r="CE277" s="53251"/>
      <c r="CF277" s="53252"/>
      <c r="CG277" s="53250"/>
      <c r="CH277" s="53251"/>
      <c r="CI277" s="53251"/>
      <c r="CJ277" s="53251"/>
      <c r="CK277" s="53251"/>
      <c r="CL277" s="53251"/>
      <c r="CM277" s="53252"/>
      <c r="CN277" s="53250"/>
      <c r="CO277" s="53251"/>
      <c r="CP277" s="53251"/>
      <c r="CQ277" s="53251"/>
      <c r="CR277" s="53251"/>
      <c r="CS277" s="53251"/>
      <c r="CT277" s="53252"/>
      <c r="CU277" s="53252"/>
      <c r="CV277" s="53253" t="s">
        <v>600</v>
      </c>
      <c r="CW277" s="53254"/>
      <c r="CX277" s="53255"/>
      <c r="CY277" s="53255" t="str">
        <f>IF(T277="","",T277)</f>
        <v>Группа потребителей</v>
      </c>
      <c r="CZ277" s="53255"/>
      <c r="DA277" s="53255"/>
      <c r="DB277" s="53256">
        <v>0</v>
      </c>
    </row>
    <row s="54289" customFormat="1" customHeight="1" ht="23.25">
      <c r="A278" s="53238"/>
      <c r="B278" s="53238"/>
      <c r="C278" s="53238"/>
      <c r="D278" s="53238"/>
      <c r="E278" s="53239"/>
      <c r="F278" s="53239"/>
      <c r="G278" s="53239"/>
      <c r="H278" s="53239"/>
      <c r="I278" s="53240"/>
      <c r="J278" s="53240" t="str">
        <f>I272&amp;".1"</f>
        <v>1.13.2.1.1</v>
      </c>
      <c r="K278" s="53241" t="str">
        <f>J277&amp;".1"</f>
        <v>1.13.2.1.2.1</v>
      </c>
      <c r="L278" s="53242"/>
      <c r="M278" s="53243"/>
      <c r="N278" s="53243"/>
      <c r="O278" s="53243"/>
      <c r="P278" s="53244"/>
      <c r="Q278" s="53244"/>
      <c r="R278" s="53246">
        <v>1</v>
      </c>
      <c r="S278" s="53247" t="str">
        <f>$K278</f>
        <v>1.13.2.1.2.1</v>
      </c>
      <c r="T278" s="53258"/>
      <c r="U278" s="53249"/>
      <c r="V278" s="53259"/>
      <c r="W278" s="53259"/>
      <c r="X278" s="53260"/>
      <c r="Y278" s="53152"/>
      <c r="Z278" s="53261" t="s">
        <v>63</v>
      </c>
      <c r="AA278" s="53152"/>
      <c r="AB278" s="53261" t="s">
        <v>63</v>
      </c>
      <c r="AC278" s="53259">
        <v>21.17</v>
      </c>
      <c r="AD278" s="53259"/>
      <c r="AE278" s="53260"/>
      <c r="AF278" s="53152">
        <v>45292.47392361111</v>
      </c>
      <c r="AG278" s="53261" t="s">
        <v>63</v>
      </c>
      <c r="AH278" s="53153">
        <v>45473.4740625</v>
      </c>
      <c r="AI278" s="53261" t="s">
        <v>63</v>
      </c>
      <c r="AJ278" s="53259">
        <v>27.52</v>
      </c>
      <c r="AK278" s="53259"/>
      <c r="AL278" s="53260"/>
      <c r="AM278" s="53152">
        <v>45474.47421296296</v>
      </c>
      <c r="AN278" s="53261" t="s">
        <v>63</v>
      </c>
      <c r="AO278" s="53152">
        <v>45657.47431712963</v>
      </c>
      <c r="AP278" s="53261" t="s">
        <v>63</v>
      </c>
      <c r="AQ278" s="53259">
        <v>27.52</v>
      </c>
      <c r="AR278" s="53259"/>
      <c r="AS278" s="53260"/>
      <c r="AT278" s="53152">
        <v>45658.47460648148</v>
      </c>
      <c r="AU278" s="53261" t="s">
        <v>63</v>
      </c>
      <c r="AV278" s="53152">
        <v>45838.474756944444</v>
      </c>
      <c r="AW278" s="53261" t="s">
        <v>63</v>
      </c>
      <c r="AX278" s="53259">
        <v>34.4</v>
      </c>
      <c r="AY278" s="53259"/>
      <c r="AZ278" s="53260"/>
      <c r="BA278" s="53152">
        <v>45839.475023148145</v>
      </c>
      <c r="BB278" s="53261" t="s">
        <v>63</v>
      </c>
      <c r="BC278" s="53152">
        <v>46022.475173611114</v>
      </c>
      <c r="BD278" s="53261" t="s">
        <v>63</v>
      </c>
      <c r="BE278" s="53259">
        <v>34.4</v>
      </c>
      <c r="BF278" s="53259"/>
      <c r="BG278" s="53260"/>
      <c r="BH278" s="53152">
        <v>46023.475439814814</v>
      </c>
      <c r="BI278" s="53261" t="s">
        <v>63</v>
      </c>
      <c r="BJ278" s="53152">
        <v>46203.47570601852</v>
      </c>
      <c r="BK278" s="53261" t="s">
        <v>63</v>
      </c>
      <c r="BL278" s="53259">
        <v>35.77</v>
      </c>
      <c r="BM278" s="53259"/>
      <c r="BN278" s="53260"/>
      <c r="BO278" s="53152">
        <v>46204.47597222222</v>
      </c>
      <c r="BP278" s="53261" t="s">
        <v>63</v>
      </c>
      <c r="BQ278" s="53152">
        <v>46387.476122685184</v>
      </c>
      <c r="BR278" s="53261" t="s">
        <v>63</v>
      </c>
      <c r="BS278" s="53259">
        <v>35.77</v>
      </c>
      <c r="BT278" s="53259"/>
      <c r="BU278" s="53260"/>
      <c r="BV278" s="53152">
        <v>46388.47628472222</v>
      </c>
      <c r="BW278" s="53261" t="s">
        <v>63</v>
      </c>
      <c r="BX278" s="53152">
        <v>46568.476493055554</v>
      </c>
      <c r="BY278" s="53261" t="s">
        <v>63</v>
      </c>
      <c r="BZ278" s="53259">
        <v>36.85</v>
      </c>
      <c r="CA278" s="53259"/>
      <c r="CB278" s="53260"/>
      <c r="CC278" s="53152">
        <v>46569.476851851854</v>
      </c>
      <c r="CD278" s="53261" t="s">
        <v>63</v>
      </c>
      <c r="CE278" s="53152">
        <v>46752.47708333333</v>
      </c>
      <c r="CF278" s="53261" t="s">
        <v>63</v>
      </c>
      <c r="CG278" s="53259">
        <v>36.85</v>
      </c>
      <c r="CH278" s="53259"/>
      <c r="CI278" s="53260"/>
      <c r="CJ278" s="53152">
        <v>46753.477627314816</v>
      </c>
      <c r="CK278" s="53261" t="s">
        <v>63</v>
      </c>
      <c r="CL278" s="53152">
        <v>46934.47787037037</v>
      </c>
      <c r="CM278" s="53261" t="s">
        <v>63</v>
      </c>
      <c r="CN278" s="53259">
        <v>37.81</v>
      </c>
      <c r="CO278" s="53259"/>
      <c r="CP278" s="53260"/>
      <c r="CQ278" s="53152">
        <v>46935.47840277778</v>
      </c>
      <c r="CR278" s="53261" t="s">
        <v>63</v>
      </c>
      <c r="CS278" s="53152">
        <v>47118.47859953704</v>
      </c>
      <c r="CT278" s="53261" t="s">
        <v>63</v>
      </c>
      <c r="CU278" s="53262"/>
      <c r="CV278" s="5326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278" s="53254">
        <f>STRCHECKDATE(V279:CU279)</f>
      </c>
      <c r="CX278" s="53255"/>
      <c r="CY278" s="53255" t="str">
        <f>IF(T278="","",T278)</f>
        <v/>
      </c>
      <c r="CZ278" s="53255"/>
      <c r="DA278" s="53255"/>
      <c r="DB278" s="53256">
        <v>0</v>
      </c>
    </row>
    <row s="54290" customFormat="1" customHeight="1" ht="14.25">
      <c r="A279" s="53238"/>
      <c r="B279" s="53238"/>
      <c r="C279" s="53238"/>
      <c r="D279" s="53238"/>
      <c r="E279" s="53239"/>
      <c r="F279" s="53239"/>
      <c r="G279" s="53239"/>
      <c r="H279" s="53239"/>
      <c r="I279" s="53240"/>
      <c r="J279" s="53240" t="str">
        <f>I272&amp;".1"</f>
        <v>1.13.2.1.1</v>
      </c>
      <c r="K279" s="53241"/>
      <c r="L279" s="53242"/>
      <c r="M279" s="53243"/>
      <c r="N279" s="53243"/>
      <c r="O279" s="53243"/>
      <c r="P279" s="53244"/>
      <c r="Q279" s="53244"/>
      <c r="R279" s="53246"/>
      <c r="S279" s="53265"/>
      <c r="T279" s="53249"/>
      <c r="U279" s="53249"/>
      <c r="V279" s="53266"/>
      <c r="W279" s="53266"/>
      <c r="X279" s="53267" t="str">
        <f>Y278&amp;"-"&amp;AA278</f>
        <v>-</v>
      </c>
      <c r="Y279" s="53268"/>
      <c r="Z279" s="53261"/>
      <c r="AA279" s="53268"/>
      <c r="AB279" s="53261"/>
      <c r="AC279" s="53266"/>
      <c r="AD279" s="53266"/>
      <c r="AE279" s="53267" t="str">
        <f>AF278&amp;"-"&amp;AH278</f>
        <v>45292.47392361111-45473.4740625</v>
      </c>
      <c r="AF279" s="53268"/>
      <c r="AG279" s="53261"/>
      <c r="AH279" s="53269"/>
      <c r="AI279" s="53261"/>
      <c r="AJ279" s="53266"/>
      <c r="AK279" s="53266"/>
      <c r="AL279" s="53267" t="str">
        <f>AM278&amp;"-"&amp;AO278</f>
        <v>45474.47421296296-45657.47431712963</v>
      </c>
      <c r="AM279" s="53268"/>
      <c r="AN279" s="53261"/>
      <c r="AO279" s="53268"/>
      <c r="AP279" s="53261"/>
      <c r="AQ279" s="53266"/>
      <c r="AR279" s="53266"/>
      <c r="AS279" s="53267" t="str">
        <f>AT278&amp;"-"&amp;AV278</f>
        <v>45658.47460648148-45838.474756944444</v>
      </c>
      <c r="AT279" s="53268"/>
      <c r="AU279" s="53261"/>
      <c r="AV279" s="53268"/>
      <c r="AW279" s="53261"/>
      <c r="AX279" s="53266"/>
      <c r="AY279" s="53266"/>
      <c r="AZ279" s="53267" t="str">
        <f>BA278&amp;"-"&amp;BC278</f>
        <v>45839.475023148145-46022.475173611114</v>
      </c>
      <c r="BA279" s="53268"/>
      <c r="BB279" s="53261"/>
      <c r="BC279" s="53268"/>
      <c r="BD279" s="53261"/>
      <c r="BE279" s="53266"/>
      <c r="BF279" s="53266"/>
      <c r="BG279" s="53267" t="str">
        <f>BH278&amp;"-"&amp;BJ278</f>
        <v>46023.475439814814-46203.47570601852</v>
      </c>
      <c r="BH279" s="53268"/>
      <c r="BI279" s="53261"/>
      <c r="BJ279" s="53268"/>
      <c r="BK279" s="53261"/>
      <c r="BL279" s="53266"/>
      <c r="BM279" s="53266"/>
      <c r="BN279" s="53267" t="str">
        <f>BO278&amp;"-"&amp;BQ278</f>
        <v>46204.47597222222-46387.476122685184</v>
      </c>
      <c r="BO279" s="53268"/>
      <c r="BP279" s="53261"/>
      <c r="BQ279" s="53268"/>
      <c r="BR279" s="53261"/>
      <c r="BS279" s="53266"/>
      <c r="BT279" s="53266"/>
      <c r="BU279" s="53267" t="str">
        <f>BV278&amp;"-"&amp;BX278</f>
        <v>46388.47628472222-46568.476493055554</v>
      </c>
      <c r="BV279" s="53268"/>
      <c r="BW279" s="53261"/>
      <c r="BX279" s="53268"/>
      <c r="BY279" s="53261"/>
      <c r="BZ279" s="53266"/>
      <c r="CA279" s="53266"/>
      <c r="CB279" s="53267" t="str">
        <f>CC278&amp;"-"&amp;CE278</f>
        <v>46569.476851851854-46752.47708333333</v>
      </c>
      <c r="CC279" s="53268"/>
      <c r="CD279" s="53261"/>
      <c r="CE279" s="53268"/>
      <c r="CF279" s="53261"/>
      <c r="CG279" s="53266"/>
      <c r="CH279" s="53266"/>
      <c r="CI279" s="53267" t="str">
        <f>CJ278&amp;"-"&amp;CL278</f>
        <v>46753.477627314816-46934.47787037037</v>
      </c>
      <c r="CJ279" s="53268"/>
      <c r="CK279" s="53261"/>
      <c r="CL279" s="53268"/>
      <c r="CM279" s="53261"/>
      <c r="CN279" s="53266"/>
      <c r="CO279" s="53266"/>
      <c r="CP279" s="53267" t="str">
        <f>CQ278&amp;"-"&amp;CS278</f>
        <v>46935.47840277778-47118.47859953704</v>
      </c>
      <c r="CQ279" s="53268"/>
      <c r="CR279" s="53261"/>
      <c r="CS279" s="53268"/>
      <c r="CT279" s="53261"/>
      <c r="CU279" s="53270"/>
      <c r="CV279" s="53263"/>
      <c r="CW279" s="53254"/>
      <c r="CX279" s="53255"/>
      <c r="CY279" s="53255" t="str">
        <f>IF(T279="","",T279)</f>
        <v/>
      </c>
      <c r="CZ279" s="53255"/>
      <c r="DA279" s="53255"/>
      <c r="DB279" s="53256">
        <v>0</v>
      </c>
    </row>
    <row s="54291" customFormat="1" customHeight="1" ht="21">
      <c r="A280" s="53238"/>
      <c r="B280" s="53238"/>
      <c r="C280" s="53238"/>
      <c r="D280" s="53238"/>
      <c r="E280" s="53239"/>
      <c r="F280" s="53239"/>
      <c r="G280" s="53239"/>
      <c r="H280" s="53239"/>
      <c r="I280" s="53240"/>
      <c r="J280" s="53241" t="str">
        <f>I272&amp;".1"</f>
        <v>1.13.2.1.1</v>
      </c>
      <c r="K280" s="53238"/>
      <c r="L280" s="53242"/>
      <c r="M280" s="53243"/>
      <c r="N280" s="53243"/>
      <c r="O280" s="53243"/>
      <c r="P280" s="53244"/>
      <c r="Q280" s="53244"/>
      <c r="R280" s="53272"/>
      <c r="S280" s="54292"/>
      <c r="T280" s="54293" t="s">
        <v>601</v>
      </c>
      <c r="U280" s="54294"/>
      <c r="V280" s="54295"/>
      <c r="W280" s="54296"/>
      <c r="X280" s="54297"/>
      <c r="Y280" s="54298"/>
      <c r="Z280" s="54299"/>
      <c r="AA280" s="54300"/>
      <c r="AB280" s="54301"/>
      <c r="AC280" s="54302"/>
      <c r="AD280" s="54303"/>
      <c r="AE280" s="54304"/>
      <c r="AF280" s="54305"/>
      <c r="AG280" s="54306"/>
      <c r="AH280" s="54307"/>
      <c r="AI280" s="54308"/>
      <c r="AJ280" s="54309"/>
      <c r="AK280" s="54310"/>
      <c r="AL280" s="54311"/>
      <c r="AM280" s="54312"/>
      <c r="AN280" s="54313"/>
      <c r="AO280" s="54314"/>
      <c r="AP280" s="54315"/>
      <c r="AQ280" s="54316"/>
      <c r="AR280" s="54317"/>
      <c r="AS280" s="54318"/>
      <c r="AT280" s="54319"/>
      <c r="AU280" s="54320"/>
      <c r="AV280" s="54321"/>
      <c r="AW280" s="54322"/>
      <c r="AX280" s="54323"/>
      <c r="AY280" s="54324"/>
      <c r="AZ280" s="54325"/>
      <c r="BA280" s="54326"/>
      <c r="BB280" s="54327"/>
      <c r="BC280" s="54328"/>
      <c r="BD280" s="54329"/>
      <c r="BE280" s="54330"/>
      <c r="BF280" s="54331"/>
      <c r="BG280" s="54332"/>
      <c r="BH280" s="54333"/>
      <c r="BI280" s="54334"/>
      <c r="BJ280" s="54335"/>
      <c r="BK280" s="54336"/>
      <c r="BL280" s="54337"/>
      <c r="BM280" s="54338"/>
      <c r="BN280" s="54339"/>
      <c r="BO280" s="54340"/>
      <c r="BP280" s="54341"/>
      <c r="BQ280" s="54342"/>
      <c r="BR280" s="54343"/>
      <c r="BS280" s="54344"/>
      <c r="BT280" s="54345"/>
      <c r="BU280" s="54346"/>
      <c r="BV280" s="54347"/>
      <c r="BW280" s="54348"/>
      <c r="BX280" s="54349"/>
      <c r="BY280" s="54350"/>
      <c r="BZ280" s="54351"/>
      <c r="CA280" s="54352"/>
      <c r="CB280" s="54353"/>
      <c r="CC280" s="54354"/>
      <c r="CD280" s="54355"/>
      <c r="CE280" s="54356"/>
      <c r="CF280" s="54357"/>
      <c r="CG280" s="54358"/>
      <c r="CH280" s="54359"/>
      <c r="CI280" s="54360"/>
      <c r="CJ280" s="54361"/>
      <c r="CK280" s="54362"/>
      <c r="CL280" s="54363"/>
      <c r="CM280" s="54364"/>
      <c r="CN280" s="54365"/>
      <c r="CO280" s="54366"/>
      <c r="CP280" s="54367"/>
      <c r="CQ280" s="54368"/>
      <c r="CR280" s="54369"/>
      <c r="CS280" s="54370"/>
      <c r="CT280" s="54371"/>
      <c r="CU280" s="54372"/>
      <c r="CV280" s="53354" t="s">
        <v>602</v>
      </c>
      <c r="CW280" s="53254"/>
      <c r="CX280" s="53255"/>
      <c r="CY280" s="53255" t="str">
        <f>IF(T280="","",T280)</f>
        <v>Добавить значение признака дифференциации</v>
      </c>
      <c r="CZ280" s="53255"/>
      <c r="DA280" s="53255"/>
      <c r="DB280" s="53256">
        <v>0</v>
      </c>
    </row>
    <row s="54373" customFormat="1" customHeight="1" ht="21">
      <c r="A281" s="16967"/>
      <c r="B281" s="16967"/>
      <c r="C281" s="16967"/>
      <c r="D281" s="16967"/>
      <c r="E281" s="16968"/>
      <c r="F281" s="16968"/>
      <c r="G281" s="16968">
        <v>1</v>
      </c>
      <c r="H281" s="16968"/>
      <c r="I281" s="16989"/>
      <c r="J281" s="16967"/>
      <c r="K281" s="16967"/>
      <c r="L281" s="16970"/>
      <c r="M281" s="16990"/>
      <c r="N281" s="16990"/>
      <c r="O281" s="16990"/>
      <c r="P281" s="16991"/>
      <c r="Q281" s="16991"/>
      <c r="R281" s="16992"/>
      <c r="S281" s="20844"/>
      <c r="T281" s="20845" t="s">
        <v>530</v>
      </c>
      <c r="U281" s="20846"/>
      <c r="V281" s="20847"/>
      <c r="W281" s="20848"/>
      <c r="X281" s="20849"/>
      <c r="Y281" s="20850"/>
      <c r="Z281" s="20851"/>
      <c r="AA281" s="20852"/>
      <c r="AB281" s="20853"/>
      <c r="AC281" s="20854"/>
      <c r="AD281" s="20855"/>
      <c r="AE281" s="20856"/>
      <c r="AF281" s="20857"/>
      <c r="AG281" s="20858"/>
      <c r="AH281" s="20859"/>
      <c r="AI281" s="20860"/>
      <c r="AJ281" s="20861"/>
      <c r="AK281" s="20862"/>
      <c r="AL281" s="20863"/>
      <c r="AM281" s="20864"/>
      <c r="AN281" s="20865"/>
      <c r="AO281" s="20866"/>
      <c r="AP281" s="20867"/>
      <c r="AQ281" s="20868"/>
      <c r="AR281" s="20869"/>
      <c r="AS281" s="20870"/>
      <c r="AT281" s="20871"/>
      <c r="AU281" s="20872"/>
      <c r="AV281" s="20873"/>
      <c r="AW281" s="20874"/>
      <c r="AX281" s="20875"/>
      <c r="AY281" s="20876"/>
      <c r="AZ281" s="20877"/>
      <c r="BA281" s="20878"/>
      <c r="BB281" s="20879"/>
      <c r="BC281" s="20880"/>
      <c r="BD281" s="20881"/>
      <c r="BE281" s="20882"/>
      <c r="BF281" s="20883"/>
      <c r="BG281" s="20884"/>
      <c r="BH281" s="20885"/>
      <c r="BI281" s="20886"/>
      <c r="BJ281" s="20887"/>
      <c r="BK281" s="20888"/>
      <c r="BL281" s="20889"/>
      <c r="BM281" s="20890"/>
      <c r="BN281" s="20891"/>
      <c r="BO281" s="20892"/>
      <c r="BP281" s="20893"/>
      <c r="BQ281" s="20894"/>
      <c r="BR281" s="20895"/>
      <c r="BS281" s="20896"/>
      <c r="BT281" s="20897"/>
      <c r="BU281" s="20898"/>
      <c r="BV281" s="20899"/>
      <c r="BW281" s="20900"/>
      <c r="BX281" s="20901"/>
      <c r="BY281" s="20902"/>
      <c r="BZ281" s="20903"/>
      <c r="CA281" s="20904"/>
      <c r="CB281" s="20905"/>
      <c r="CC281" s="20906"/>
      <c r="CD281" s="20907"/>
      <c r="CE281" s="20908"/>
      <c r="CF281" s="20909"/>
      <c r="CG281" s="20910"/>
      <c r="CH281" s="20911"/>
      <c r="CI281" s="20912"/>
      <c r="CJ281" s="20913"/>
      <c r="CK281" s="20914"/>
      <c r="CL281" s="20915"/>
      <c r="CM281" s="20916"/>
      <c r="CN281" s="28553"/>
      <c r="CO281" s="28554"/>
      <c r="CP281" s="28555"/>
      <c r="CQ281" s="28556"/>
      <c r="CR281" s="28557"/>
      <c r="CS281" s="28558"/>
      <c r="CT281" s="28559"/>
      <c r="CU281" s="20917"/>
      <c r="CV281" s="20918"/>
      <c r="CW281" s="16982"/>
      <c r="CX281" s="16983"/>
      <c r="CY281" s="16983" t="str">
        <f>IF(T281="","",T281)</f>
        <v>Добавить группу потребителей</v>
      </c>
      <c r="CZ281" s="16983"/>
      <c r="DA281" s="16983"/>
      <c r="DB281" s="16984">
        <v>0</v>
      </c>
    </row>
    <row s="54456" customFormat="1" customHeight="1" ht="21">
      <c r="A282" s="16967"/>
      <c r="B282" s="16967"/>
      <c r="C282" s="16967"/>
      <c r="D282" s="16967"/>
      <c r="E282" s="16968"/>
      <c r="F282" s="16968"/>
      <c r="G282" s="16968">
        <v>1</v>
      </c>
      <c r="H282" s="16969"/>
      <c r="I282" s="16967"/>
      <c r="J282" s="16967"/>
      <c r="K282" s="16967"/>
      <c r="L282" s="16970"/>
      <c r="M282" s="16971"/>
      <c r="N282" s="16971"/>
      <c r="O282" s="17174"/>
      <c r="P282" s="17175"/>
      <c r="Q282" s="17176"/>
      <c r="R282" s="17177"/>
      <c r="S282" s="20920"/>
      <c r="T282" s="20921" t="s">
        <v>603</v>
      </c>
      <c r="U282" s="20922"/>
      <c r="V282" s="20923"/>
      <c r="W282" s="20924"/>
      <c r="X282" s="20925"/>
      <c r="Y282" s="20926"/>
      <c r="Z282" s="20927"/>
      <c r="AA282" s="20928"/>
      <c r="AB282" s="20929"/>
      <c r="AC282" s="20930"/>
      <c r="AD282" s="20931"/>
      <c r="AE282" s="20932"/>
      <c r="AF282" s="20933"/>
      <c r="AG282" s="20934"/>
      <c r="AH282" s="20935"/>
      <c r="AI282" s="20936"/>
      <c r="AJ282" s="20937"/>
      <c r="AK282" s="20938"/>
      <c r="AL282" s="20939"/>
      <c r="AM282" s="20940"/>
      <c r="AN282" s="20941"/>
      <c r="AO282" s="20942"/>
      <c r="AP282" s="20943"/>
      <c r="AQ282" s="20944"/>
      <c r="AR282" s="20945"/>
      <c r="AS282" s="20946"/>
      <c r="AT282" s="20947"/>
      <c r="AU282" s="20948"/>
      <c r="AV282" s="20949"/>
      <c r="AW282" s="20950"/>
      <c r="AX282" s="20951"/>
      <c r="AY282" s="20952"/>
      <c r="AZ282" s="20953"/>
      <c r="BA282" s="20954"/>
      <c r="BB282" s="20955"/>
      <c r="BC282" s="20956"/>
      <c r="BD282" s="20957"/>
      <c r="BE282" s="20958"/>
      <c r="BF282" s="20959"/>
      <c r="BG282" s="20960"/>
      <c r="BH282" s="20961"/>
      <c r="BI282" s="20962"/>
      <c r="BJ282" s="20963"/>
      <c r="BK282" s="20964"/>
      <c r="BL282" s="20965"/>
      <c r="BM282" s="20966"/>
      <c r="BN282" s="20967"/>
      <c r="BO282" s="20968"/>
      <c r="BP282" s="20969"/>
      <c r="BQ282" s="20970"/>
      <c r="BR282" s="20971"/>
      <c r="BS282" s="20972"/>
      <c r="BT282" s="20973"/>
      <c r="BU282" s="20974"/>
      <c r="BV282" s="20975"/>
      <c r="BW282" s="20976"/>
      <c r="BX282" s="20977"/>
      <c r="BY282" s="20978"/>
      <c r="BZ282" s="20979"/>
      <c r="CA282" s="20980"/>
      <c r="CB282" s="20981"/>
      <c r="CC282" s="20982"/>
      <c r="CD282" s="20983"/>
      <c r="CE282" s="20984"/>
      <c r="CF282" s="20985"/>
      <c r="CG282" s="20986"/>
      <c r="CH282" s="20987"/>
      <c r="CI282" s="20988"/>
      <c r="CJ282" s="20989"/>
      <c r="CK282" s="20990"/>
      <c r="CL282" s="20991"/>
      <c r="CM282" s="20992"/>
      <c r="CN282" s="28636"/>
      <c r="CO282" s="28637"/>
      <c r="CP282" s="28638"/>
      <c r="CQ282" s="28639"/>
      <c r="CR282" s="28640"/>
      <c r="CS282" s="28641"/>
      <c r="CT282" s="28642"/>
      <c r="CU282" s="20993"/>
      <c r="CV282" s="20994"/>
      <c r="CW282" s="16982"/>
      <c r="CX282" s="16983"/>
      <c r="CY282" s="16983" t="str">
        <f>IF(T282="","",T282)</f>
        <v>Добавить наименование признака дифференциации</v>
      </c>
      <c r="CZ282" s="16983"/>
      <c r="DA282" s="16983"/>
      <c r="DB282" s="16984">
        <v>0</v>
      </c>
    </row>
    <row s="54539" customFormat="1" customHeight="1" ht="14.25">
      <c r="A283" s="17254"/>
      <c r="B283" s="17254"/>
      <c r="C283" s="17254"/>
      <c r="D283" s="17254"/>
      <c r="E283" s="16968"/>
      <c r="F283" s="16969" t="s">
        <v>154</v>
      </c>
      <c r="G283" s="17254"/>
      <c r="H283" s="17254"/>
      <c r="I283" s="17254"/>
      <c r="J283" s="17254"/>
      <c r="K283" s="17254"/>
      <c r="L283" s="17255"/>
      <c r="M283" s="17256"/>
      <c r="N283" s="17256"/>
      <c r="O283" s="16982"/>
      <c r="P283" s="17257"/>
      <c r="Q283" s="17258"/>
      <c r="R283" s="17257"/>
      <c r="S283" s="17259"/>
      <c r="T283" s="17260" t="s">
        <v>321</v>
      </c>
      <c r="U283" s="17261"/>
      <c r="V283" s="17261"/>
      <c r="W283" s="17261"/>
      <c r="X283" s="17261"/>
      <c r="Y283" s="17261"/>
      <c r="Z283" s="17261"/>
      <c r="AA283" s="17261"/>
      <c r="AB283" s="17261"/>
      <c r="AC283" s="17261"/>
      <c r="AD283" s="17261"/>
      <c r="AE283" s="17261"/>
      <c r="AF283" s="17261"/>
      <c r="AG283" s="17261"/>
      <c r="AH283" s="17261"/>
      <c r="AI283" s="17261"/>
      <c r="AJ283" s="17261"/>
      <c r="AK283" s="17261"/>
      <c r="AL283" s="17261"/>
      <c r="AM283" s="17261"/>
      <c r="AN283" s="17261"/>
      <c r="AO283" s="17261"/>
      <c r="AP283" s="17261"/>
      <c r="AQ283" s="17261"/>
      <c r="AR283" s="17261"/>
      <c r="AS283" s="17261"/>
      <c r="AT283" s="17261"/>
      <c r="AU283" s="17261"/>
      <c r="AV283" s="17261"/>
      <c r="AW283" s="17261"/>
      <c r="AX283" s="17261"/>
      <c r="AY283" s="17261"/>
      <c r="AZ283" s="17261"/>
      <c r="BA283" s="17261"/>
      <c r="BB283" s="17261"/>
      <c r="BC283" s="17261"/>
      <c r="BD283" s="17261"/>
      <c r="BE283" s="17261"/>
      <c r="BF283" s="17261"/>
      <c r="BG283" s="17261"/>
      <c r="BH283" s="17261"/>
      <c r="BI283" s="17261"/>
      <c r="BJ283" s="17261"/>
      <c r="BK283" s="17261"/>
      <c r="BL283" s="17261"/>
      <c r="BM283" s="17261"/>
      <c r="BN283" s="17261"/>
      <c r="BO283" s="17261"/>
      <c r="BP283" s="17261"/>
      <c r="BQ283" s="17261"/>
      <c r="BR283" s="17261"/>
      <c r="BS283" s="17261"/>
      <c r="BT283" s="17261"/>
      <c r="BU283" s="17261"/>
      <c r="BV283" s="17261"/>
      <c r="BW283" s="17261"/>
      <c r="BX283" s="17261"/>
      <c r="BY283" s="17261"/>
      <c r="BZ283" s="17261"/>
      <c r="CA283" s="17261"/>
      <c r="CB283" s="17261"/>
      <c r="CC283" s="17261"/>
      <c r="CD283" s="17261"/>
      <c r="CE283" s="17261"/>
      <c r="CF283" s="17261"/>
      <c r="CG283" s="17261"/>
      <c r="CH283" s="17261"/>
      <c r="CI283" s="17261"/>
      <c r="CJ283" s="17261"/>
      <c r="CK283" s="17261"/>
      <c r="CL283" s="17261"/>
      <c r="CM283" s="17261"/>
      <c r="CN283" s="23902"/>
      <c r="CO283" s="23902"/>
      <c r="CP283" s="23902"/>
      <c r="CQ283" s="23902"/>
      <c r="CR283" s="23902"/>
      <c r="CS283" s="23902"/>
      <c r="CT283" s="23902"/>
      <c r="CU283" s="17261"/>
      <c r="CV283" s="17261"/>
      <c r="CW283" s="16982"/>
      <c r="CX283" s="16983"/>
      <c r="CY283" s="16983" t="str">
        <f>IF(T283="","",T283)</f>
        <v>Добавить централизованную систему для дифференциации</v>
      </c>
      <c r="CZ283" s="16983"/>
      <c r="DA283" s="16983"/>
      <c r="DB283" s="16982">
        <v>0</v>
      </c>
    </row>
    <row s="46890" customFormat="1" customHeight="1" ht="0">
      <c r="A284" s="1855" t="s">
        <v>318</v>
      </c>
      <c r="B284" s="1855"/>
      <c r="C284" s="1855"/>
      <c r="D284" s="1855"/>
      <c r="E284" s="2770"/>
      <c r="F284" s="1855"/>
      <c r="G284" s="1855"/>
      <c r="H284" s="1855"/>
      <c r="I284" s="1855"/>
      <c r="J284" s="1855"/>
      <c r="K284" s="1855"/>
      <c r="L284" s="1858"/>
      <c r="M284" s="1833"/>
      <c r="N284" s="1833"/>
      <c r="O284" s="1030"/>
      <c r="P284" s="892"/>
      <c r="Q284" s="1856"/>
      <c r="R284" s="892"/>
      <c r="S284" s="1834"/>
      <c r="T284" s="1837" t="s">
        <v>385</v>
      </c>
      <c r="U284" s="1836"/>
      <c r="V284" s="1836"/>
      <c r="W284" s="1836"/>
      <c r="X284" s="1836"/>
      <c r="Y284" s="1836"/>
      <c r="Z284" s="1836"/>
      <c r="AA284" s="1836"/>
      <c r="AB284" s="1836"/>
      <c r="AC284" s="1836"/>
      <c r="AD284" s="1836"/>
      <c r="AE284" s="1836"/>
      <c r="AF284" s="1836"/>
      <c r="AG284" s="1836"/>
      <c r="AH284" s="1836"/>
      <c r="AI284" s="1836"/>
      <c r="AJ284" s="7142"/>
      <c r="AK284" s="7142"/>
      <c r="AL284" s="7142"/>
      <c r="AM284" s="7142"/>
      <c r="AN284" s="7142"/>
      <c r="AO284" s="7142"/>
      <c r="AP284" s="7142"/>
      <c r="AQ284" s="7142"/>
      <c r="AR284" s="7142"/>
      <c r="AS284" s="7142"/>
      <c r="AT284" s="7142"/>
      <c r="AU284" s="7142"/>
      <c r="AV284" s="7142"/>
      <c r="AW284" s="7142"/>
      <c r="AX284" s="7142"/>
      <c r="AY284" s="7142"/>
      <c r="AZ284" s="7142"/>
      <c r="BA284" s="7142"/>
      <c r="BB284" s="7142"/>
      <c r="BC284" s="7142"/>
      <c r="BD284" s="7142"/>
      <c r="BE284" s="7142"/>
      <c r="BF284" s="7142"/>
      <c r="BG284" s="7142"/>
      <c r="BH284" s="7142"/>
      <c r="BI284" s="7142"/>
      <c r="BJ284" s="7142"/>
      <c r="BK284" s="7142"/>
      <c r="BL284" s="7142"/>
      <c r="BM284" s="7142"/>
      <c r="BN284" s="7142"/>
      <c r="BO284" s="7142"/>
      <c r="BP284" s="7142"/>
      <c r="BQ284" s="7142"/>
      <c r="BR284" s="7142"/>
      <c r="BS284" s="7142"/>
      <c r="BT284" s="7142"/>
      <c r="BU284" s="7142"/>
      <c r="BV284" s="7142"/>
      <c r="BW284" s="7142"/>
      <c r="BX284" s="7142"/>
      <c r="BY284" s="7142"/>
      <c r="BZ284" s="7142"/>
      <c r="CA284" s="7142"/>
      <c r="CB284" s="7142"/>
      <c r="CC284" s="7142"/>
      <c r="CD284" s="7142"/>
      <c r="CE284" s="7142"/>
      <c r="CF284" s="7142"/>
      <c r="CG284" s="7142"/>
      <c r="CH284" s="7142"/>
      <c r="CI284" s="7142"/>
      <c r="CJ284" s="7142"/>
      <c r="CK284" s="7142"/>
      <c r="CL284" s="7142"/>
      <c r="CM284" s="7142"/>
      <c r="CN284" s="23902"/>
      <c r="CO284" s="23902"/>
      <c r="CP284" s="23902"/>
      <c r="CQ284" s="23902"/>
      <c r="CR284" s="23902"/>
      <c r="CS284" s="23902"/>
      <c r="CT284" s="23902"/>
      <c r="CU284" s="1836"/>
      <c r="CV284" s="1836"/>
      <c r="CX284" s="1012"/>
      <c r="CY284" s="1012" t="str">
        <f>IF(T284="","",T284)</f>
        <v>Добавить территорию для дифференциации</v>
      </c>
      <c r="CZ284" s="1012"/>
      <c r="DA284" s="1012"/>
      <c r="DB284" s="1023">
        <v>0</v>
      </c>
    </row>
    <row s="46890" customFormat="1" customHeight="1" ht="0">
      <c r="A285" s="1826"/>
      <c r="B285" s="1826"/>
      <c r="C285" s="1826"/>
      <c r="D285" s="1826"/>
      <c r="E285" s="1855"/>
      <c r="F285" s="1826"/>
      <c r="G285" s="1826"/>
      <c r="H285" s="1826"/>
      <c r="I285" s="1826"/>
      <c r="J285" s="1826"/>
      <c r="K285" s="1826"/>
      <c r="L285" s="2006"/>
      <c r="M285" s="1833"/>
      <c r="N285" s="1833"/>
      <c r="P285" s="1828"/>
      <c r="Q285" s="1829"/>
      <c r="R285" s="1828"/>
      <c r="S285" s="1834"/>
      <c r="T285" s="1837" t="s">
        <v>386</v>
      </c>
      <c r="U285" s="1836"/>
      <c r="V285" s="1836"/>
      <c r="W285" s="1836"/>
      <c r="X285" s="1836"/>
      <c r="Y285" s="1836"/>
      <c r="Z285" s="1836"/>
      <c r="AA285" s="1836"/>
      <c r="AB285" s="1836"/>
      <c r="AC285" s="1836"/>
      <c r="AD285" s="1836"/>
      <c r="AE285" s="1836"/>
      <c r="AF285" s="1836"/>
      <c r="AG285" s="1836"/>
      <c r="AH285" s="1836"/>
      <c r="AI285" s="1836"/>
      <c r="AJ285" s="7142"/>
      <c r="AK285" s="7142"/>
      <c r="AL285" s="7142"/>
      <c r="AM285" s="7142"/>
      <c r="AN285" s="7142"/>
      <c r="AO285" s="7142"/>
      <c r="AP285" s="7142"/>
      <c r="AQ285" s="7142"/>
      <c r="AR285" s="7142"/>
      <c r="AS285" s="7142"/>
      <c r="AT285" s="7142"/>
      <c r="AU285" s="7142"/>
      <c r="AV285" s="7142"/>
      <c r="AW285" s="7142"/>
      <c r="AX285" s="7142"/>
      <c r="AY285" s="7142"/>
      <c r="AZ285" s="7142"/>
      <c r="BA285" s="7142"/>
      <c r="BB285" s="7142"/>
      <c r="BC285" s="7142"/>
      <c r="BD285" s="7142"/>
      <c r="BE285" s="7142"/>
      <c r="BF285" s="7142"/>
      <c r="BG285" s="7142"/>
      <c r="BH285" s="7142"/>
      <c r="BI285" s="7142"/>
      <c r="BJ285" s="7142"/>
      <c r="BK285" s="7142"/>
      <c r="BL285" s="7142"/>
      <c r="BM285" s="7142"/>
      <c r="BN285" s="7142"/>
      <c r="BO285" s="7142"/>
      <c r="BP285" s="7142"/>
      <c r="BQ285" s="7142"/>
      <c r="BR285" s="7142"/>
      <c r="BS285" s="7142"/>
      <c r="BT285" s="7142"/>
      <c r="BU285" s="7142"/>
      <c r="BV285" s="7142"/>
      <c r="BW285" s="7142"/>
      <c r="BX285" s="7142"/>
      <c r="BY285" s="7142"/>
      <c r="BZ285" s="7142"/>
      <c r="CA285" s="7142"/>
      <c r="CB285" s="7142"/>
      <c r="CC285" s="7142"/>
      <c r="CD285" s="7142"/>
      <c r="CE285" s="7142"/>
      <c r="CF285" s="7142"/>
      <c r="CG285" s="7142"/>
      <c r="CH285" s="7142"/>
      <c r="CI285" s="7142"/>
      <c r="CJ285" s="7142"/>
      <c r="CK285" s="7142"/>
      <c r="CL285" s="7142"/>
      <c r="CM285" s="7142"/>
      <c r="CN285" s="23902"/>
      <c r="CO285" s="23902"/>
      <c r="CP285" s="23902"/>
      <c r="CQ285" s="23902"/>
      <c r="CR285" s="23902"/>
      <c r="CS285" s="23902"/>
      <c r="CT285" s="23902"/>
      <c r="CU285" s="1836"/>
      <c r="CV285" s="1836"/>
      <c r="CX285" s="1301"/>
      <c r="CY285" s="1301" t="str">
        <f>IF(T285="","",T285)</f>
        <v>Добавить наименование тарифа</v>
      </c>
      <c r="CZ285" s="1301"/>
      <c r="DA285" s="1301"/>
      <c r="DB285" s="1030">
        <v>0</v>
      </c>
    </row>
    <row customHeight="1" ht="11.549999999999999">
      <c r="M286" s="1672"/>
      <c r="N286" s="1672"/>
      <c r="O286" s="1049"/>
      <c r="P286" s="1667"/>
      <c r="Q286" s="1667"/>
      <c r="R286" s="1667"/>
      <c r="S286" s="1667"/>
      <c r="AJ286" s="6952"/>
      <c r="AK286" s="6952"/>
      <c r="AL286" s="6952"/>
      <c r="AM286" s="6952"/>
      <c r="AN286" s="6952"/>
      <c r="AO286" s="6952"/>
      <c r="AP286" s="6952"/>
      <c r="AQ286" s="6952"/>
      <c r="AR286" s="6952"/>
      <c r="AS286" s="6952"/>
      <c r="AT286" s="6952"/>
      <c r="AU286" s="6952"/>
      <c r="AV286" s="6952"/>
      <c r="AW286" s="6952"/>
      <c r="AX286" s="6952"/>
      <c r="AY286" s="6952"/>
      <c r="AZ286" s="6952"/>
      <c r="BA286" s="6952"/>
      <c r="BB286" s="6952"/>
      <c r="BC286" s="6952"/>
      <c r="BD286" s="6952"/>
      <c r="BE286" s="6952"/>
      <c r="BF286" s="6952"/>
      <c r="BG286" s="6952"/>
      <c r="BH286" s="6952"/>
      <c r="BI286" s="6952"/>
      <c r="BJ286" s="6952"/>
      <c r="BK286" s="6952"/>
      <c r="BL286" s="6952"/>
      <c r="BM286" s="6952"/>
      <c r="BN286" s="6952"/>
      <c r="BO286" s="6952"/>
      <c r="BP286" s="6952"/>
      <c r="BQ286" s="6952"/>
      <c r="BR286" s="6952"/>
      <c r="BS286" s="6952"/>
      <c r="BT286" s="6952"/>
      <c r="BU286" s="6952"/>
      <c r="BV286" s="6952"/>
      <c r="BW286" s="6952"/>
      <c r="BX286" s="6952"/>
      <c r="BY286" s="6952"/>
      <c r="BZ286" s="6952"/>
      <c r="CA286" s="6952"/>
      <c r="CB286" s="6952"/>
      <c r="CC286" s="6952"/>
      <c r="CD286" s="6952"/>
      <c r="CE286" s="6952"/>
      <c r="CF286" s="6952"/>
      <c r="CG286" s="6952"/>
      <c r="CH286" s="6952"/>
      <c r="CI286" s="6952"/>
      <c r="CJ286" s="6952"/>
      <c r="CK286" s="6952"/>
      <c r="CL286" s="6952"/>
      <c r="CM286" s="6952"/>
      <c r="CN286" s="23674"/>
      <c r="CO286" s="23674"/>
      <c r="CP286" s="23674"/>
      <c r="CQ286" s="23674"/>
      <c r="CR286" s="23674"/>
      <c r="CS286" s="23674"/>
      <c r="CT286" s="23674"/>
      <c r="CW286" s="1667"/>
      <c r="CX286" s="1667"/>
      <c r="CY286" s="1667"/>
      <c r="CZ286" s="1667"/>
      <c r="DA286" s="1667"/>
      <c r="DB286" s="1667">
        <v>11</v>
      </c>
    </row>
    <row customHeight="1" ht="14.699999999999998">
      <c r="O287" s="1049"/>
      <c r="S287" s="1765"/>
      <c r="T287" s="2797"/>
      <c r="U287" s="2797"/>
      <c r="V287" s="2797"/>
      <c r="W287" s="2797"/>
      <c r="X287" s="2797"/>
      <c r="Y287" s="2797"/>
      <c r="Z287" s="2797"/>
      <c r="AA287" s="2797"/>
      <c r="AB287" s="2797"/>
      <c r="AC287" s="2797"/>
      <c r="AD287" s="2797"/>
      <c r="AE287" s="2797"/>
      <c r="AF287" s="2797"/>
      <c r="AG287" s="2797"/>
      <c r="AH287" s="2797"/>
      <c r="AI287" s="2797"/>
      <c r="AJ287" s="7442"/>
      <c r="AK287" s="7442"/>
      <c r="AL287" s="7442"/>
      <c r="AM287" s="7442"/>
      <c r="AN287" s="7442"/>
      <c r="AO287" s="7442"/>
      <c r="AP287" s="7442"/>
      <c r="AQ287" s="7442"/>
      <c r="AR287" s="7442"/>
      <c r="AS287" s="7442"/>
      <c r="AT287" s="7442"/>
      <c r="AU287" s="7442"/>
      <c r="AV287" s="7442"/>
      <c r="AW287" s="7442"/>
      <c r="AX287" s="7442"/>
      <c r="AY287" s="7442"/>
      <c r="AZ287" s="7442"/>
      <c r="BA287" s="7442"/>
      <c r="BB287" s="7442"/>
      <c r="BC287" s="7442"/>
      <c r="BD287" s="7442"/>
      <c r="BE287" s="7442"/>
      <c r="BF287" s="7442"/>
      <c r="BG287" s="7442"/>
      <c r="BH287" s="7442"/>
      <c r="BI287" s="7442"/>
      <c r="BJ287" s="7442"/>
      <c r="BK287" s="7442"/>
      <c r="BL287" s="7442"/>
      <c r="BM287" s="7442"/>
      <c r="BN287" s="7442"/>
      <c r="BO287" s="7442"/>
      <c r="BP287" s="7442"/>
      <c r="BQ287" s="7442"/>
      <c r="BR287" s="7442"/>
      <c r="BS287" s="7442"/>
      <c r="BT287" s="7442"/>
      <c r="BU287" s="7442"/>
      <c r="BV287" s="7442"/>
      <c r="BW287" s="7442"/>
      <c r="BX287" s="7442"/>
      <c r="BY287" s="7442"/>
      <c r="BZ287" s="7442"/>
      <c r="CA287" s="7442"/>
      <c r="CB287" s="7442"/>
      <c r="CC287" s="7442"/>
      <c r="CD287" s="7442"/>
      <c r="CE287" s="7442"/>
      <c r="CF287" s="7442"/>
      <c r="CG287" s="7442"/>
      <c r="CH287" s="7442"/>
      <c r="CI287" s="7442"/>
      <c r="CJ287" s="7442"/>
      <c r="CK287" s="7442"/>
      <c r="CL287" s="7442"/>
      <c r="CM287" s="7442"/>
      <c r="CN287" s="28647"/>
      <c r="CO287" s="28647"/>
      <c r="CP287" s="28647"/>
      <c r="CQ287" s="28647"/>
      <c r="CR287" s="28647"/>
      <c r="CS287" s="28647"/>
      <c r="CT287" s="28647"/>
      <c r="CU287" s="2797"/>
      <c r="CV287" s="2797"/>
      <c r="DB287" s="1667">
        <v>14</v>
      </c>
    </row>
    <row customHeight="1" ht="14.699999999999998">
      <c r="O288" s="1049"/>
      <c r="AJ288" s="6952"/>
      <c r="AK288" s="6952"/>
      <c r="AL288" s="6952"/>
      <c r="AM288" s="6952"/>
      <c r="AN288" s="6952"/>
      <c r="AO288" s="6952"/>
      <c r="AP288" s="6952"/>
      <c r="AQ288" s="6952"/>
      <c r="AR288" s="6952"/>
      <c r="AS288" s="6952"/>
      <c r="AT288" s="6952"/>
      <c r="AU288" s="6952"/>
      <c r="AV288" s="6952"/>
      <c r="AW288" s="6952"/>
      <c r="AX288" s="6952"/>
      <c r="AY288" s="6952"/>
      <c r="AZ288" s="6952"/>
      <c r="BA288" s="6952"/>
      <c r="BB288" s="6952"/>
      <c r="BC288" s="6952"/>
      <c r="BD288" s="6952"/>
      <c r="BE288" s="6952"/>
      <c r="BF288" s="6952"/>
      <c r="BG288" s="6952"/>
      <c r="BH288" s="6952"/>
      <c r="BI288" s="6952"/>
      <c r="BJ288" s="6952"/>
      <c r="BK288" s="6952"/>
      <c r="BL288" s="6952"/>
      <c r="BM288" s="6952"/>
      <c r="BN288" s="6952"/>
      <c r="BO288" s="6952"/>
      <c r="BP288" s="6952"/>
      <c r="BQ288" s="6952"/>
      <c r="BR288" s="6952"/>
      <c r="BS288" s="6952"/>
      <c r="BT288" s="6952"/>
      <c r="BU288" s="6952"/>
      <c r="BV288" s="6952"/>
      <c r="BW288" s="6952"/>
      <c r="BX288" s="6952"/>
      <c r="BY288" s="6952"/>
      <c r="BZ288" s="6952"/>
      <c r="CA288" s="6952"/>
      <c r="CB288" s="6952"/>
      <c r="CC288" s="6952"/>
      <c r="CD288" s="6952"/>
      <c r="CE288" s="6952"/>
      <c r="CF288" s="6952"/>
      <c r="CG288" s="6952"/>
      <c r="CH288" s="6952"/>
      <c r="CI288" s="6952"/>
      <c r="CJ288" s="6952"/>
      <c r="CK288" s="6952"/>
      <c r="CL288" s="6952"/>
      <c r="CM288" s="6952"/>
      <c r="CN288" s="23674"/>
      <c r="CO288" s="23674"/>
      <c r="CP288" s="23674"/>
      <c r="CQ288" s="23674"/>
      <c r="CR288" s="23674"/>
      <c r="CS288" s="23674"/>
      <c r="CT288" s="23674"/>
      <c r="DB288" s="1667">
        <v>14</v>
      </c>
    </row>
    <row customHeight="1" ht="14.699999999999998">
      <c r="O289" s="1049"/>
      <c r="S289" s="1765"/>
      <c r="T289" s="2797"/>
      <c r="U289" s="2797"/>
      <c r="V289" s="2797"/>
      <c r="W289" s="2797"/>
      <c r="X289" s="2797"/>
      <c r="Y289" s="2797"/>
      <c r="Z289" s="2797"/>
      <c r="AA289" s="2797"/>
      <c r="AB289" s="2797"/>
      <c r="AC289" s="2797"/>
      <c r="AD289" s="2797"/>
      <c r="AE289" s="2797"/>
      <c r="AF289" s="2797"/>
      <c r="AG289" s="2797"/>
      <c r="AH289" s="2797"/>
      <c r="AI289" s="2797"/>
      <c r="AJ289" s="7442"/>
      <c r="AK289" s="7442"/>
      <c r="AL289" s="7442"/>
      <c r="AM289" s="7442"/>
      <c r="AN289" s="7442"/>
      <c r="AO289" s="7442"/>
      <c r="AP289" s="7442"/>
      <c r="AQ289" s="7442"/>
      <c r="AR289" s="7442"/>
      <c r="AS289" s="7442"/>
      <c r="AT289" s="7442"/>
      <c r="AU289" s="7442"/>
      <c r="AV289" s="7442"/>
      <c r="AW289" s="7442"/>
      <c r="AX289" s="7442"/>
      <c r="AY289" s="7442"/>
      <c r="AZ289" s="7442"/>
      <c r="BA289" s="7442"/>
      <c r="BB289" s="7442"/>
      <c r="BC289" s="7442"/>
      <c r="BD289" s="7442"/>
      <c r="BE289" s="7442"/>
      <c r="BF289" s="7442"/>
      <c r="BG289" s="7442"/>
      <c r="BH289" s="7442"/>
      <c r="BI289" s="7442"/>
      <c r="BJ289" s="7442"/>
      <c r="BK289" s="7442"/>
      <c r="BL289" s="7442"/>
      <c r="BM289" s="7442"/>
      <c r="BN289" s="7442"/>
      <c r="BO289" s="7442"/>
      <c r="BP289" s="7442"/>
      <c r="BQ289" s="7442"/>
      <c r="BR289" s="7442"/>
      <c r="BS289" s="7442"/>
      <c r="BT289" s="7442"/>
      <c r="BU289" s="7442"/>
      <c r="BV289" s="7442"/>
      <c r="BW289" s="7442"/>
      <c r="BX289" s="7442"/>
      <c r="BY289" s="7442"/>
      <c r="BZ289" s="7442"/>
      <c r="CA289" s="7442"/>
      <c r="CB289" s="7442"/>
      <c r="CC289" s="7442"/>
      <c r="CD289" s="7442"/>
      <c r="CE289" s="7442"/>
      <c r="CF289" s="7442"/>
      <c r="CG289" s="7442"/>
      <c r="CH289" s="7442"/>
      <c r="CI289" s="7442"/>
      <c r="CJ289" s="7442"/>
      <c r="CK289" s="7442"/>
      <c r="CL289" s="7442"/>
      <c r="CM289" s="7442"/>
      <c r="CN289" s="28647"/>
      <c r="CO289" s="28647"/>
      <c r="CP289" s="28647"/>
      <c r="CQ289" s="28647"/>
      <c r="CR289" s="28647"/>
      <c r="CS289" s="28647"/>
      <c r="CT289" s="28647"/>
      <c r="CU289" s="2797"/>
      <c r="CV289" s="2797"/>
      <c r="DB289" s="1667">
        <v>14</v>
      </c>
    </row>
    <row customHeight="1" ht="22.5" hidden="1">
      <c r="A290" s="1672" t="s">
        <v>84</v>
      </c>
      <c r="B290" s="1672">
        <v>0</v>
      </c>
      <c r="C290" s="1672">
        <v>0</v>
      </c>
      <c r="D290" s="1672">
        <v>0</v>
      </c>
      <c r="E290" s="1672">
        <v>0</v>
      </c>
      <c r="F290" s="1672">
        <v>0</v>
      </c>
      <c r="G290" s="1672">
        <v>0</v>
      </c>
      <c r="H290" s="1672">
        <v>0</v>
      </c>
      <c r="I290" s="1672">
        <v>0</v>
      </c>
      <c r="J290" s="1672">
        <v>0</v>
      </c>
      <c r="K290" s="1672">
        <v>0</v>
      </c>
      <c r="L290" s="1990">
        <v>0</v>
      </c>
      <c r="M290" s="1874">
        <v>0</v>
      </c>
      <c r="N290" s="1874">
        <v>0</v>
      </c>
      <c r="O290" s="1874">
        <v>0</v>
      </c>
      <c r="P290" s="1985">
        <v>3</v>
      </c>
      <c r="Q290" s="856">
        <v>3</v>
      </c>
      <c r="R290" s="856">
        <v>3</v>
      </c>
      <c r="S290" s="1093">
        <v>12</v>
      </c>
      <c r="T290" s="1667">
        <v>35</v>
      </c>
      <c r="U290" s="1667">
        <v>0</v>
      </c>
      <c r="V290" s="1667">
        <v>0</v>
      </c>
      <c r="W290" s="1667">
        <v>0</v>
      </c>
      <c r="X290" s="1667">
        <v>0</v>
      </c>
      <c r="Y290" s="1667">
        <v>0</v>
      </c>
      <c r="Z290" s="1667">
        <v>0</v>
      </c>
      <c r="AA290" s="1667">
        <v>0</v>
      </c>
      <c r="AB290" s="1667">
        <v>0</v>
      </c>
      <c r="AC290" s="1667">
        <v>24</v>
      </c>
      <c r="AD290" s="1667">
        <v>24</v>
      </c>
      <c r="AE290" s="1667">
        <v>24</v>
      </c>
      <c r="AF290" s="1667">
        <v>11</v>
      </c>
      <c r="AG290" s="1667">
        <v>3</v>
      </c>
      <c r="AH290" s="1667">
        <v>11</v>
      </c>
      <c r="AI290" s="1667">
        <v>0</v>
      </c>
      <c r="AJ290" s="6952">
        <v>0</v>
      </c>
      <c r="AK290" s="6952">
        <v>0</v>
      </c>
      <c r="AL290" s="6952">
        <v>0</v>
      </c>
      <c r="AM290" s="6952">
        <v>0</v>
      </c>
      <c r="AN290" s="6952">
        <v>0</v>
      </c>
      <c r="AO290" s="6952">
        <v>0</v>
      </c>
      <c r="AP290" s="6952">
        <v>0</v>
      </c>
      <c r="AQ290" s="6952">
        <v>0</v>
      </c>
      <c r="AR290" s="6952">
        <v>0</v>
      </c>
      <c r="AS290" s="6952">
        <v>0</v>
      </c>
      <c r="AT290" s="6952">
        <v>0</v>
      </c>
      <c r="AU290" s="6952">
        <v>0</v>
      </c>
      <c r="AV290" s="6952">
        <v>0</v>
      </c>
      <c r="AW290" s="6952">
        <v>0</v>
      </c>
      <c r="AX290" s="6952">
        <v>0</v>
      </c>
      <c r="AY290" s="6952">
        <v>0</v>
      </c>
      <c r="AZ290" s="6952">
        <v>0</v>
      </c>
      <c r="BA290" s="6952">
        <v>0</v>
      </c>
      <c r="BB290" s="6952">
        <v>0</v>
      </c>
      <c r="BC290" s="6952">
        <v>0</v>
      </c>
      <c r="BD290" s="6952">
        <v>0</v>
      </c>
      <c r="BE290" s="6952">
        <v>0</v>
      </c>
      <c r="BF290" s="6952">
        <v>0</v>
      </c>
      <c r="BG290" s="6952">
        <v>0</v>
      </c>
      <c r="BH290" s="6952">
        <v>0</v>
      </c>
      <c r="BI290" s="6952">
        <v>0</v>
      </c>
      <c r="BJ290" s="6952">
        <v>0</v>
      </c>
      <c r="BK290" s="6952">
        <v>0</v>
      </c>
      <c r="BL290" s="6952">
        <v>0</v>
      </c>
      <c r="BM290" s="6952">
        <v>0</v>
      </c>
      <c r="BN290" s="6952">
        <v>0</v>
      </c>
      <c r="BO290" s="6952">
        <v>0</v>
      </c>
      <c r="BP290" s="6952">
        <v>0</v>
      </c>
      <c r="BQ290" s="6952">
        <v>0</v>
      </c>
      <c r="BR290" s="6952">
        <v>0</v>
      </c>
      <c r="BS290" s="6952">
        <v>0</v>
      </c>
      <c r="BT290" s="6952">
        <v>0</v>
      </c>
      <c r="BU290" s="6952">
        <v>0</v>
      </c>
      <c r="BV290" s="6952">
        <v>0</v>
      </c>
      <c r="BW290" s="6952">
        <v>0</v>
      </c>
      <c r="BX290" s="6952">
        <v>0</v>
      </c>
      <c r="BY290" s="6952">
        <v>0</v>
      </c>
      <c r="BZ290" s="6952">
        <v>0</v>
      </c>
      <c r="CA290" s="6952">
        <v>0</v>
      </c>
      <c r="CB290" s="6952">
        <v>0</v>
      </c>
      <c r="CC290" s="6952">
        <v>0</v>
      </c>
      <c r="CD290" s="6952">
        <v>0</v>
      </c>
      <c r="CE290" s="6952">
        <v>0</v>
      </c>
      <c r="CF290" s="6952">
        <v>0</v>
      </c>
      <c r="CG290" s="6952">
        <v>0</v>
      </c>
      <c r="CH290" s="6952">
        <v>0</v>
      </c>
      <c r="CI290" s="6952">
        <v>0</v>
      </c>
      <c r="CJ290" s="6952">
        <v>0</v>
      </c>
      <c r="CK290" s="6952">
        <v>0</v>
      </c>
      <c r="CL290" s="6952">
        <v>0</v>
      </c>
      <c r="CM290" s="6952">
        <v>0</v>
      </c>
      <c r="CN290" s="23674">
        <v>0</v>
      </c>
      <c r="CO290" s="23674">
        <v>0</v>
      </c>
      <c r="CP290" s="23674">
        <v>0</v>
      </c>
      <c r="CQ290" s="23674">
        <v>0</v>
      </c>
      <c r="CR290" s="23674">
        <v>0</v>
      </c>
      <c r="CS290" s="23674">
        <v>0</v>
      </c>
      <c r="CT290" s="23674">
        <v>0</v>
      </c>
      <c r="CU290" s="1667">
        <v>4</v>
      </c>
      <c r="CV290" s="1667">
        <v>115</v>
      </c>
      <c r="CW290" s="1023">
        <v>10</v>
      </c>
      <c r="CX290" s="1023">
        <v>10</v>
      </c>
      <c r="CY290" s="1023">
        <v>10</v>
      </c>
      <c r="CZ290" s="1023">
        <v>10</v>
      </c>
      <c r="DA290" s="1023">
        <v>10</v>
      </c>
      <c r="DB290" s="1667">
        <v>23</v>
      </c>
    </row>
  </sheetData>
  <sheetProtection formatColumns="0" formatRows="0" autoFilter="0" sort="0" insertRows="0" insertColumns="1" deleteRows="0" deleteColumns="0"/>
  <mergeCells count="2212">
    <mergeCell ref="CV46:CV47"/>
    <mergeCell ref="T287:CV287"/>
    <mergeCell ref="T289:CV289"/>
    <mergeCell ref="K46:K47"/>
    <mergeCell ref="AF46:AF47"/>
    <mergeCell ref="Z40:AA40"/>
    <mergeCell ref="AG40:AH40"/>
    <mergeCell ref="E41:E284"/>
    <mergeCell ref="V41:AB41"/>
    <mergeCell ref="AC41:CU41"/>
    <mergeCell ref="F42:F55"/>
    <mergeCell ref="V42:AB42"/>
    <mergeCell ref="AC42:CU42"/>
    <mergeCell ref="G43:G54"/>
    <mergeCell ref="V43:AB43"/>
    <mergeCell ref="AC43:CU43"/>
    <mergeCell ref="H44:H54"/>
    <mergeCell ref="I44:I53"/>
    <mergeCell ref="P44:P53"/>
    <mergeCell ref="V44:AB44"/>
    <mergeCell ref="AC44:CU44"/>
    <mergeCell ref="J45:J48"/>
    <mergeCell ref="Q45:Q48"/>
    <mergeCell ref="V45:AB45"/>
    <mergeCell ref="AC45:CU45"/>
    <mergeCell ref="AG46:AG47"/>
    <mergeCell ref="AH46:AH47"/>
    <mergeCell ref="AI46:AI47"/>
    <mergeCell ref="CV36:CV39"/>
    <mergeCell ref="S37:S39"/>
    <mergeCell ref="T37:T39"/>
    <mergeCell ref="V37:AA37"/>
    <mergeCell ref="AB37:AB39"/>
    <mergeCell ref="AC37:AH37"/>
    <mergeCell ref="AI37:AI39"/>
    <mergeCell ref="S32:T32"/>
    <mergeCell ref="V32:AA32"/>
    <mergeCell ref="AC32:AH32"/>
    <mergeCell ref="S33:T33"/>
    <mergeCell ref="V33:AA33"/>
    <mergeCell ref="AC33:AH33"/>
    <mergeCell ref="CU37:CU39"/>
    <mergeCell ref="W38:X38"/>
    <mergeCell ref="Y38:AA38"/>
    <mergeCell ref="AD38:AE38"/>
    <mergeCell ref="AF38:AH38"/>
    <mergeCell ref="Z39:AA39"/>
    <mergeCell ref="AG39:AH39"/>
    <mergeCell ref="V35:AB35"/>
    <mergeCell ref="AC35:AI35"/>
    <mergeCell ref="S36:CU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CV7:CV8"/>
    <mergeCell ref="AF15:AF16"/>
    <mergeCell ref="AG15:AG16"/>
    <mergeCell ref="AH15:AH16"/>
    <mergeCell ref="AI15:AI16"/>
    <mergeCell ref="Z7:Z8"/>
    <mergeCell ref="AA7:AA8"/>
    <mergeCell ref="AB7:AB8"/>
    <mergeCell ref="AF7:AF8"/>
    <mergeCell ref="AG7:AG8"/>
    <mergeCell ref="AH7:AH8"/>
    <mergeCell ref="E2:E13"/>
    <mergeCell ref="V2:AB2"/>
    <mergeCell ref="AC2:CU2"/>
    <mergeCell ref="F3:F12"/>
    <mergeCell ref="V3:AB3"/>
    <mergeCell ref="AC3:CU3"/>
    <mergeCell ref="G4:G11"/>
    <mergeCell ref="V4:AB4"/>
    <mergeCell ref="AC4:CU4"/>
    <mergeCell ref="H5:H11"/>
    <mergeCell ref="I5:I10"/>
    <mergeCell ref="P5:P10"/>
    <mergeCell ref="V5:AB5"/>
    <mergeCell ref="AC5:CU5"/>
    <mergeCell ref="J6:J9"/>
    <mergeCell ref="Q6:Q9"/>
    <mergeCell ref="V6:AB6"/>
    <mergeCell ref="AC6:CU6"/>
    <mergeCell ref="K7:K8"/>
    <mergeCell ref="Y7:Y8"/>
    <mergeCell ref="AI7:AI8"/>
    <mergeCell ref="CV50:CV51"/>
    <mergeCell ref="Z50:Z51"/>
    <mergeCell ref="AA50:AA51"/>
    <mergeCell ref="AB50:AB51"/>
    <mergeCell ref="AF50:AF51"/>
    <mergeCell ref="AG50:AG51"/>
    <mergeCell ref="AH50:AH51"/>
    <mergeCell ref="J49:J52"/>
    <mergeCell ref="Q49:Q52"/>
    <mergeCell ref="V49:AB49"/>
    <mergeCell ref="AC49:CU49"/>
    <mergeCell ref="K50:K51"/>
    <mergeCell ref="Y50:Y51"/>
    <mergeCell ref="AI50:AI51"/>
    <mergeCell ref="AN40:AO40"/>
    <mergeCell ref="AM7:AM8"/>
    <mergeCell ref="AN7:AN8"/>
    <mergeCell ref="AO7:AO8"/>
    <mergeCell ref="AP7:AP8"/>
    <mergeCell ref="AJ27:AO27"/>
    <mergeCell ref="AJ28:AO28"/>
    <mergeCell ref="AJ29:AO29"/>
    <mergeCell ref="AJ30:AO30"/>
    <mergeCell ref="AJ32:AO32"/>
    <mergeCell ref="AJ33:AO33"/>
    <mergeCell ref="AJ35:AP35"/>
    <mergeCell ref="AJ37:AO37"/>
    <mergeCell ref="AP37:AP39"/>
    <mergeCell ref="AK38:AL38"/>
    <mergeCell ref="AM38:AO38"/>
    <mergeCell ref="AN39:AO39"/>
    <mergeCell ref="AM50:AM51"/>
    <mergeCell ref="AN50:AN51"/>
    <mergeCell ref="AO50:AO51"/>
    <mergeCell ref="AP50:AP51"/>
    <mergeCell ref="AM46:AM47"/>
    <mergeCell ref="AN46:AN47"/>
    <mergeCell ref="AO46:AO47"/>
    <mergeCell ref="AP46:AP47"/>
    <mergeCell ref="Y46:Y47"/>
    <mergeCell ref="Z46:Z47"/>
    <mergeCell ref="AA46:AA47"/>
    <mergeCell ref="AB46:AB47"/>
    <mergeCell ref="AU40:AV40"/>
    <mergeCell ref="AT7:AT8"/>
    <mergeCell ref="AU7:AU8"/>
    <mergeCell ref="AV7:AV8"/>
    <mergeCell ref="AW7:AW8"/>
    <mergeCell ref="AQ27:AV27"/>
    <mergeCell ref="AQ28:AV28"/>
    <mergeCell ref="AQ29:AV29"/>
    <mergeCell ref="AQ30:AV30"/>
    <mergeCell ref="AQ32:AV32"/>
    <mergeCell ref="AQ33:AV33"/>
    <mergeCell ref="AQ35:AW35"/>
    <mergeCell ref="AQ37:AV37"/>
    <mergeCell ref="AW37:AW39"/>
    <mergeCell ref="AR38:AS38"/>
    <mergeCell ref="AT38:AV38"/>
    <mergeCell ref="AU39:AV39"/>
    <mergeCell ref="AT46:AT47"/>
    <mergeCell ref="AU46:AU47"/>
    <mergeCell ref="AV46:AV47"/>
    <mergeCell ref="AW46:AW47"/>
    <mergeCell ref="AT50:AT51"/>
    <mergeCell ref="AU50:AU51"/>
    <mergeCell ref="AV50:AV51"/>
    <mergeCell ref="AW50:AW51"/>
    <mergeCell ref="BB40:BC40"/>
    <mergeCell ref="BA7:BA8"/>
    <mergeCell ref="BB7:BB8"/>
    <mergeCell ref="BC7:BC8"/>
    <mergeCell ref="BD7:BD8"/>
    <mergeCell ref="AX27:BC27"/>
    <mergeCell ref="AX28:BC28"/>
    <mergeCell ref="AX29:BC29"/>
    <mergeCell ref="AX30:BC30"/>
    <mergeCell ref="AX32:BC32"/>
    <mergeCell ref="AX33:BC33"/>
    <mergeCell ref="AX35:BD35"/>
    <mergeCell ref="AX37:BC37"/>
    <mergeCell ref="BD37:BD39"/>
    <mergeCell ref="AY38:AZ38"/>
    <mergeCell ref="BA38:BC38"/>
    <mergeCell ref="BB39:BC39"/>
    <mergeCell ref="BA46:BA47"/>
    <mergeCell ref="BB46:BB47"/>
    <mergeCell ref="BC46:BC47"/>
    <mergeCell ref="BD46:BD47"/>
    <mergeCell ref="BA50:BA51"/>
    <mergeCell ref="BB50:BB51"/>
    <mergeCell ref="BC50:BC51"/>
    <mergeCell ref="BD50:BD51"/>
    <mergeCell ref="BI40:BJ40"/>
    <mergeCell ref="BH7:BH8"/>
    <mergeCell ref="BI7:BI8"/>
    <mergeCell ref="BJ7:BJ8"/>
    <mergeCell ref="BK7:BK8"/>
    <mergeCell ref="BE27:BJ27"/>
    <mergeCell ref="BE28:BJ28"/>
    <mergeCell ref="BE29:BJ29"/>
    <mergeCell ref="BE30:BJ30"/>
    <mergeCell ref="BE32:BJ32"/>
    <mergeCell ref="BE33:BJ33"/>
    <mergeCell ref="BE35:BK35"/>
    <mergeCell ref="BE37:BJ37"/>
    <mergeCell ref="BK37:BK39"/>
    <mergeCell ref="BF38:BG38"/>
    <mergeCell ref="BH38:BJ38"/>
    <mergeCell ref="BI39:BJ39"/>
    <mergeCell ref="BH46:BH47"/>
    <mergeCell ref="BI46:BI47"/>
    <mergeCell ref="BJ46:BJ47"/>
    <mergeCell ref="BK46:BK47"/>
    <mergeCell ref="BH50:BH51"/>
    <mergeCell ref="BI50:BI51"/>
    <mergeCell ref="BJ50:BJ51"/>
    <mergeCell ref="BK50:BK51"/>
    <mergeCell ref="BP40:BQ40"/>
    <mergeCell ref="BO7:BO8"/>
    <mergeCell ref="BP7:BP8"/>
    <mergeCell ref="BQ7:BQ8"/>
    <mergeCell ref="BR7:BR8"/>
    <mergeCell ref="BL27:BQ27"/>
    <mergeCell ref="BL28:BQ28"/>
    <mergeCell ref="BL29:BQ29"/>
    <mergeCell ref="BL30:BQ30"/>
    <mergeCell ref="BL32:BQ32"/>
    <mergeCell ref="BL33:BQ33"/>
    <mergeCell ref="BL35:BR35"/>
    <mergeCell ref="BL37:BQ37"/>
    <mergeCell ref="BR37:BR39"/>
    <mergeCell ref="BM38:BN38"/>
    <mergeCell ref="BO38:BQ38"/>
    <mergeCell ref="BP39:BQ39"/>
    <mergeCell ref="BO46:BO47"/>
    <mergeCell ref="BP46:BP47"/>
    <mergeCell ref="BQ46:BQ47"/>
    <mergeCell ref="BR46:BR47"/>
    <mergeCell ref="BO50:BO51"/>
    <mergeCell ref="BP50:BP51"/>
    <mergeCell ref="BQ50:BQ51"/>
    <mergeCell ref="BR50:BR51"/>
    <mergeCell ref="BW40:BX40"/>
    <mergeCell ref="BV7:BV8"/>
    <mergeCell ref="BW7:BW8"/>
    <mergeCell ref="BX7:BX8"/>
    <mergeCell ref="BY7:BY8"/>
    <mergeCell ref="BS27:BX27"/>
    <mergeCell ref="BS28:BX28"/>
    <mergeCell ref="BS29:BX29"/>
    <mergeCell ref="BS30:BX30"/>
    <mergeCell ref="BS32:BX32"/>
    <mergeCell ref="BS33:BX33"/>
    <mergeCell ref="BS35:BY35"/>
    <mergeCell ref="BS37:BX37"/>
    <mergeCell ref="BY37:BY39"/>
    <mergeCell ref="BT38:BU38"/>
    <mergeCell ref="BV38:BX38"/>
    <mergeCell ref="BW39:BX39"/>
    <mergeCell ref="BV46:BV47"/>
    <mergeCell ref="BW46:BW47"/>
    <mergeCell ref="BX46:BX47"/>
    <mergeCell ref="BY46:BY47"/>
    <mergeCell ref="BV50:BV51"/>
    <mergeCell ref="BW50:BW51"/>
    <mergeCell ref="BX50:BX51"/>
    <mergeCell ref="BY50:BY51"/>
    <mergeCell ref="CD40:CE40"/>
    <mergeCell ref="CC7:CC8"/>
    <mergeCell ref="CD7:CD8"/>
    <mergeCell ref="CE7:CE8"/>
    <mergeCell ref="CF7:CF8"/>
    <mergeCell ref="BZ27:CE27"/>
    <mergeCell ref="BZ28:CE28"/>
    <mergeCell ref="BZ29:CE29"/>
    <mergeCell ref="BZ30:CE30"/>
    <mergeCell ref="BZ32:CE32"/>
    <mergeCell ref="BZ33:CE33"/>
    <mergeCell ref="BZ35:CF35"/>
    <mergeCell ref="BZ37:CE37"/>
    <mergeCell ref="CF37:CF39"/>
    <mergeCell ref="CA38:CB38"/>
    <mergeCell ref="CC38:CE38"/>
    <mergeCell ref="CD39:CE39"/>
    <mergeCell ref="CC46:CC47"/>
    <mergeCell ref="CD46:CD47"/>
    <mergeCell ref="CE46:CE47"/>
    <mergeCell ref="CF46:CF47"/>
    <mergeCell ref="CC50:CC51"/>
    <mergeCell ref="CD50:CD51"/>
    <mergeCell ref="CE50:CE51"/>
    <mergeCell ref="CF50:CF51"/>
    <mergeCell ref="CK40:CL40"/>
    <mergeCell ref="CJ7:CJ8"/>
    <mergeCell ref="CK7:CK8"/>
    <mergeCell ref="CL7:CL8"/>
    <mergeCell ref="CM7:CM8"/>
    <mergeCell ref="CG27:CL27"/>
    <mergeCell ref="CG28:CL28"/>
    <mergeCell ref="CG29:CL29"/>
    <mergeCell ref="CG30:CL30"/>
    <mergeCell ref="CG32:CL32"/>
    <mergeCell ref="CG33:CL33"/>
    <mergeCell ref="CG35:CM35"/>
    <mergeCell ref="CG37:CL37"/>
    <mergeCell ref="CM37:CM39"/>
    <mergeCell ref="CH38:CI38"/>
    <mergeCell ref="CJ38:CL38"/>
    <mergeCell ref="CK39:CL39"/>
    <mergeCell ref="CJ46:CJ47"/>
    <mergeCell ref="CK46:CK47"/>
    <mergeCell ref="CL46:CL47"/>
    <mergeCell ref="CM46:CM47"/>
    <mergeCell ref="CJ50:CJ51"/>
    <mergeCell ref="CK50:CK51"/>
    <mergeCell ref="CL50:CL51"/>
    <mergeCell ref="CM50:CM51"/>
    <mergeCell ref="CV60:CV61"/>
    <mergeCell ref="Z60:Z61"/>
    <mergeCell ref="AA60:AA61"/>
    <mergeCell ref="AB60:AB61"/>
    <mergeCell ref="AF60:AF61"/>
    <mergeCell ref="AG60:AG61"/>
    <mergeCell ref="AH60:AH61"/>
    <mergeCell ref="F56:F69"/>
    <mergeCell ref="V56:AB56"/>
    <mergeCell ref="AC56:CU56"/>
    <mergeCell ref="G57:G68"/>
    <mergeCell ref="V57:AB57"/>
    <mergeCell ref="AC57:CU57"/>
    <mergeCell ref="H58:H68"/>
    <mergeCell ref="I58:I67"/>
    <mergeCell ref="P58:P67"/>
    <mergeCell ref="V58:AB58"/>
    <mergeCell ref="AC58:CU58"/>
    <mergeCell ref="J59:J62"/>
    <mergeCell ref="Q59:Q62"/>
    <mergeCell ref="V59:AB59"/>
    <mergeCell ref="AC59:CU59"/>
    <mergeCell ref="K60:K61"/>
    <mergeCell ref="Y60:Y61"/>
    <mergeCell ref="AI60:AI61"/>
    <mergeCell ref="AM60:AM61"/>
    <mergeCell ref="AN60:AN61"/>
    <mergeCell ref="AO60:AO61"/>
    <mergeCell ref="AP60:AP61"/>
    <mergeCell ref="AT60:AT61"/>
    <mergeCell ref="AU60:AU61"/>
    <mergeCell ref="AV60:AV61"/>
    <mergeCell ref="AW60:AW61"/>
    <mergeCell ref="BA60:BA61"/>
    <mergeCell ref="BB60:BB61"/>
    <mergeCell ref="BC60:BC61"/>
    <mergeCell ref="BD60:BD61"/>
    <mergeCell ref="BH60:BH61"/>
    <mergeCell ref="BI60:BI61"/>
    <mergeCell ref="BJ60:BJ61"/>
    <mergeCell ref="BK60:BK61"/>
    <mergeCell ref="BO60:BO61"/>
    <mergeCell ref="BP60:BP61"/>
    <mergeCell ref="BQ60:BQ61"/>
    <mergeCell ref="BR60:BR61"/>
    <mergeCell ref="BV60:BV61"/>
    <mergeCell ref="BW60:BW61"/>
    <mergeCell ref="BX60:BX61"/>
    <mergeCell ref="BY60:BY61"/>
    <mergeCell ref="CC60:CC61"/>
    <mergeCell ref="CD60:CD61"/>
    <mergeCell ref="CE60:CE61"/>
    <mergeCell ref="CF60:CF61"/>
    <mergeCell ref="CJ60:CJ61"/>
    <mergeCell ref="CK60:CK61"/>
    <mergeCell ref="CL60:CL61"/>
    <mergeCell ref="CM60:CM61"/>
    <mergeCell ref="CV74:CV75"/>
    <mergeCell ref="Z74:Z75"/>
    <mergeCell ref="AA74:AA75"/>
    <mergeCell ref="AB74:AB75"/>
    <mergeCell ref="AF74:AF75"/>
    <mergeCell ref="AG74:AG75"/>
    <mergeCell ref="AH74:AH75"/>
    <mergeCell ref="F70:F83"/>
    <mergeCell ref="V70:AB70"/>
    <mergeCell ref="AC70:CU70"/>
    <mergeCell ref="G71:G82"/>
    <mergeCell ref="V71:AB71"/>
    <mergeCell ref="AC71:CU71"/>
    <mergeCell ref="H72:H82"/>
    <mergeCell ref="I72:I81"/>
    <mergeCell ref="P72:P81"/>
    <mergeCell ref="V72:AB72"/>
    <mergeCell ref="AC72:CU72"/>
    <mergeCell ref="J73:J76"/>
    <mergeCell ref="Q73:Q76"/>
    <mergeCell ref="V73:AB73"/>
    <mergeCell ref="AC73:CU73"/>
    <mergeCell ref="K74:K75"/>
    <mergeCell ref="Y74:Y75"/>
    <mergeCell ref="AI74:AI75"/>
    <mergeCell ref="AM74:AM75"/>
    <mergeCell ref="AN74:AN75"/>
    <mergeCell ref="AO74:AO75"/>
    <mergeCell ref="AP74:AP75"/>
    <mergeCell ref="AT74:AT75"/>
    <mergeCell ref="AU74:AU75"/>
    <mergeCell ref="AV74:AV75"/>
    <mergeCell ref="AW74:AW75"/>
    <mergeCell ref="BA74:BA75"/>
    <mergeCell ref="BB74:BB75"/>
    <mergeCell ref="BC74:BC75"/>
    <mergeCell ref="BD74:BD75"/>
    <mergeCell ref="BH74:BH75"/>
    <mergeCell ref="BI74:BI75"/>
    <mergeCell ref="BJ74:BJ75"/>
    <mergeCell ref="BK74:BK75"/>
    <mergeCell ref="BO74:BO75"/>
    <mergeCell ref="BP74:BP75"/>
    <mergeCell ref="BQ74:BQ75"/>
    <mergeCell ref="BR74:BR75"/>
    <mergeCell ref="BV74:BV75"/>
    <mergeCell ref="BW74:BW75"/>
    <mergeCell ref="BX74:BX75"/>
    <mergeCell ref="BY74:BY75"/>
    <mergeCell ref="CC74:CC75"/>
    <mergeCell ref="CD74:CD75"/>
    <mergeCell ref="CE74:CE75"/>
    <mergeCell ref="CF74:CF75"/>
    <mergeCell ref="CJ74:CJ75"/>
    <mergeCell ref="CK74:CK75"/>
    <mergeCell ref="CL74:CL75"/>
    <mergeCell ref="CM74:CM75"/>
    <mergeCell ref="CV88:CV89"/>
    <mergeCell ref="Z88:Z89"/>
    <mergeCell ref="AA88:AA89"/>
    <mergeCell ref="AB88:AB89"/>
    <mergeCell ref="AF88:AF89"/>
    <mergeCell ref="AG88:AG89"/>
    <mergeCell ref="AH88:AH89"/>
    <mergeCell ref="F84:F145"/>
    <mergeCell ref="V84:AB84"/>
    <mergeCell ref="AC84:CU84"/>
    <mergeCell ref="G85:G96"/>
    <mergeCell ref="V85:AB85"/>
    <mergeCell ref="AC85:CU85"/>
    <mergeCell ref="H86:H96"/>
    <mergeCell ref="I86:I95"/>
    <mergeCell ref="P86:P95"/>
    <mergeCell ref="V86:AB86"/>
    <mergeCell ref="AC86:CU86"/>
    <mergeCell ref="J87:J90"/>
    <mergeCell ref="Q87:Q90"/>
    <mergeCell ref="V87:AB87"/>
    <mergeCell ref="AC87:CU87"/>
    <mergeCell ref="K88:K89"/>
    <mergeCell ref="Y88:Y89"/>
    <mergeCell ref="AI88:AI89"/>
    <mergeCell ref="AM88:AM89"/>
    <mergeCell ref="AN88:AN89"/>
    <mergeCell ref="AO88:AO89"/>
    <mergeCell ref="AP88:AP89"/>
    <mergeCell ref="AT88:AT89"/>
    <mergeCell ref="AU88:AU89"/>
    <mergeCell ref="AV88:AV89"/>
    <mergeCell ref="AW88:AW89"/>
    <mergeCell ref="BA88:BA89"/>
    <mergeCell ref="BB88:BB89"/>
    <mergeCell ref="BC88:BC89"/>
    <mergeCell ref="BD88:BD89"/>
    <mergeCell ref="BH88:BH89"/>
    <mergeCell ref="BI88:BI89"/>
    <mergeCell ref="BJ88:BJ89"/>
    <mergeCell ref="BK88:BK89"/>
    <mergeCell ref="BO88:BO89"/>
    <mergeCell ref="BP88:BP89"/>
    <mergeCell ref="BQ88:BQ89"/>
    <mergeCell ref="BR88:BR89"/>
    <mergeCell ref="BV88:BV89"/>
    <mergeCell ref="BW88:BW89"/>
    <mergeCell ref="BX88:BX89"/>
    <mergeCell ref="BY88:BY89"/>
    <mergeCell ref="CC88:CC89"/>
    <mergeCell ref="CD88:CD89"/>
    <mergeCell ref="CE88:CE89"/>
    <mergeCell ref="CF88:CF89"/>
    <mergeCell ref="CJ88:CJ89"/>
    <mergeCell ref="CK88:CK89"/>
    <mergeCell ref="CL88:CL89"/>
    <mergeCell ref="CM88:CM89"/>
    <mergeCell ref="CV100:CV101"/>
    <mergeCell ref="Z100:Z101"/>
    <mergeCell ref="AA100:AA101"/>
    <mergeCell ref="AB100:AB101"/>
    <mergeCell ref="AF100:AF101"/>
    <mergeCell ref="AG100:AG101"/>
    <mergeCell ref="AH100:AH101"/>
    <mergeCell ref="G97:G108"/>
    <mergeCell ref="V97:AB97"/>
    <mergeCell ref="AC97:CU97"/>
    <mergeCell ref="H98:H108"/>
    <mergeCell ref="I98:I107"/>
    <mergeCell ref="P98:P107"/>
    <mergeCell ref="V98:AB98"/>
    <mergeCell ref="AC98:CU98"/>
    <mergeCell ref="J99:J102"/>
    <mergeCell ref="Q99:Q102"/>
    <mergeCell ref="V99:AB99"/>
    <mergeCell ref="AC99:CU99"/>
    <mergeCell ref="K100:K101"/>
    <mergeCell ref="Y100:Y101"/>
    <mergeCell ref="AI100:AI101"/>
    <mergeCell ref="AM100:AM101"/>
    <mergeCell ref="AN100:AN101"/>
    <mergeCell ref="AO100:AO101"/>
    <mergeCell ref="AP100:AP101"/>
    <mergeCell ref="AT100:AT101"/>
    <mergeCell ref="AU100:AU101"/>
    <mergeCell ref="AV100:AV101"/>
    <mergeCell ref="AW100:AW101"/>
    <mergeCell ref="BA100:BA101"/>
    <mergeCell ref="BB100:BB101"/>
    <mergeCell ref="BC100:BC101"/>
    <mergeCell ref="BD100:BD101"/>
    <mergeCell ref="BH100:BH101"/>
    <mergeCell ref="BI100:BI101"/>
    <mergeCell ref="BJ100:BJ101"/>
    <mergeCell ref="BK100:BK101"/>
    <mergeCell ref="BO100:BO101"/>
    <mergeCell ref="BP100:BP101"/>
    <mergeCell ref="BQ100:BQ101"/>
    <mergeCell ref="BR100:BR101"/>
    <mergeCell ref="BV100:BV101"/>
    <mergeCell ref="BW100:BW101"/>
    <mergeCell ref="BX100:BX101"/>
    <mergeCell ref="BY100:BY101"/>
    <mergeCell ref="CC100:CC101"/>
    <mergeCell ref="CD100:CD101"/>
    <mergeCell ref="CE100:CE101"/>
    <mergeCell ref="CF100:CF101"/>
    <mergeCell ref="CJ100:CJ101"/>
    <mergeCell ref="CK100:CK101"/>
    <mergeCell ref="CL100:CL101"/>
    <mergeCell ref="CM100:CM101"/>
    <mergeCell ref="CV112:CV113"/>
    <mergeCell ref="Z112:Z113"/>
    <mergeCell ref="AA112:AA113"/>
    <mergeCell ref="AB112:AB113"/>
    <mergeCell ref="AF112:AF113"/>
    <mergeCell ref="AG112:AG113"/>
    <mergeCell ref="AH112:AH113"/>
    <mergeCell ref="G109:G120"/>
    <mergeCell ref="V109:AB109"/>
    <mergeCell ref="AC109:CU109"/>
    <mergeCell ref="H110:H120"/>
    <mergeCell ref="I110:I119"/>
    <mergeCell ref="P110:P119"/>
    <mergeCell ref="V110:AB110"/>
    <mergeCell ref="AC110:CU110"/>
    <mergeCell ref="J111:J114"/>
    <mergeCell ref="Q111:Q114"/>
    <mergeCell ref="V111:AB111"/>
    <mergeCell ref="AC111:CU111"/>
    <mergeCell ref="K112:K113"/>
    <mergeCell ref="Y112:Y113"/>
    <mergeCell ref="AI112:AI113"/>
    <mergeCell ref="AM112:AM113"/>
    <mergeCell ref="AN112:AN113"/>
    <mergeCell ref="AO112:AO113"/>
    <mergeCell ref="AP112:AP113"/>
    <mergeCell ref="AT112:AT113"/>
    <mergeCell ref="AU112:AU113"/>
    <mergeCell ref="AV112:AV113"/>
    <mergeCell ref="AW112:AW113"/>
    <mergeCell ref="BA112:BA113"/>
    <mergeCell ref="BB112:BB113"/>
    <mergeCell ref="BC112:BC113"/>
    <mergeCell ref="BD112:BD113"/>
    <mergeCell ref="BH112:BH113"/>
    <mergeCell ref="BI112:BI113"/>
    <mergeCell ref="BJ112:BJ113"/>
    <mergeCell ref="BK112:BK113"/>
    <mergeCell ref="BO112:BO113"/>
    <mergeCell ref="BP112:BP113"/>
    <mergeCell ref="BQ112:BQ113"/>
    <mergeCell ref="BR112:BR113"/>
    <mergeCell ref="BV112:BV113"/>
    <mergeCell ref="BW112:BW113"/>
    <mergeCell ref="BX112:BX113"/>
    <mergeCell ref="BY112:BY113"/>
    <mergeCell ref="CC112:CC113"/>
    <mergeCell ref="CD112:CD113"/>
    <mergeCell ref="CE112:CE113"/>
    <mergeCell ref="CF112:CF113"/>
    <mergeCell ref="CJ112:CJ113"/>
    <mergeCell ref="CK112:CK113"/>
    <mergeCell ref="CL112:CL113"/>
    <mergeCell ref="CM112:CM113"/>
    <mergeCell ref="CV124:CV125"/>
    <mergeCell ref="Z124:Z125"/>
    <mergeCell ref="AA124:AA125"/>
    <mergeCell ref="AB124:AB125"/>
    <mergeCell ref="AF124:AF125"/>
    <mergeCell ref="AG124:AG125"/>
    <mergeCell ref="AH124:AH125"/>
    <mergeCell ref="G121:G132"/>
    <mergeCell ref="V121:AB121"/>
    <mergeCell ref="AC121:CU121"/>
    <mergeCell ref="H122:H132"/>
    <mergeCell ref="I122:I131"/>
    <mergeCell ref="P122:P131"/>
    <mergeCell ref="V122:AB122"/>
    <mergeCell ref="AC122:CU122"/>
    <mergeCell ref="J123:J126"/>
    <mergeCell ref="Q123:Q126"/>
    <mergeCell ref="V123:AB123"/>
    <mergeCell ref="AC123:CU123"/>
    <mergeCell ref="K124:K125"/>
    <mergeCell ref="Y124:Y125"/>
    <mergeCell ref="AI124:AI125"/>
    <mergeCell ref="AM124:AM125"/>
    <mergeCell ref="AN124:AN125"/>
    <mergeCell ref="AO124:AO125"/>
    <mergeCell ref="AP124:AP125"/>
    <mergeCell ref="AT124:AT125"/>
    <mergeCell ref="AU124:AU125"/>
    <mergeCell ref="AV124:AV125"/>
    <mergeCell ref="AW124:AW125"/>
    <mergeCell ref="BA124:BA125"/>
    <mergeCell ref="BB124:BB125"/>
    <mergeCell ref="BC124:BC125"/>
    <mergeCell ref="BD124:BD125"/>
    <mergeCell ref="BH124:BH125"/>
    <mergeCell ref="BI124:BI125"/>
    <mergeCell ref="BJ124:BJ125"/>
    <mergeCell ref="BK124:BK125"/>
    <mergeCell ref="BO124:BO125"/>
    <mergeCell ref="BP124:BP125"/>
    <mergeCell ref="BQ124:BQ125"/>
    <mergeCell ref="BR124:BR125"/>
    <mergeCell ref="BV124:BV125"/>
    <mergeCell ref="BW124:BW125"/>
    <mergeCell ref="BX124:BX125"/>
    <mergeCell ref="BY124:BY125"/>
    <mergeCell ref="CC124:CC125"/>
    <mergeCell ref="CD124:CD125"/>
    <mergeCell ref="CE124:CE125"/>
    <mergeCell ref="CF124:CF125"/>
    <mergeCell ref="CJ124:CJ125"/>
    <mergeCell ref="CK124:CK125"/>
    <mergeCell ref="CL124:CL125"/>
    <mergeCell ref="CM124:CM125"/>
    <mergeCell ref="CV136:CV137"/>
    <mergeCell ref="Z136:Z137"/>
    <mergeCell ref="AA136:AA137"/>
    <mergeCell ref="AB136:AB137"/>
    <mergeCell ref="AF136:AF137"/>
    <mergeCell ref="AG136:AG137"/>
    <mergeCell ref="AH136:AH137"/>
    <mergeCell ref="G133:G144"/>
    <mergeCell ref="V133:AB133"/>
    <mergeCell ref="AC133:CU133"/>
    <mergeCell ref="H134:H144"/>
    <mergeCell ref="I134:I143"/>
    <mergeCell ref="P134:P143"/>
    <mergeCell ref="V134:AB134"/>
    <mergeCell ref="AC134:CU134"/>
    <mergeCell ref="J135:J138"/>
    <mergeCell ref="Q135:Q138"/>
    <mergeCell ref="V135:AB135"/>
    <mergeCell ref="AC135:CU135"/>
    <mergeCell ref="K136:K137"/>
    <mergeCell ref="Y136:Y137"/>
    <mergeCell ref="AI136:AI137"/>
    <mergeCell ref="AM136:AM137"/>
    <mergeCell ref="AN136:AN137"/>
    <mergeCell ref="AO136:AO137"/>
    <mergeCell ref="AP136:AP137"/>
    <mergeCell ref="AT136:AT137"/>
    <mergeCell ref="AU136:AU137"/>
    <mergeCell ref="AV136:AV137"/>
    <mergeCell ref="AW136:AW137"/>
    <mergeCell ref="BA136:BA137"/>
    <mergeCell ref="BB136:BB137"/>
    <mergeCell ref="BC136:BC137"/>
    <mergeCell ref="BD136:BD137"/>
    <mergeCell ref="BH136:BH137"/>
    <mergeCell ref="BI136:BI137"/>
    <mergeCell ref="BJ136:BJ137"/>
    <mergeCell ref="BK136:BK137"/>
    <mergeCell ref="BO136:BO137"/>
    <mergeCell ref="BP136:BP137"/>
    <mergeCell ref="BQ136:BQ137"/>
    <mergeCell ref="BR136:BR137"/>
    <mergeCell ref="BV136:BV137"/>
    <mergeCell ref="BW136:BW137"/>
    <mergeCell ref="BX136:BX137"/>
    <mergeCell ref="BY136:BY137"/>
    <mergeCell ref="CC136:CC137"/>
    <mergeCell ref="CD136:CD137"/>
    <mergeCell ref="CE136:CE137"/>
    <mergeCell ref="CF136:CF137"/>
    <mergeCell ref="CJ136:CJ137"/>
    <mergeCell ref="CK136:CK137"/>
    <mergeCell ref="CL136:CL137"/>
    <mergeCell ref="CM136:CM137"/>
    <mergeCell ref="CV150:CV151"/>
    <mergeCell ref="Z150:Z151"/>
    <mergeCell ref="AA150:AA151"/>
    <mergeCell ref="AB150:AB151"/>
    <mergeCell ref="AF150:AF151"/>
    <mergeCell ref="AG150:AG151"/>
    <mergeCell ref="AH150:AH151"/>
    <mergeCell ref="F146:F159"/>
    <mergeCell ref="V146:AB146"/>
    <mergeCell ref="AC146:CU146"/>
    <mergeCell ref="G147:G158"/>
    <mergeCell ref="V147:AB147"/>
    <mergeCell ref="AC147:CU147"/>
    <mergeCell ref="H148:H158"/>
    <mergeCell ref="I148:I157"/>
    <mergeCell ref="P148:P157"/>
    <mergeCell ref="V148:AB148"/>
    <mergeCell ref="AC148:CU148"/>
    <mergeCell ref="J149:J152"/>
    <mergeCell ref="Q149:Q152"/>
    <mergeCell ref="V149:AB149"/>
    <mergeCell ref="AC149:CU149"/>
    <mergeCell ref="K150:K151"/>
    <mergeCell ref="Y150:Y151"/>
    <mergeCell ref="AI150:AI151"/>
    <mergeCell ref="AM150:AM151"/>
    <mergeCell ref="AN150:AN151"/>
    <mergeCell ref="AO150:AO151"/>
    <mergeCell ref="AP150:AP151"/>
    <mergeCell ref="AT150:AT151"/>
    <mergeCell ref="AU150:AU151"/>
    <mergeCell ref="AV150:AV151"/>
    <mergeCell ref="AW150:AW151"/>
    <mergeCell ref="BA150:BA151"/>
    <mergeCell ref="BB150:BB151"/>
    <mergeCell ref="BC150:BC151"/>
    <mergeCell ref="BD150:BD151"/>
    <mergeCell ref="BH150:BH151"/>
    <mergeCell ref="BI150:BI151"/>
    <mergeCell ref="BJ150:BJ151"/>
    <mergeCell ref="BK150:BK151"/>
    <mergeCell ref="BO150:BO151"/>
    <mergeCell ref="BP150:BP151"/>
    <mergeCell ref="BQ150:BQ151"/>
    <mergeCell ref="BR150:BR151"/>
    <mergeCell ref="BV150:BV151"/>
    <mergeCell ref="BW150:BW151"/>
    <mergeCell ref="BX150:BX151"/>
    <mergeCell ref="BY150:BY151"/>
    <mergeCell ref="CC150:CC151"/>
    <mergeCell ref="CD150:CD151"/>
    <mergeCell ref="CE150:CE151"/>
    <mergeCell ref="CF150:CF151"/>
    <mergeCell ref="CJ150:CJ151"/>
    <mergeCell ref="CK150:CK151"/>
    <mergeCell ref="CL150:CL151"/>
    <mergeCell ref="CM150:CM151"/>
    <mergeCell ref="CV164:CV165"/>
    <mergeCell ref="Z164:Z165"/>
    <mergeCell ref="AA164:AA165"/>
    <mergeCell ref="AB164:AB165"/>
    <mergeCell ref="AF164:AF165"/>
    <mergeCell ref="AG164:AG165"/>
    <mergeCell ref="AH164:AH165"/>
    <mergeCell ref="F160:F173"/>
    <mergeCell ref="V160:AB160"/>
    <mergeCell ref="AC160:CU160"/>
    <mergeCell ref="G161:G172"/>
    <mergeCell ref="V161:AB161"/>
    <mergeCell ref="AC161:CU161"/>
    <mergeCell ref="H162:H172"/>
    <mergeCell ref="I162:I171"/>
    <mergeCell ref="P162:P171"/>
    <mergeCell ref="V162:AB162"/>
    <mergeCell ref="AC162:CU162"/>
    <mergeCell ref="J163:J166"/>
    <mergeCell ref="Q163:Q166"/>
    <mergeCell ref="V163:AB163"/>
    <mergeCell ref="AC163:CU163"/>
    <mergeCell ref="K164:K165"/>
    <mergeCell ref="Y164:Y165"/>
    <mergeCell ref="AI164:AI165"/>
    <mergeCell ref="AM164:AM165"/>
    <mergeCell ref="AN164:AN165"/>
    <mergeCell ref="AO164:AO165"/>
    <mergeCell ref="AP164:AP165"/>
    <mergeCell ref="AT164:AT165"/>
    <mergeCell ref="AU164:AU165"/>
    <mergeCell ref="AV164:AV165"/>
    <mergeCell ref="AW164:AW165"/>
    <mergeCell ref="BA164:BA165"/>
    <mergeCell ref="BB164:BB165"/>
    <mergeCell ref="BC164:BC165"/>
    <mergeCell ref="BD164:BD165"/>
    <mergeCell ref="BH164:BH165"/>
    <mergeCell ref="BI164:BI165"/>
    <mergeCell ref="BJ164:BJ165"/>
    <mergeCell ref="BK164:BK165"/>
    <mergeCell ref="BO164:BO165"/>
    <mergeCell ref="BP164:BP165"/>
    <mergeCell ref="BQ164:BQ165"/>
    <mergeCell ref="BR164:BR165"/>
    <mergeCell ref="BV164:BV165"/>
    <mergeCell ref="BW164:BW165"/>
    <mergeCell ref="BX164:BX165"/>
    <mergeCell ref="BY164:BY165"/>
    <mergeCell ref="CC164:CC165"/>
    <mergeCell ref="CD164:CD165"/>
    <mergeCell ref="CE164:CE165"/>
    <mergeCell ref="CF164:CF165"/>
    <mergeCell ref="CJ164:CJ165"/>
    <mergeCell ref="CK164:CK165"/>
    <mergeCell ref="CL164:CL165"/>
    <mergeCell ref="CM164:CM165"/>
    <mergeCell ref="CV178:CV179"/>
    <mergeCell ref="Z178:Z179"/>
    <mergeCell ref="AA178:AA179"/>
    <mergeCell ref="AB178:AB179"/>
    <mergeCell ref="AF178:AF179"/>
    <mergeCell ref="AG178:AG179"/>
    <mergeCell ref="AH178:AH179"/>
    <mergeCell ref="F174:F187"/>
    <mergeCell ref="V174:AB174"/>
    <mergeCell ref="AC174:CU174"/>
    <mergeCell ref="G175:G186"/>
    <mergeCell ref="V175:AB175"/>
    <mergeCell ref="AC175:CU175"/>
    <mergeCell ref="H176:H186"/>
    <mergeCell ref="I176:I185"/>
    <mergeCell ref="P176:P185"/>
    <mergeCell ref="V176:AB176"/>
    <mergeCell ref="AC176:CU176"/>
    <mergeCell ref="J177:J180"/>
    <mergeCell ref="Q177:Q180"/>
    <mergeCell ref="V177:AB177"/>
    <mergeCell ref="AC177:CU177"/>
    <mergeCell ref="K178:K179"/>
    <mergeCell ref="Y178:Y179"/>
    <mergeCell ref="AI178:AI179"/>
    <mergeCell ref="AM178:AM179"/>
    <mergeCell ref="AN178:AN179"/>
    <mergeCell ref="AO178:AO179"/>
    <mergeCell ref="AP178:AP179"/>
    <mergeCell ref="AT178:AT179"/>
    <mergeCell ref="AU178:AU179"/>
    <mergeCell ref="AV178:AV179"/>
    <mergeCell ref="AW178:AW179"/>
    <mergeCell ref="BA178:BA179"/>
    <mergeCell ref="BB178:BB179"/>
    <mergeCell ref="BC178:BC179"/>
    <mergeCell ref="BD178:BD179"/>
    <mergeCell ref="BH178:BH179"/>
    <mergeCell ref="BI178:BI179"/>
    <mergeCell ref="BJ178:BJ179"/>
    <mergeCell ref="BK178:BK179"/>
    <mergeCell ref="BO178:BO179"/>
    <mergeCell ref="BP178:BP179"/>
    <mergeCell ref="BQ178:BQ179"/>
    <mergeCell ref="BR178:BR179"/>
    <mergeCell ref="BV178:BV179"/>
    <mergeCell ref="BW178:BW179"/>
    <mergeCell ref="BX178:BX179"/>
    <mergeCell ref="BY178:BY179"/>
    <mergeCell ref="CC178:CC179"/>
    <mergeCell ref="CD178:CD179"/>
    <mergeCell ref="CE178:CE179"/>
    <mergeCell ref="CF178:CF179"/>
    <mergeCell ref="CJ178:CJ179"/>
    <mergeCell ref="CK178:CK179"/>
    <mergeCell ref="CL178:CL179"/>
    <mergeCell ref="CM178:CM179"/>
    <mergeCell ref="CV192:CV193"/>
    <mergeCell ref="Z192:Z193"/>
    <mergeCell ref="AA192:AA193"/>
    <mergeCell ref="AB192:AB193"/>
    <mergeCell ref="AF192:AF193"/>
    <mergeCell ref="AG192:AG193"/>
    <mergeCell ref="AH192:AH193"/>
    <mergeCell ref="F188:F201"/>
    <mergeCell ref="V188:AB188"/>
    <mergeCell ref="AC188:CU188"/>
    <mergeCell ref="G189:G200"/>
    <mergeCell ref="V189:AB189"/>
    <mergeCell ref="AC189:CU189"/>
    <mergeCell ref="H190:H200"/>
    <mergeCell ref="I190:I199"/>
    <mergeCell ref="P190:P199"/>
    <mergeCell ref="V190:AB190"/>
    <mergeCell ref="AC190:CU190"/>
    <mergeCell ref="J191:J194"/>
    <mergeCell ref="Q191:Q194"/>
    <mergeCell ref="V191:AB191"/>
    <mergeCell ref="AC191:CU191"/>
    <mergeCell ref="K192:K193"/>
    <mergeCell ref="Y192:Y193"/>
    <mergeCell ref="AI192:AI193"/>
    <mergeCell ref="AM192:AM193"/>
    <mergeCell ref="AN192:AN193"/>
    <mergeCell ref="AO192:AO193"/>
    <mergeCell ref="AP192:AP193"/>
    <mergeCell ref="AT192:AT193"/>
    <mergeCell ref="AU192:AU193"/>
    <mergeCell ref="AV192:AV193"/>
    <mergeCell ref="AW192:AW193"/>
    <mergeCell ref="BA192:BA193"/>
    <mergeCell ref="BB192:BB193"/>
    <mergeCell ref="BC192:BC193"/>
    <mergeCell ref="BD192:BD193"/>
    <mergeCell ref="BH192:BH193"/>
    <mergeCell ref="BI192:BI193"/>
    <mergeCell ref="BJ192:BJ193"/>
    <mergeCell ref="BK192:BK193"/>
    <mergeCell ref="BO192:BO193"/>
    <mergeCell ref="BP192:BP193"/>
    <mergeCell ref="BQ192:BQ193"/>
    <mergeCell ref="BR192:BR193"/>
    <mergeCell ref="BV192:BV193"/>
    <mergeCell ref="BW192:BW193"/>
    <mergeCell ref="BX192:BX193"/>
    <mergeCell ref="BY192:BY193"/>
    <mergeCell ref="CC192:CC193"/>
    <mergeCell ref="CD192:CD193"/>
    <mergeCell ref="CE192:CE193"/>
    <mergeCell ref="CF192:CF193"/>
    <mergeCell ref="CJ192:CJ193"/>
    <mergeCell ref="CK192:CK193"/>
    <mergeCell ref="CL192:CL193"/>
    <mergeCell ref="CM192:CM193"/>
    <mergeCell ref="CV206:CV207"/>
    <mergeCell ref="Z206:Z207"/>
    <mergeCell ref="AA206:AA207"/>
    <mergeCell ref="AB206:AB207"/>
    <mergeCell ref="AF206:AF207"/>
    <mergeCell ref="AG206:AG207"/>
    <mergeCell ref="AH206:AH207"/>
    <mergeCell ref="F202:F215"/>
    <mergeCell ref="V202:AB202"/>
    <mergeCell ref="AC202:CU202"/>
    <mergeCell ref="G203:G214"/>
    <mergeCell ref="V203:AB203"/>
    <mergeCell ref="AC203:CU203"/>
    <mergeCell ref="H204:H214"/>
    <mergeCell ref="I204:I213"/>
    <mergeCell ref="P204:P213"/>
    <mergeCell ref="V204:AB204"/>
    <mergeCell ref="AC204:CU204"/>
    <mergeCell ref="J205:J208"/>
    <mergeCell ref="Q205:Q208"/>
    <mergeCell ref="V205:AB205"/>
    <mergeCell ref="AC205:CU205"/>
    <mergeCell ref="K206:K207"/>
    <mergeCell ref="Y206:Y207"/>
    <mergeCell ref="AI206:AI207"/>
    <mergeCell ref="AM206:AM207"/>
    <mergeCell ref="AN206:AN207"/>
    <mergeCell ref="AO206:AO207"/>
    <mergeCell ref="AP206:AP207"/>
    <mergeCell ref="AT206:AT207"/>
    <mergeCell ref="AU206:AU207"/>
    <mergeCell ref="AV206:AV207"/>
    <mergeCell ref="AW206:AW207"/>
    <mergeCell ref="BA206:BA207"/>
    <mergeCell ref="BB206:BB207"/>
    <mergeCell ref="BC206:BC207"/>
    <mergeCell ref="BD206:BD207"/>
    <mergeCell ref="BH206:BH207"/>
    <mergeCell ref="BI206:BI207"/>
    <mergeCell ref="BJ206:BJ207"/>
    <mergeCell ref="BK206:BK207"/>
    <mergeCell ref="BO206:BO207"/>
    <mergeCell ref="BP206:BP207"/>
    <mergeCell ref="BQ206:BQ207"/>
    <mergeCell ref="BR206:BR207"/>
    <mergeCell ref="BV206:BV207"/>
    <mergeCell ref="BW206:BW207"/>
    <mergeCell ref="BX206:BX207"/>
    <mergeCell ref="BY206:BY207"/>
    <mergeCell ref="CC206:CC207"/>
    <mergeCell ref="CD206:CD207"/>
    <mergeCell ref="CE206:CE207"/>
    <mergeCell ref="CF206:CF207"/>
    <mergeCell ref="CJ206:CJ207"/>
    <mergeCell ref="CK206:CK207"/>
    <mergeCell ref="CL206:CL207"/>
    <mergeCell ref="CM206:CM207"/>
    <mergeCell ref="CV220:CV221"/>
    <mergeCell ref="Z220:Z221"/>
    <mergeCell ref="AA220:AA221"/>
    <mergeCell ref="AB220:AB221"/>
    <mergeCell ref="AF220:AF221"/>
    <mergeCell ref="AG220:AG221"/>
    <mergeCell ref="AH220:AH221"/>
    <mergeCell ref="F216:F229"/>
    <mergeCell ref="V216:AB216"/>
    <mergeCell ref="AC216:CU216"/>
    <mergeCell ref="G217:G228"/>
    <mergeCell ref="V217:AB217"/>
    <mergeCell ref="AC217:CU217"/>
    <mergeCell ref="H218:H228"/>
    <mergeCell ref="I218:I227"/>
    <mergeCell ref="P218:P227"/>
    <mergeCell ref="V218:AB218"/>
    <mergeCell ref="AC218:CU218"/>
    <mergeCell ref="J219:J222"/>
    <mergeCell ref="Q219:Q222"/>
    <mergeCell ref="V219:AB219"/>
    <mergeCell ref="AC219:CU219"/>
    <mergeCell ref="K220:K221"/>
    <mergeCell ref="Y220:Y221"/>
    <mergeCell ref="AI220:AI221"/>
    <mergeCell ref="AM220:AM221"/>
    <mergeCell ref="AN220:AN221"/>
    <mergeCell ref="AO220:AO221"/>
    <mergeCell ref="AP220:AP221"/>
    <mergeCell ref="AT220:AT221"/>
    <mergeCell ref="AU220:AU221"/>
    <mergeCell ref="AV220:AV221"/>
    <mergeCell ref="AW220:AW221"/>
    <mergeCell ref="BA220:BA221"/>
    <mergeCell ref="BB220:BB221"/>
    <mergeCell ref="BC220:BC221"/>
    <mergeCell ref="BD220:BD221"/>
    <mergeCell ref="BH220:BH221"/>
    <mergeCell ref="BI220:BI221"/>
    <mergeCell ref="BJ220:BJ221"/>
    <mergeCell ref="BK220:BK221"/>
    <mergeCell ref="BO220:BO221"/>
    <mergeCell ref="BP220:BP221"/>
    <mergeCell ref="BQ220:BQ221"/>
    <mergeCell ref="BR220:BR221"/>
    <mergeCell ref="BV220:BV221"/>
    <mergeCell ref="BW220:BW221"/>
    <mergeCell ref="BX220:BX221"/>
    <mergeCell ref="BY220:BY221"/>
    <mergeCell ref="CC220:CC221"/>
    <mergeCell ref="CD220:CD221"/>
    <mergeCell ref="CE220:CE221"/>
    <mergeCell ref="CF220:CF221"/>
    <mergeCell ref="CJ220:CJ221"/>
    <mergeCell ref="CK220:CK221"/>
    <mergeCell ref="CL220:CL221"/>
    <mergeCell ref="CM220:CM221"/>
    <mergeCell ref="CV234:CV235"/>
    <mergeCell ref="Z234:Z235"/>
    <mergeCell ref="AA234:AA235"/>
    <mergeCell ref="AB234:AB235"/>
    <mergeCell ref="AF234:AF235"/>
    <mergeCell ref="AG234:AG235"/>
    <mergeCell ref="AH234:AH235"/>
    <mergeCell ref="F230:F243"/>
    <mergeCell ref="V230:AB230"/>
    <mergeCell ref="AC230:CU230"/>
    <mergeCell ref="G231:G242"/>
    <mergeCell ref="V231:AB231"/>
    <mergeCell ref="AC231:CU231"/>
    <mergeCell ref="H232:H242"/>
    <mergeCell ref="I232:I241"/>
    <mergeCell ref="P232:P241"/>
    <mergeCell ref="V232:AB232"/>
    <mergeCell ref="AC232:CU232"/>
    <mergeCell ref="J233:J236"/>
    <mergeCell ref="Q233:Q236"/>
    <mergeCell ref="V233:AB233"/>
    <mergeCell ref="AC233:CU233"/>
    <mergeCell ref="K234:K235"/>
    <mergeCell ref="Y234:Y235"/>
    <mergeCell ref="AI234:AI235"/>
    <mergeCell ref="AM234:AM235"/>
    <mergeCell ref="AN234:AN235"/>
    <mergeCell ref="AO234:AO235"/>
    <mergeCell ref="AP234:AP235"/>
    <mergeCell ref="AT234:AT235"/>
    <mergeCell ref="AU234:AU235"/>
    <mergeCell ref="AV234:AV235"/>
    <mergeCell ref="AW234:AW235"/>
    <mergeCell ref="BA234:BA235"/>
    <mergeCell ref="BB234:BB235"/>
    <mergeCell ref="BC234:BC235"/>
    <mergeCell ref="BD234:BD235"/>
    <mergeCell ref="BH234:BH235"/>
    <mergeCell ref="BI234:BI235"/>
    <mergeCell ref="BJ234:BJ235"/>
    <mergeCell ref="BK234:BK235"/>
    <mergeCell ref="BO234:BO235"/>
    <mergeCell ref="BP234:BP235"/>
    <mergeCell ref="BQ234:BQ235"/>
    <mergeCell ref="BR234:BR235"/>
    <mergeCell ref="BV234:BV235"/>
    <mergeCell ref="BW234:BW235"/>
    <mergeCell ref="BX234:BX235"/>
    <mergeCell ref="BY234:BY235"/>
    <mergeCell ref="CC234:CC235"/>
    <mergeCell ref="CD234:CD235"/>
    <mergeCell ref="CE234:CE235"/>
    <mergeCell ref="CF234:CF235"/>
    <mergeCell ref="CJ234:CJ235"/>
    <mergeCell ref="CK234:CK235"/>
    <mergeCell ref="CL234:CL235"/>
    <mergeCell ref="CM234:CM235"/>
    <mergeCell ref="CV248:CV249"/>
    <mergeCell ref="Z248:Z249"/>
    <mergeCell ref="AA248:AA249"/>
    <mergeCell ref="AB248:AB249"/>
    <mergeCell ref="AF248:AF249"/>
    <mergeCell ref="AG248:AG249"/>
    <mergeCell ref="AH248:AH249"/>
    <mergeCell ref="F244:F257"/>
    <mergeCell ref="V244:AB244"/>
    <mergeCell ref="AC244:CU244"/>
    <mergeCell ref="G245:G256"/>
    <mergeCell ref="V245:AB245"/>
    <mergeCell ref="AC245:CU245"/>
    <mergeCell ref="H246:H256"/>
    <mergeCell ref="I246:I255"/>
    <mergeCell ref="P246:P255"/>
    <mergeCell ref="V246:AB246"/>
    <mergeCell ref="AC246:CU246"/>
    <mergeCell ref="J247:J250"/>
    <mergeCell ref="Q247:Q250"/>
    <mergeCell ref="V247:AB247"/>
    <mergeCell ref="AC247:CU247"/>
    <mergeCell ref="K248:K249"/>
    <mergeCell ref="Y248:Y249"/>
    <mergeCell ref="AI248:AI249"/>
    <mergeCell ref="AM248:AM249"/>
    <mergeCell ref="AN248:AN249"/>
    <mergeCell ref="AO248:AO249"/>
    <mergeCell ref="AP248:AP249"/>
    <mergeCell ref="AT248:AT249"/>
    <mergeCell ref="AU248:AU249"/>
    <mergeCell ref="AV248:AV249"/>
    <mergeCell ref="AW248:AW249"/>
    <mergeCell ref="BA248:BA249"/>
    <mergeCell ref="BB248:BB249"/>
    <mergeCell ref="BC248:BC249"/>
    <mergeCell ref="BD248:BD249"/>
    <mergeCell ref="BH248:BH249"/>
    <mergeCell ref="BI248:BI249"/>
    <mergeCell ref="BJ248:BJ249"/>
    <mergeCell ref="BK248:BK249"/>
    <mergeCell ref="BO248:BO249"/>
    <mergeCell ref="BP248:BP249"/>
    <mergeCell ref="BQ248:BQ249"/>
    <mergeCell ref="BR248:BR249"/>
    <mergeCell ref="BV248:BV249"/>
    <mergeCell ref="BW248:BW249"/>
    <mergeCell ref="BX248:BX249"/>
    <mergeCell ref="BY248:BY249"/>
    <mergeCell ref="CC248:CC249"/>
    <mergeCell ref="CD248:CD249"/>
    <mergeCell ref="CE248:CE249"/>
    <mergeCell ref="CF248:CF249"/>
    <mergeCell ref="CJ248:CJ249"/>
    <mergeCell ref="CK248:CK249"/>
    <mergeCell ref="CL248:CL249"/>
    <mergeCell ref="CM248:CM249"/>
    <mergeCell ref="CV262:CV263"/>
    <mergeCell ref="Z262:Z263"/>
    <mergeCell ref="AA262:AA263"/>
    <mergeCell ref="AB262:AB263"/>
    <mergeCell ref="AF262:AF263"/>
    <mergeCell ref="AG262:AG263"/>
    <mergeCell ref="AH262:AH263"/>
    <mergeCell ref="F258:F283"/>
    <mergeCell ref="V258:AB258"/>
    <mergeCell ref="AC258:CU258"/>
    <mergeCell ref="G259:G270"/>
    <mergeCell ref="V259:AB259"/>
    <mergeCell ref="AC259:CU259"/>
    <mergeCell ref="H260:H270"/>
    <mergeCell ref="I260:I269"/>
    <mergeCell ref="P260:P269"/>
    <mergeCell ref="V260:AB260"/>
    <mergeCell ref="AC260:CU260"/>
    <mergeCell ref="J261:J264"/>
    <mergeCell ref="Q261:Q264"/>
    <mergeCell ref="V261:AB261"/>
    <mergeCell ref="AC261:CU261"/>
    <mergeCell ref="K262:K263"/>
    <mergeCell ref="Y262:Y263"/>
    <mergeCell ref="AI262:AI263"/>
    <mergeCell ref="AM262:AM263"/>
    <mergeCell ref="AN262:AN263"/>
    <mergeCell ref="AO262:AO263"/>
    <mergeCell ref="AP262:AP263"/>
    <mergeCell ref="AT262:AT263"/>
    <mergeCell ref="AU262:AU263"/>
    <mergeCell ref="AV262:AV263"/>
    <mergeCell ref="AW262:AW263"/>
    <mergeCell ref="BA262:BA263"/>
    <mergeCell ref="BB262:BB263"/>
    <mergeCell ref="BC262:BC263"/>
    <mergeCell ref="BD262:BD263"/>
    <mergeCell ref="BH262:BH263"/>
    <mergeCell ref="BI262:BI263"/>
    <mergeCell ref="BJ262:BJ263"/>
    <mergeCell ref="BK262:BK263"/>
    <mergeCell ref="BO262:BO263"/>
    <mergeCell ref="BP262:BP263"/>
    <mergeCell ref="BQ262:BQ263"/>
    <mergeCell ref="BR262:BR263"/>
    <mergeCell ref="BV262:BV263"/>
    <mergeCell ref="BW262:BW263"/>
    <mergeCell ref="BX262:BX263"/>
    <mergeCell ref="BY262:BY263"/>
    <mergeCell ref="CC262:CC263"/>
    <mergeCell ref="CD262:CD263"/>
    <mergeCell ref="CE262:CE263"/>
    <mergeCell ref="CF262:CF263"/>
    <mergeCell ref="CJ262:CJ263"/>
    <mergeCell ref="CK262:CK263"/>
    <mergeCell ref="CL262:CL263"/>
    <mergeCell ref="CM262:CM263"/>
    <mergeCell ref="CV274:CV275"/>
    <mergeCell ref="Z274:Z275"/>
    <mergeCell ref="AA274:AA275"/>
    <mergeCell ref="AB274:AB275"/>
    <mergeCell ref="AF274:AF275"/>
    <mergeCell ref="AG274:AG275"/>
    <mergeCell ref="AH274:AH275"/>
    <mergeCell ref="G271:G282"/>
    <mergeCell ref="V271:AB271"/>
    <mergeCell ref="AC271:CU271"/>
    <mergeCell ref="H272:H282"/>
    <mergeCell ref="I272:I281"/>
    <mergeCell ref="P272:P281"/>
    <mergeCell ref="V272:AB272"/>
    <mergeCell ref="AC272:CU272"/>
    <mergeCell ref="J273:J276"/>
    <mergeCell ref="Q273:Q276"/>
    <mergeCell ref="V273:AB273"/>
    <mergeCell ref="AC273:CU273"/>
    <mergeCell ref="K274:K275"/>
    <mergeCell ref="Y274:Y275"/>
    <mergeCell ref="AI274:AI275"/>
    <mergeCell ref="AM274:AM275"/>
    <mergeCell ref="AN274:AN275"/>
    <mergeCell ref="AO274:AO275"/>
    <mergeCell ref="AP274:AP275"/>
    <mergeCell ref="AT274:AT275"/>
    <mergeCell ref="AU274:AU275"/>
    <mergeCell ref="AV274:AV275"/>
    <mergeCell ref="AW274:AW275"/>
    <mergeCell ref="BA274:BA275"/>
    <mergeCell ref="BB274:BB275"/>
    <mergeCell ref="BC274:BC275"/>
    <mergeCell ref="BD274:BD275"/>
    <mergeCell ref="BH274:BH275"/>
    <mergeCell ref="BI274:BI275"/>
    <mergeCell ref="BJ274:BJ275"/>
    <mergeCell ref="BK274:BK275"/>
    <mergeCell ref="BO274:BO275"/>
    <mergeCell ref="BP274:BP275"/>
    <mergeCell ref="BQ274:BQ275"/>
    <mergeCell ref="BR274:BR275"/>
    <mergeCell ref="BV274:BV275"/>
    <mergeCell ref="BW274:BW275"/>
    <mergeCell ref="BX274:BX275"/>
    <mergeCell ref="BY274:BY275"/>
    <mergeCell ref="CC274:CC275"/>
    <mergeCell ref="CD274:CD275"/>
    <mergeCell ref="CE274:CE275"/>
    <mergeCell ref="CF274:CF275"/>
    <mergeCell ref="CJ274:CJ275"/>
    <mergeCell ref="CK274:CK275"/>
    <mergeCell ref="CL274:CL275"/>
    <mergeCell ref="CM274:CM275"/>
    <mergeCell ref="CR40:CS40"/>
    <mergeCell ref="CQ7:CQ8"/>
    <mergeCell ref="CR7:CR8"/>
    <mergeCell ref="CS7:CS8"/>
    <mergeCell ref="CT7:CT8"/>
    <mergeCell ref="CN27:CS27"/>
    <mergeCell ref="CN28:CS28"/>
    <mergeCell ref="CN29:CS29"/>
    <mergeCell ref="CN30:CS30"/>
    <mergeCell ref="CN32:CS32"/>
    <mergeCell ref="CN33:CS33"/>
    <mergeCell ref="CN35:CT35"/>
    <mergeCell ref="CN37:CS37"/>
    <mergeCell ref="CT37:CT39"/>
    <mergeCell ref="CO38:CP38"/>
    <mergeCell ref="CQ38:CS38"/>
    <mergeCell ref="CR39:CS39"/>
    <mergeCell ref="CQ46:CQ47"/>
    <mergeCell ref="CR46:CR47"/>
    <mergeCell ref="CS46:CS47"/>
    <mergeCell ref="CT46:CT47"/>
    <mergeCell ref="CQ50:CQ51"/>
    <mergeCell ref="CR50:CR51"/>
    <mergeCell ref="CS50:CS51"/>
    <mergeCell ref="CT50:CT51"/>
    <mergeCell ref="CQ60:CQ61"/>
    <mergeCell ref="CR60:CR61"/>
    <mergeCell ref="CS60:CS61"/>
    <mergeCell ref="CT60:CT61"/>
    <mergeCell ref="CQ74:CQ75"/>
    <mergeCell ref="CR74:CR75"/>
    <mergeCell ref="CS74:CS75"/>
    <mergeCell ref="CT74:CT75"/>
    <mergeCell ref="CQ88:CQ89"/>
    <mergeCell ref="CR88:CR89"/>
    <mergeCell ref="CS88:CS89"/>
    <mergeCell ref="CT88:CT89"/>
    <mergeCell ref="CQ100:CQ101"/>
    <mergeCell ref="CR100:CR101"/>
    <mergeCell ref="CS100:CS101"/>
    <mergeCell ref="CT100:CT101"/>
    <mergeCell ref="CQ112:CQ113"/>
    <mergeCell ref="CR112:CR113"/>
    <mergeCell ref="CS112:CS113"/>
    <mergeCell ref="CT112:CT113"/>
    <mergeCell ref="CQ124:CQ125"/>
    <mergeCell ref="CR124:CR125"/>
    <mergeCell ref="CS124:CS125"/>
    <mergeCell ref="CT124:CT125"/>
    <mergeCell ref="CQ136:CQ137"/>
    <mergeCell ref="CR136:CR137"/>
    <mergeCell ref="CS136:CS137"/>
    <mergeCell ref="CT136:CT137"/>
    <mergeCell ref="CQ150:CQ151"/>
    <mergeCell ref="CR150:CR151"/>
    <mergeCell ref="CS150:CS151"/>
    <mergeCell ref="CT150:CT151"/>
    <mergeCell ref="CQ164:CQ165"/>
    <mergeCell ref="CR164:CR165"/>
    <mergeCell ref="CS164:CS165"/>
    <mergeCell ref="CT164:CT165"/>
    <mergeCell ref="CQ178:CQ179"/>
    <mergeCell ref="CR178:CR179"/>
    <mergeCell ref="CS178:CS179"/>
    <mergeCell ref="CT178:CT179"/>
    <mergeCell ref="CQ192:CQ193"/>
    <mergeCell ref="CR192:CR193"/>
    <mergeCell ref="CS192:CS193"/>
    <mergeCell ref="CT192:CT193"/>
    <mergeCell ref="CQ206:CQ207"/>
    <mergeCell ref="CR206:CR207"/>
    <mergeCell ref="CS206:CS207"/>
    <mergeCell ref="CT206:CT207"/>
    <mergeCell ref="CQ220:CQ221"/>
    <mergeCell ref="CR220:CR221"/>
    <mergeCell ref="CS220:CS221"/>
    <mergeCell ref="CT220:CT221"/>
    <mergeCell ref="CQ234:CQ235"/>
    <mergeCell ref="CR234:CR235"/>
    <mergeCell ref="CS234:CS235"/>
    <mergeCell ref="CT234:CT235"/>
    <mergeCell ref="CQ248:CQ249"/>
    <mergeCell ref="CR248:CR249"/>
    <mergeCell ref="CS248:CS249"/>
    <mergeCell ref="CT248:CT249"/>
    <mergeCell ref="CQ262:CQ263"/>
    <mergeCell ref="CR262:CR263"/>
    <mergeCell ref="CS262:CS263"/>
    <mergeCell ref="CT262:CT263"/>
    <mergeCell ref="CQ274:CQ275"/>
    <mergeCell ref="CR274:CR275"/>
    <mergeCell ref="CS274:CS275"/>
    <mergeCell ref="CT274:CT275"/>
    <mergeCell ref="CV64:CV65"/>
    <mergeCell ref="Z64:Z65"/>
    <mergeCell ref="AA64:AA65"/>
    <mergeCell ref="AB64:AB65"/>
    <mergeCell ref="AF64:AF65"/>
    <mergeCell ref="AG64:AG65"/>
    <mergeCell ref="AH64:AH65"/>
    <mergeCell ref="J63:J66"/>
    <mergeCell ref="Q63:Q66"/>
    <mergeCell ref="V63:AB63"/>
    <mergeCell ref="AC63:CU63"/>
    <mergeCell ref="K64:K65"/>
    <mergeCell ref="Y64:Y65"/>
    <mergeCell ref="AI64:AI65"/>
    <mergeCell ref="AM64:AM65"/>
    <mergeCell ref="AN64:AN65"/>
    <mergeCell ref="AO64:AO65"/>
    <mergeCell ref="AP64:AP65"/>
    <mergeCell ref="AT64:AT65"/>
    <mergeCell ref="AU64:AU65"/>
    <mergeCell ref="AV64:AV65"/>
    <mergeCell ref="AW64:AW65"/>
    <mergeCell ref="BA64:BA65"/>
    <mergeCell ref="BB64:BB65"/>
    <mergeCell ref="BC64:BC65"/>
    <mergeCell ref="BD64:BD65"/>
    <mergeCell ref="BH64:BH65"/>
    <mergeCell ref="BI64:BI65"/>
    <mergeCell ref="BJ64:BJ65"/>
    <mergeCell ref="BK64:BK65"/>
    <mergeCell ref="BO64:BO65"/>
    <mergeCell ref="BP64:BP65"/>
    <mergeCell ref="BQ64:BQ65"/>
    <mergeCell ref="BR64:BR65"/>
    <mergeCell ref="BV64:BV65"/>
    <mergeCell ref="BW64:BW65"/>
    <mergeCell ref="BX64:BX65"/>
    <mergeCell ref="BY64:BY65"/>
    <mergeCell ref="CC64:CC65"/>
    <mergeCell ref="CD64:CD65"/>
    <mergeCell ref="CE64:CE65"/>
    <mergeCell ref="CF64:CF65"/>
    <mergeCell ref="CJ64:CJ65"/>
    <mergeCell ref="CK64:CK65"/>
    <mergeCell ref="CL64:CL65"/>
    <mergeCell ref="CM64:CM65"/>
    <mergeCell ref="CQ64:CQ65"/>
    <mergeCell ref="CR64:CR65"/>
    <mergeCell ref="CS64:CS65"/>
    <mergeCell ref="CT64:CT65"/>
    <mergeCell ref="CV78:CV79"/>
    <mergeCell ref="Z78:Z79"/>
    <mergeCell ref="AA78:AA79"/>
    <mergeCell ref="AB78:AB79"/>
    <mergeCell ref="AF78:AF79"/>
    <mergeCell ref="AG78:AG79"/>
    <mergeCell ref="AH78:AH79"/>
    <mergeCell ref="J77:J80"/>
    <mergeCell ref="Q77:Q80"/>
    <mergeCell ref="V77:AB77"/>
    <mergeCell ref="AC77:CU77"/>
    <mergeCell ref="K78:K79"/>
    <mergeCell ref="Y78:Y79"/>
    <mergeCell ref="AI78:AI79"/>
    <mergeCell ref="AM78:AM79"/>
    <mergeCell ref="AN78:AN79"/>
    <mergeCell ref="AO78:AO79"/>
    <mergeCell ref="AP78:AP79"/>
    <mergeCell ref="AT78:AT79"/>
    <mergeCell ref="AU78:AU79"/>
    <mergeCell ref="AV78:AV79"/>
    <mergeCell ref="AW78:AW79"/>
    <mergeCell ref="BA78:BA79"/>
    <mergeCell ref="BB78:BB79"/>
    <mergeCell ref="BC78:BC79"/>
    <mergeCell ref="BD78:BD79"/>
    <mergeCell ref="BH78:BH79"/>
    <mergeCell ref="BI78:BI79"/>
    <mergeCell ref="BJ78:BJ79"/>
    <mergeCell ref="BK78:BK79"/>
    <mergeCell ref="BO78:BO79"/>
    <mergeCell ref="BP78:BP79"/>
    <mergeCell ref="BQ78:BQ79"/>
    <mergeCell ref="BR78:BR79"/>
    <mergeCell ref="BV78:BV79"/>
    <mergeCell ref="BW78:BW79"/>
    <mergeCell ref="BX78:BX79"/>
    <mergeCell ref="BY78:BY79"/>
    <mergeCell ref="CC78:CC79"/>
    <mergeCell ref="CD78:CD79"/>
    <mergeCell ref="CE78:CE79"/>
    <mergeCell ref="CF78:CF79"/>
    <mergeCell ref="CJ78:CJ79"/>
    <mergeCell ref="CK78:CK79"/>
    <mergeCell ref="CL78:CL79"/>
    <mergeCell ref="CM78:CM79"/>
    <mergeCell ref="CQ78:CQ79"/>
    <mergeCell ref="CR78:CR79"/>
    <mergeCell ref="CS78:CS79"/>
    <mergeCell ref="CT78:CT79"/>
    <mergeCell ref="CV92:CV93"/>
    <mergeCell ref="Z92:Z93"/>
    <mergeCell ref="AA92:AA93"/>
    <mergeCell ref="AB92:AB93"/>
    <mergeCell ref="AF92:AF93"/>
    <mergeCell ref="AG92:AG93"/>
    <mergeCell ref="AH92:AH93"/>
    <mergeCell ref="J91:J94"/>
    <mergeCell ref="Q91:Q94"/>
    <mergeCell ref="V91:AB91"/>
    <mergeCell ref="AC91:CU91"/>
    <mergeCell ref="K92:K93"/>
    <mergeCell ref="Y92:Y93"/>
    <mergeCell ref="AI92:AI93"/>
    <mergeCell ref="AM92:AM93"/>
    <mergeCell ref="AN92:AN93"/>
    <mergeCell ref="AO92:AO93"/>
    <mergeCell ref="AP92:AP93"/>
    <mergeCell ref="AT92:AT93"/>
    <mergeCell ref="AU92:AU93"/>
    <mergeCell ref="AV92:AV93"/>
    <mergeCell ref="AW92:AW93"/>
    <mergeCell ref="BA92:BA93"/>
    <mergeCell ref="BB92:BB93"/>
    <mergeCell ref="BC92:BC93"/>
    <mergeCell ref="BD92:BD93"/>
    <mergeCell ref="BH92:BH93"/>
    <mergeCell ref="BI92:BI93"/>
    <mergeCell ref="BJ92:BJ93"/>
    <mergeCell ref="BK92:BK93"/>
    <mergeCell ref="BO92:BO93"/>
    <mergeCell ref="BP92:BP93"/>
    <mergeCell ref="BQ92:BQ93"/>
    <mergeCell ref="BR92:BR93"/>
    <mergeCell ref="BV92:BV93"/>
    <mergeCell ref="BW92:BW93"/>
    <mergeCell ref="BX92:BX93"/>
    <mergeCell ref="BY92:BY93"/>
    <mergeCell ref="CC92:CC93"/>
    <mergeCell ref="CD92:CD93"/>
    <mergeCell ref="CE92:CE93"/>
    <mergeCell ref="CF92:CF93"/>
    <mergeCell ref="CJ92:CJ93"/>
    <mergeCell ref="CK92:CK93"/>
    <mergeCell ref="CL92:CL93"/>
    <mergeCell ref="CM92:CM93"/>
    <mergeCell ref="CQ92:CQ93"/>
    <mergeCell ref="CR92:CR93"/>
    <mergeCell ref="CS92:CS93"/>
    <mergeCell ref="CT92:CT93"/>
    <mergeCell ref="CV104:CV105"/>
    <mergeCell ref="Z104:Z105"/>
    <mergeCell ref="AA104:AA105"/>
    <mergeCell ref="AB104:AB105"/>
    <mergeCell ref="AF104:AF105"/>
    <mergeCell ref="AG104:AG105"/>
    <mergeCell ref="AH104:AH105"/>
    <mergeCell ref="J103:J106"/>
    <mergeCell ref="Q103:Q106"/>
    <mergeCell ref="V103:AB103"/>
    <mergeCell ref="AC103:CU103"/>
    <mergeCell ref="K104:K105"/>
    <mergeCell ref="Y104:Y105"/>
    <mergeCell ref="AI104:AI105"/>
    <mergeCell ref="AM104:AM105"/>
    <mergeCell ref="AN104:AN105"/>
    <mergeCell ref="AO104:AO105"/>
    <mergeCell ref="AP104:AP105"/>
    <mergeCell ref="AT104:AT105"/>
    <mergeCell ref="AU104:AU105"/>
    <mergeCell ref="AV104:AV105"/>
    <mergeCell ref="AW104:AW105"/>
    <mergeCell ref="BA104:BA105"/>
    <mergeCell ref="BB104:BB105"/>
    <mergeCell ref="BC104:BC105"/>
    <mergeCell ref="BD104:BD105"/>
    <mergeCell ref="BH104:BH105"/>
    <mergeCell ref="BI104:BI105"/>
    <mergeCell ref="BJ104:BJ105"/>
    <mergeCell ref="BK104:BK105"/>
    <mergeCell ref="BO104:BO105"/>
    <mergeCell ref="BP104:BP105"/>
    <mergeCell ref="BQ104:BQ105"/>
    <mergeCell ref="BR104:BR105"/>
    <mergeCell ref="BV104:BV105"/>
    <mergeCell ref="BW104:BW105"/>
    <mergeCell ref="BX104:BX105"/>
    <mergeCell ref="BY104:BY105"/>
    <mergeCell ref="CC104:CC105"/>
    <mergeCell ref="CD104:CD105"/>
    <mergeCell ref="CE104:CE105"/>
    <mergeCell ref="CF104:CF105"/>
    <mergeCell ref="CJ104:CJ105"/>
    <mergeCell ref="CK104:CK105"/>
    <mergeCell ref="CL104:CL105"/>
    <mergeCell ref="CM104:CM105"/>
    <mergeCell ref="CQ104:CQ105"/>
    <mergeCell ref="CR104:CR105"/>
    <mergeCell ref="CS104:CS105"/>
    <mergeCell ref="CT104:CT105"/>
    <mergeCell ref="CV128:CV129"/>
    <mergeCell ref="Z128:Z129"/>
    <mergeCell ref="AA128:AA129"/>
    <mergeCell ref="AB128:AB129"/>
    <mergeCell ref="AF128:AF129"/>
    <mergeCell ref="AG128:AG129"/>
    <mergeCell ref="AH128:AH129"/>
    <mergeCell ref="J127:J130"/>
    <mergeCell ref="Q127:Q130"/>
    <mergeCell ref="V127:AB127"/>
    <mergeCell ref="AC127:CU127"/>
    <mergeCell ref="K128:K129"/>
    <mergeCell ref="Y128:Y129"/>
    <mergeCell ref="AI128:AI129"/>
    <mergeCell ref="AM128:AM129"/>
    <mergeCell ref="AN128:AN129"/>
    <mergeCell ref="AO128:AO129"/>
    <mergeCell ref="AP128:AP129"/>
    <mergeCell ref="AT128:AT129"/>
    <mergeCell ref="AU128:AU129"/>
    <mergeCell ref="AV128:AV129"/>
    <mergeCell ref="AW128:AW129"/>
    <mergeCell ref="BA128:BA129"/>
    <mergeCell ref="BB128:BB129"/>
    <mergeCell ref="BC128:BC129"/>
    <mergeCell ref="BD128:BD129"/>
    <mergeCell ref="BH128:BH129"/>
    <mergeCell ref="BI128:BI129"/>
    <mergeCell ref="BJ128:BJ129"/>
    <mergeCell ref="BK128:BK129"/>
    <mergeCell ref="BO128:BO129"/>
    <mergeCell ref="BP128:BP129"/>
    <mergeCell ref="BQ128:BQ129"/>
    <mergeCell ref="BR128:BR129"/>
    <mergeCell ref="BV128:BV129"/>
    <mergeCell ref="BW128:BW129"/>
    <mergeCell ref="BX128:BX129"/>
    <mergeCell ref="BY128:BY129"/>
    <mergeCell ref="CC128:CC129"/>
    <mergeCell ref="CD128:CD129"/>
    <mergeCell ref="CE128:CE129"/>
    <mergeCell ref="CF128:CF129"/>
    <mergeCell ref="CJ128:CJ129"/>
    <mergeCell ref="CK128:CK129"/>
    <mergeCell ref="CL128:CL129"/>
    <mergeCell ref="CM128:CM129"/>
    <mergeCell ref="CQ128:CQ129"/>
    <mergeCell ref="CR128:CR129"/>
    <mergeCell ref="CS128:CS129"/>
    <mergeCell ref="CT128:CT129"/>
    <mergeCell ref="CV116:CV117"/>
    <mergeCell ref="Z116:Z117"/>
    <mergeCell ref="AA116:AA117"/>
    <mergeCell ref="AB116:AB117"/>
    <mergeCell ref="AF116:AF117"/>
    <mergeCell ref="AG116:AG117"/>
    <mergeCell ref="AH116:AH117"/>
    <mergeCell ref="J115:J118"/>
    <mergeCell ref="Q115:Q118"/>
    <mergeCell ref="V115:AB115"/>
    <mergeCell ref="AC115:CU115"/>
    <mergeCell ref="K116:K117"/>
    <mergeCell ref="Y116:Y117"/>
    <mergeCell ref="AI116:AI117"/>
    <mergeCell ref="AM116:AM117"/>
    <mergeCell ref="AN116:AN117"/>
    <mergeCell ref="AO116:AO117"/>
    <mergeCell ref="AP116:AP117"/>
    <mergeCell ref="AT116:AT117"/>
    <mergeCell ref="AU116:AU117"/>
    <mergeCell ref="AV116:AV117"/>
    <mergeCell ref="AW116:AW117"/>
    <mergeCell ref="BA116:BA117"/>
    <mergeCell ref="BB116:BB117"/>
    <mergeCell ref="BC116:BC117"/>
    <mergeCell ref="BD116:BD117"/>
    <mergeCell ref="BH116:BH117"/>
    <mergeCell ref="BI116:BI117"/>
    <mergeCell ref="BJ116:BJ117"/>
    <mergeCell ref="BK116:BK117"/>
    <mergeCell ref="BO116:BO117"/>
    <mergeCell ref="BP116:BP117"/>
    <mergeCell ref="BQ116:BQ117"/>
    <mergeCell ref="BR116:BR117"/>
    <mergeCell ref="BV116:BV117"/>
    <mergeCell ref="BW116:BW117"/>
    <mergeCell ref="BX116:BX117"/>
    <mergeCell ref="BY116:BY117"/>
    <mergeCell ref="CC116:CC117"/>
    <mergeCell ref="CD116:CD117"/>
    <mergeCell ref="CE116:CE117"/>
    <mergeCell ref="CF116:CF117"/>
    <mergeCell ref="CJ116:CJ117"/>
    <mergeCell ref="CK116:CK117"/>
    <mergeCell ref="CL116:CL117"/>
    <mergeCell ref="CM116:CM117"/>
    <mergeCell ref="CQ116:CQ117"/>
    <mergeCell ref="CR116:CR117"/>
    <mergeCell ref="CS116:CS117"/>
    <mergeCell ref="CT116:CT117"/>
    <mergeCell ref="CV140:CV141"/>
    <mergeCell ref="Z140:Z141"/>
    <mergeCell ref="AA140:AA141"/>
    <mergeCell ref="AB140:AB141"/>
    <mergeCell ref="AF140:AF141"/>
    <mergeCell ref="AG140:AG141"/>
    <mergeCell ref="AH140:AH141"/>
    <mergeCell ref="J139:J142"/>
    <mergeCell ref="Q139:Q142"/>
    <mergeCell ref="V139:AB139"/>
    <mergeCell ref="AC139:CU139"/>
    <mergeCell ref="K140:K141"/>
    <mergeCell ref="Y140:Y141"/>
    <mergeCell ref="AI140:AI141"/>
    <mergeCell ref="AM140:AM141"/>
    <mergeCell ref="AN140:AN141"/>
    <mergeCell ref="AO140:AO141"/>
    <mergeCell ref="AP140:AP141"/>
    <mergeCell ref="AT140:AT141"/>
    <mergeCell ref="AU140:AU141"/>
    <mergeCell ref="AV140:AV141"/>
    <mergeCell ref="AW140:AW141"/>
    <mergeCell ref="BA140:BA141"/>
    <mergeCell ref="BB140:BB141"/>
    <mergeCell ref="BC140:BC141"/>
    <mergeCell ref="BD140:BD141"/>
    <mergeCell ref="BH140:BH141"/>
    <mergeCell ref="BI140:BI141"/>
    <mergeCell ref="BJ140:BJ141"/>
    <mergeCell ref="BK140:BK141"/>
    <mergeCell ref="BO140:BO141"/>
    <mergeCell ref="BP140:BP141"/>
    <mergeCell ref="BQ140:BQ141"/>
    <mergeCell ref="BR140:BR141"/>
    <mergeCell ref="BV140:BV141"/>
    <mergeCell ref="BW140:BW141"/>
    <mergeCell ref="BX140:BX141"/>
    <mergeCell ref="BY140:BY141"/>
    <mergeCell ref="CC140:CC141"/>
    <mergeCell ref="CD140:CD141"/>
    <mergeCell ref="CE140:CE141"/>
    <mergeCell ref="CF140:CF141"/>
    <mergeCell ref="CJ140:CJ141"/>
    <mergeCell ref="CK140:CK141"/>
    <mergeCell ref="CL140:CL141"/>
    <mergeCell ref="CM140:CM141"/>
    <mergeCell ref="CQ140:CQ141"/>
    <mergeCell ref="CR140:CR141"/>
    <mergeCell ref="CS140:CS141"/>
    <mergeCell ref="CT140:CT141"/>
    <mergeCell ref="CV154:CV155"/>
    <mergeCell ref="Z154:Z155"/>
    <mergeCell ref="AA154:AA155"/>
    <mergeCell ref="AB154:AB155"/>
    <mergeCell ref="AF154:AF155"/>
    <mergeCell ref="AG154:AG155"/>
    <mergeCell ref="AH154:AH155"/>
    <mergeCell ref="J153:J156"/>
    <mergeCell ref="Q153:Q156"/>
    <mergeCell ref="V153:AB153"/>
    <mergeCell ref="AC153:CU153"/>
    <mergeCell ref="K154:K155"/>
    <mergeCell ref="Y154:Y155"/>
    <mergeCell ref="AI154:AI155"/>
    <mergeCell ref="AM154:AM155"/>
    <mergeCell ref="AN154:AN155"/>
    <mergeCell ref="AO154:AO155"/>
    <mergeCell ref="AP154:AP155"/>
    <mergeCell ref="AT154:AT155"/>
    <mergeCell ref="AU154:AU155"/>
    <mergeCell ref="AV154:AV155"/>
    <mergeCell ref="AW154:AW155"/>
    <mergeCell ref="BA154:BA155"/>
    <mergeCell ref="BB154:BB155"/>
    <mergeCell ref="BC154:BC155"/>
    <mergeCell ref="BD154:BD155"/>
    <mergeCell ref="BH154:BH155"/>
    <mergeCell ref="BI154:BI155"/>
    <mergeCell ref="BJ154:BJ155"/>
    <mergeCell ref="BK154:BK155"/>
    <mergeCell ref="BO154:BO155"/>
    <mergeCell ref="BP154:BP155"/>
    <mergeCell ref="BQ154:BQ155"/>
    <mergeCell ref="BR154:BR155"/>
    <mergeCell ref="BV154:BV155"/>
    <mergeCell ref="BW154:BW155"/>
    <mergeCell ref="BX154:BX155"/>
    <mergeCell ref="BY154:BY155"/>
    <mergeCell ref="CC154:CC155"/>
    <mergeCell ref="CD154:CD155"/>
    <mergeCell ref="CE154:CE155"/>
    <mergeCell ref="CF154:CF155"/>
    <mergeCell ref="CJ154:CJ155"/>
    <mergeCell ref="CK154:CK155"/>
    <mergeCell ref="CL154:CL155"/>
    <mergeCell ref="CM154:CM155"/>
    <mergeCell ref="CQ154:CQ155"/>
    <mergeCell ref="CR154:CR155"/>
    <mergeCell ref="CS154:CS155"/>
    <mergeCell ref="CT154:CT155"/>
    <mergeCell ref="CV168:CV169"/>
    <mergeCell ref="Z168:Z169"/>
    <mergeCell ref="AA168:AA169"/>
    <mergeCell ref="AB168:AB169"/>
    <mergeCell ref="AF168:AF169"/>
    <mergeCell ref="AG168:AG169"/>
    <mergeCell ref="AH168:AH169"/>
    <mergeCell ref="J167:J170"/>
    <mergeCell ref="Q167:Q170"/>
    <mergeCell ref="V167:AB167"/>
    <mergeCell ref="AC167:CU167"/>
    <mergeCell ref="K168:K169"/>
    <mergeCell ref="Y168:Y169"/>
    <mergeCell ref="AI168:AI169"/>
    <mergeCell ref="AM168:AM169"/>
    <mergeCell ref="AN168:AN169"/>
    <mergeCell ref="AO168:AO169"/>
    <mergeCell ref="AP168:AP169"/>
    <mergeCell ref="AT168:AT169"/>
    <mergeCell ref="AU168:AU169"/>
    <mergeCell ref="AV168:AV169"/>
    <mergeCell ref="AW168:AW169"/>
    <mergeCell ref="BA168:BA169"/>
    <mergeCell ref="BB168:BB169"/>
    <mergeCell ref="BC168:BC169"/>
    <mergeCell ref="BD168:BD169"/>
    <mergeCell ref="BH168:BH169"/>
    <mergeCell ref="BI168:BI169"/>
    <mergeCell ref="BJ168:BJ169"/>
    <mergeCell ref="BK168:BK169"/>
    <mergeCell ref="BO168:BO169"/>
    <mergeCell ref="BP168:BP169"/>
    <mergeCell ref="BQ168:BQ169"/>
    <mergeCell ref="BR168:BR169"/>
    <mergeCell ref="BV168:BV169"/>
    <mergeCell ref="BW168:BW169"/>
    <mergeCell ref="BX168:BX169"/>
    <mergeCell ref="BY168:BY169"/>
    <mergeCell ref="CC168:CC169"/>
    <mergeCell ref="CD168:CD169"/>
    <mergeCell ref="CE168:CE169"/>
    <mergeCell ref="CF168:CF169"/>
    <mergeCell ref="CJ168:CJ169"/>
    <mergeCell ref="CK168:CK169"/>
    <mergeCell ref="CL168:CL169"/>
    <mergeCell ref="CM168:CM169"/>
    <mergeCell ref="CQ168:CQ169"/>
    <mergeCell ref="CR168:CR169"/>
    <mergeCell ref="CS168:CS169"/>
    <mergeCell ref="CT168:CT169"/>
    <mergeCell ref="CV182:CV183"/>
    <mergeCell ref="Z182:Z183"/>
    <mergeCell ref="AA182:AA183"/>
    <mergeCell ref="AB182:AB183"/>
    <mergeCell ref="AF182:AF183"/>
    <mergeCell ref="AG182:AG183"/>
    <mergeCell ref="AH182:AH183"/>
    <mergeCell ref="J181:J184"/>
    <mergeCell ref="Q181:Q184"/>
    <mergeCell ref="V181:AB181"/>
    <mergeCell ref="AC181:CU181"/>
    <mergeCell ref="K182:K183"/>
    <mergeCell ref="Y182:Y183"/>
    <mergeCell ref="AI182:AI183"/>
    <mergeCell ref="AM182:AM183"/>
    <mergeCell ref="AN182:AN183"/>
    <mergeCell ref="AO182:AO183"/>
    <mergeCell ref="AP182:AP183"/>
    <mergeCell ref="AT182:AT183"/>
    <mergeCell ref="AU182:AU183"/>
    <mergeCell ref="AV182:AV183"/>
    <mergeCell ref="AW182:AW183"/>
    <mergeCell ref="BA182:BA183"/>
    <mergeCell ref="BB182:BB183"/>
    <mergeCell ref="BC182:BC183"/>
    <mergeCell ref="BD182:BD183"/>
    <mergeCell ref="BH182:BH183"/>
    <mergeCell ref="BI182:BI183"/>
    <mergeCell ref="BJ182:BJ183"/>
    <mergeCell ref="BK182:BK183"/>
    <mergeCell ref="BO182:BO183"/>
    <mergeCell ref="BP182:BP183"/>
    <mergeCell ref="BQ182:BQ183"/>
    <mergeCell ref="BR182:BR183"/>
    <mergeCell ref="BV182:BV183"/>
    <mergeCell ref="BW182:BW183"/>
    <mergeCell ref="BX182:BX183"/>
    <mergeCell ref="BY182:BY183"/>
    <mergeCell ref="CC182:CC183"/>
    <mergeCell ref="CD182:CD183"/>
    <mergeCell ref="CE182:CE183"/>
    <mergeCell ref="CF182:CF183"/>
    <mergeCell ref="CJ182:CJ183"/>
    <mergeCell ref="CK182:CK183"/>
    <mergeCell ref="CL182:CL183"/>
    <mergeCell ref="CM182:CM183"/>
    <mergeCell ref="CQ182:CQ183"/>
    <mergeCell ref="CR182:CR183"/>
    <mergeCell ref="CS182:CS183"/>
    <mergeCell ref="CT182:CT183"/>
    <mergeCell ref="CV196:CV197"/>
    <mergeCell ref="Z196:Z197"/>
    <mergeCell ref="AA196:AA197"/>
    <mergeCell ref="AB196:AB197"/>
    <mergeCell ref="AF196:AF197"/>
    <mergeCell ref="AG196:AG197"/>
    <mergeCell ref="AH196:AH197"/>
    <mergeCell ref="J195:J198"/>
    <mergeCell ref="Q195:Q198"/>
    <mergeCell ref="V195:AB195"/>
    <mergeCell ref="AC195:CU195"/>
    <mergeCell ref="K196:K197"/>
    <mergeCell ref="Y196:Y197"/>
    <mergeCell ref="AI196:AI197"/>
    <mergeCell ref="AM196:AM197"/>
    <mergeCell ref="AN196:AN197"/>
    <mergeCell ref="AO196:AO197"/>
    <mergeCell ref="AP196:AP197"/>
    <mergeCell ref="AT196:AT197"/>
    <mergeCell ref="AU196:AU197"/>
    <mergeCell ref="AV196:AV197"/>
    <mergeCell ref="AW196:AW197"/>
    <mergeCell ref="BA196:BA197"/>
    <mergeCell ref="BB196:BB197"/>
    <mergeCell ref="BC196:BC197"/>
    <mergeCell ref="BD196:BD197"/>
    <mergeCell ref="BH196:BH197"/>
    <mergeCell ref="BI196:BI197"/>
    <mergeCell ref="BJ196:BJ197"/>
    <mergeCell ref="BK196:BK197"/>
    <mergeCell ref="BO196:BO197"/>
    <mergeCell ref="BP196:BP197"/>
    <mergeCell ref="BQ196:BQ197"/>
    <mergeCell ref="BR196:BR197"/>
    <mergeCell ref="BV196:BV197"/>
    <mergeCell ref="BW196:BW197"/>
    <mergeCell ref="BX196:BX197"/>
    <mergeCell ref="BY196:BY197"/>
    <mergeCell ref="CC196:CC197"/>
    <mergeCell ref="CD196:CD197"/>
    <mergeCell ref="CE196:CE197"/>
    <mergeCell ref="CF196:CF197"/>
    <mergeCell ref="CJ196:CJ197"/>
    <mergeCell ref="CK196:CK197"/>
    <mergeCell ref="CL196:CL197"/>
    <mergeCell ref="CM196:CM197"/>
    <mergeCell ref="CQ196:CQ197"/>
    <mergeCell ref="CR196:CR197"/>
    <mergeCell ref="CS196:CS197"/>
    <mergeCell ref="CT196:CT197"/>
    <mergeCell ref="CV210:CV211"/>
    <mergeCell ref="Z210:Z211"/>
    <mergeCell ref="AA210:AA211"/>
    <mergeCell ref="AB210:AB211"/>
    <mergeCell ref="AF210:AF211"/>
    <mergeCell ref="AG210:AG211"/>
    <mergeCell ref="AH210:AH211"/>
    <mergeCell ref="J209:J212"/>
    <mergeCell ref="Q209:Q212"/>
    <mergeCell ref="V209:AB209"/>
    <mergeCell ref="AC209:CU209"/>
    <mergeCell ref="K210:K211"/>
    <mergeCell ref="Y210:Y211"/>
    <mergeCell ref="AI210:AI211"/>
    <mergeCell ref="AM210:AM211"/>
    <mergeCell ref="AN210:AN211"/>
    <mergeCell ref="AO210:AO211"/>
    <mergeCell ref="AP210:AP211"/>
    <mergeCell ref="AT210:AT211"/>
    <mergeCell ref="AU210:AU211"/>
    <mergeCell ref="AV210:AV211"/>
    <mergeCell ref="AW210:AW211"/>
    <mergeCell ref="BA210:BA211"/>
    <mergeCell ref="BB210:BB211"/>
    <mergeCell ref="BC210:BC211"/>
    <mergeCell ref="BD210:BD211"/>
    <mergeCell ref="BH210:BH211"/>
    <mergeCell ref="BI210:BI211"/>
    <mergeCell ref="BJ210:BJ211"/>
    <mergeCell ref="BK210:BK211"/>
    <mergeCell ref="BO210:BO211"/>
    <mergeCell ref="BP210:BP211"/>
    <mergeCell ref="BQ210:BQ211"/>
    <mergeCell ref="BR210:BR211"/>
    <mergeCell ref="BV210:BV211"/>
    <mergeCell ref="BW210:BW211"/>
    <mergeCell ref="BX210:BX211"/>
    <mergeCell ref="BY210:BY211"/>
    <mergeCell ref="CC210:CC211"/>
    <mergeCell ref="CD210:CD211"/>
    <mergeCell ref="CE210:CE211"/>
    <mergeCell ref="CF210:CF211"/>
    <mergeCell ref="CJ210:CJ211"/>
    <mergeCell ref="CK210:CK211"/>
    <mergeCell ref="CL210:CL211"/>
    <mergeCell ref="CM210:CM211"/>
    <mergeCell ref="CQ210:CQ211"/>
    <mergeCell ref="CR210:CR211"/>
    <mergeCell ref="CS210:CS211"/>
    <mergeCell ref="CT210:CT211"/>
    <mergeCell ref="CV224:CV225"/>
    <mergeCell ref="Z224:Z225"/>
    <mergeCell ref="AA224:AA225"/>
    <mergeCell ref="AB224:AB225"/>
    <mergeCell ref="AF224:AF225"/>
    <mergeCell ref="AG224:AG225"/>
    <mergeCell ref="AH224:AH225"/>
    <mergeCell ref="J223:J226"/>
    <mergeCell ref="Q223:Q226"/>
    <mergeCell ref="V223:AB223"/>
    <mergeCell ref="AC223:CU223"/>
    <mergeCell ref="K224:K225"/>
    <mergeCell ref="Y224:Y225"/>
    <mergeCell ref="AI224:AI225"/>
    <mergeCell ref="AM224:AM225"/>
    <mergeCell ref="AN224:AN225"/>
    <mergeCell ref="AO224:AO225"/>
    <mergeCell ref="AP224:AP225"/>
    <mergeCell ref="AT224:AT225"/>
    <mergeCell ref="AU224:AU225"/>
    <mergeCell ref="AV224:AV225"/>
    <mergeCell ref="AW224:AW225"/>
    <mergeCell ref="BA224:BA225"/>
    <mergeCell ref="BB224:BB225"/>
    <mergeCell ref="BC224:BC225"/>
    <mergeCell ref="BD224:BD225"/>
    <mergeCell ref="BH224:BH225"/>
    <mergeCell ref="BI224:BI225"/>
    <mergeCell ref="BJ224:BJ225"/>
    <mergeCell ref="BK224:BK225"/>
    <mergeCell ref="BO224:BO225"/>
    <mergeCell ref="BP224:BP225"/>
    <mergeCell ref="BQ224:BQ225"/>
    <mergeCell ref="BR224:BR225"/>
    <mergeCell ref="BV224:BV225"/>
    <mergeCell ref="BW224:BW225"/>
    <mergeCell ref="BX224:BX225"/>
    <mergeCell ref="BY224:BY225"/>
    <mergeCell ref="CC224:CC225"/>
    <mergeCell ref="CD224:CD225"/>
    <mergeCell ref="CE224:CE225"/>
    <mergeCell ref="CF224:CF225"/>
    <mergeCell ref="CJ224:CJ225"/>
    <mergeCell ref="CK224:CK225"/>
    <mergeCell ref="CL224:CL225"/>
    <mergeCell ref="CM224:CM225"/>
    <mergeCell ref="CQ224:CQ225"/>
    <mergeCell ref="CR224:CR225"/>
    <mergeCell ref="CS224:CS225"/>
    <mergeCell ref="CT224:CT225"/>
    <mergeCell ref="CV238:CV239"/>
    <mergeCell ref="Z238:Z239"/>
    <mergeCell ref="AA238:AA239"/>
    <mergeCell ref="AB238:AB239"/>
    <mergeCell ref="AF238:AF239"/>
    <mergeCell ref="AG238:AG239"/>
    <mergeCell ref="AH238:AH239"/>
    <mergeCell ref="J237:J240"/>
    <mergeCell ref="Q237:Q240"/>
    <mergeCell ref="V237:AB237"/>
    <mergeCell ref="AC237:CU237"/>
    <mergeCell ref="K238:K239"/>
    <mergeCell ref="Y238:Y239"/>
    <mergeCell ref="AI238:AI239"/>
    <mergeCell ref="AM238:AM239"/>
    <mergeCell ref="AN238:AN239"/>
    <mergeCell ref="AO238:AO239"/>
    <mergeCell ref="AP238:AP239"/>
    <mergeCell ref="AT238:AT239"/>
    <mergeCell ref="AU238:AU239"/>
    <mergeCell ref="AV238:AV239"/>
    <mergeCell ref="AW238:AW239"/>
    <mergeCell ref="BA238:BA239"/>
    <mergeCell ref="BB238:BB239"/>
    <mergeCell ref="BC238:BC239"/>
    <mergeCell ref="BD238:BD239"/>
    <mergeCell ref="BH238:BH239"/>
    <mergeCell ref="BI238:BI239"/>
    <mergeCell ref="BJ238:BJ239"/>
    <mergeCell ref="BK238:BK239"/>
    <mergeCell ref="BO238:BO239"/>
    <mergeCell ref="BP238:BP239"/>
    <mergeCell ref="BQ238:BQ239"/>
    <mergeCell ref="BR238:BR239"/>
    <mergeCell ref="BV238:BV239"/>
    <mergeCell ref="BW238:BW239"/>
    <mergeCell ref="BX238:BX239"/>
    <mergeCell ref="BY238:BY239"/>
    <mergeCell ref="CC238:CC239"/>
    <mergeCell ref="CD238:CD239"/>
    <mergeCell ref="CE238:CE239"/>
    <mergeCell ref="CF238:CF239"/>
    <mergeCell ref="CJ238:CJ239"/>
    <mergeCell ref="CK238:CK239"/>
    <mergeCell ref="CL238:CL239"/>
    <mergeCell ref="CM238:CM239"/>
    <mergeCell ref="CQ238:CQ239"/>
    <mergeCell ref="CR238:CR239"/>
    <mergeCell ref="CS238:CS239"/>
    <mergeCell ref="CT238:CT239"/>
    <mergeCell ref="CV252:CV253"/>
    <mergeCell ref="Z252:Z253"/>
    <mergeCell ref="AA252:AA253"/>
    <mergeCell ref="AB252:AB253"/>
    <mergeCell ref="AF252:AF253"/>
    <mergeCell ref="AG252:AG253"/>
    <mergeCell ref="AH252:AH253"/>
    <mergeCell ref="J251:J254"/>
    <mergeCell ref="Q251:Q254"/>
    <mergeCell ref="V251:AB251"/>
    <mergeCell ref="AC251:CU251"/>
    <mergeCell ref="K252:K253"/>
    <mergeCell ref="Y252:Y253"/>
    <mergeCell ref="AI252:AI253"/>
    <mergeCell ref="AM252:AM253"/>
    <mergeCell ref="AN252:AN253"/>
    <mergeCell ref="AO252:AO253"/>
    <mergeCell ref="AP252:AP253"/>
    <mergeCell ref="AT252:AT253"/>
    <mergeCell ref="AU252:AU253"/>
    <mergeCell ref="AV252:AV253"/>
    <mergeCell ref="AW252:AW253"/>
    <mergeCell ref="BA252:BA253"/>
    <mergeCell ref="BB252:BB253"/>
    <mergeCell ref="BC252:BC253"/>
    <mergeCell ref="BD252:BD253"/>
    <mergeCell ref="BH252:BH253"/>
    <mergeCell ref="BI252:BI253"/>
    <mergeCell ref="BJ252:BJ253"/>
    <mergeCell ref="BK252:BK253"/>
    <mergeCell ref="BO252:BO253"/>
    <mergeCell ref="BP252:BP253"/>
    <mergeCell ref="BQ252:BQ253"/>
    <mergeCell ref="BR252:BR253"/>
    <mergeCell ref="BV252:BV253"/>
    <mergeCell ref="BW252:BW253"/>
    <mergeCell ref="BX252:BX253"/>
    <mergeCell ref="BY252:BY253"/>
    <mergeCell ref="CC252:CC253"/>
    <mergeCell ref="CD252:CD253"/>
    <mergeCell ref="CE252:CE253"/>
    <mergeCell ref="CF252:CF253"/>
    <mergeCell ref="CJ252:CJ253"/>
    <mergeCell ref="CK252:CK253"/>
    <mergeCell ref="CL252:CL253"/>
    <mergeCell ref="CM252:CM253"/>
    <mergeCell ref="CQ252:CQ253"/>
    <mergeCell ref="CR252:CR253"/>
    <mergeCell ref="CS252:CS253"/>
    <mergeCell ref="CT252:CT253"/>
    <mergeCell ref="CV266:CV267"/>
    <mergeCell ref="Z266:Z267"/>
    <mergeCell ref="AA266:AA267"/>
    <mergeCell ref="AB266:AB267"/>
    <mergeCell ref="AF266:AF267"/>
    <mergeCell ref="AG266:AG267"/>
    <mergeCell ref="AH266:AH267"/>
    <mergeCell ref="J265:J268"/>
    <mergeCell ref="Q265:Q268"/>
    <mergeCell ref="V265:AB265"/>
    <mergeCell ref="AC265:CU265"/>
    <mergeCell ref="K266:K267"/>
    <mergeCell ref="Y266:Y267"/>
    <mergeCell ref="AI266:AI267"/>
    <mergeCell ref="AM266:AM267"/>
    <mergeCell ref="AN266:AN267"/>
    <mergeCell ref="AO266:AO267"/>
    <mergeCell ref="AP266:AP267"/>
    <mergeCell ref="AT266:AT267"/>
    <mergeCell ref="AU266:AU267"/>
    <mergeCell ref="AV266:AV267"/>
    <mergeCell ref="AW266:AW267"/>
    <mergeCell ref="BA266:BA267"/>
    <mergeCell ref="BB266:BB267"/>
    <mergeCell ref="BC266:BC267"/>
    <mergeCell ref="BD266:BD267"/>
    <mergeCell ref="BH266:BH267"/>
    <mergeCell ref="BI266:BI267"/>
    <mergeCell ref="BJ266:BJ267"/>
    <mergeCell ref="BK266:BK267"/>
    <mergeCell ref="BO266:BO267"/>
    <mergeCell ref="BP266:BP267"/>
    <mergeCell ref="BQ266:BQ267"/>
    <mergeCell ref="BR266:BR267"/>
    <mergeCell ref="BV266:BV267"/>
    <mergeCell ref="BW266:BW267"/>
    <mergeCell ref="BX266:BX267"/>
    <mergeCell ref="BY266:BY267"/>
    <mergeCell ref="CC266:CC267"/>
    <mergeCell ref="CD266:CD267"/>
    <mergeCell ref="CE266:CE267"/>
    <mergeCell ref="CF266:CF267"/>
    <mergeCell ref="CJ266:CJ267"/>
    <mergeCell ref="CK266:CK267"/>
    <mergeCell ref="CL266:CL267"/>
    <mergeCell ref="CM266:CM267"/>
    <mergeCell ref="CQ266:CQ267"/>
    <mergeCell ref="CR266:CR267"/>
    <mergeCell ref="CS266:CS267"/>
    <mergeCell ref="CT266:CT267"/>
    <mergeCell ref="CV278:CV279"/>
    <mergeCell ref="Z278:Z279"/>
    <mergeCell ref="AA278:AA279"/>
    <mergeCell ref="AB278:AB279"/>
    <mergeCell ref="AF278:AF279"/>
    <mergeCell ref="AG278:AG279"/>
    <mergeCell ref="AH278:AH279"/>
    <mergeCell ref="J277:J280"/>
    <mergeCell ref="Q277:Q280"/>
    <mergeCell ref="V277:AB277"/>
    <mergeCell ref="AC277:CU277"/>
    <mergeCell ref="K278:K279"/>
    <mergeCell ref="Y278:Y279"/>
    <mergeCell ref="AI278:AI279"/>
    <mergeCell ref="AM278:AM279"/>
    <mergeCell ref="AN278:AN279"/>
    <mergeCell ref="AO278:AO279"/>
    <mergeCell ref="AP278:AP279"/>
    <mergeCell ref="AT278:AT279"/>
    <mergeCell ref="AU278:AU279"/>
    <mergeCell ref="AV278:AV279"/>
    <mergeCell ref="AW278:AW279"/>
    <mergeCell ref="BA278:BA279"/>
    <mergeCell ref="BB278:BB279"/>
    <mergeCell ref="BC278:BC279"/>
    <mergeCell ref="BD278:BD279"/>
    <mergeCell ref="BH278:BH279"/>
    <mergeCell ref="BI278:BI279"/>
    <mergeCell ref="BJ278:BJ279"/>
    <mergeCell ref="BK278:BK279"/>
    <mergeCell ref="BO278:BO279"/>
    <mergeCell ref="BP278:BP279"/>
    <mergeCell ref="BQ278:BQ279"/>
    <mergeCell ref="BR278:BR279"/>
    <mergeCell ref="BV278:BV279"/>
    <mergeCell ref="BW278:BW279"/>
    <mergeCell ref="BX278:BX279"/>
    <mergeCell ref="BY278:BY279"/>
    <mergeCell ref="CC278:CC279"/>
    <mergeCell ref="CD278:CD279"/>
    <mergeCell ref="CE278:CE279"/>
    <mergeCell ref="CF278:CF279"/>
    <mergeCell ref="CJ278:CJ279"/>
    <mergeCell ref="CK278:CK279"/>
    <mergeCell ref="CL278:CL279"/>
    <mergeCell ref="CM278:CM279"/>
    <mergeCell ref="CQ278:CQ279"/>
    <mergeCell ref="CR278:CR279"/>
    <mergeCell ref="CS278:CS279"/>
    <mergeCell ref="CT278:CT279"/>
  </mergeCells>
  <dataValidations count="8">
    <dataValidation allowBlank="1" promptTitle="checkPeriodRange" sqref="X65811 X131347 X196883 X262419 X327955 X393491 X459027 X524563 X590099 X655635 X721171 X786707 X852243 X917779 X983315 AE16 AE65811 AE131347 AE196883 AE262419 AE327955 AE393491 AE459027 AE524563 AE590099 AE655635 AE721171 AE786707 AE852243 AE917779 AE983315 AE47 AE8 X8 X47 X51 AE51 AL8 AL47 AL51 AS8 AS47 AS51 AZ8 AZ47 AZ51 BG8 BG47 BG51 BN8 BN47 BN51 BU8 BU47 BU51 CB8 CB47 CB51 CI8 CI47 CI51 X61 AE61 AL61 AS61 AZ61 BG61 BN61 BU61 CB61 CI61 X75 AE75 AL75 AS75 AZ75 BG75 BN75 BU75 CB75 CI75 X89 AE89 AL89 AS89 AZ89 BG89 BN89 BU89 CB89 CI89 X101 AE101 AL101 AS101 AZ101 BG101 BN101 BU101 CB101 CI101 X113 AE113 AL113 AS113 AZ113 BG113 BN113 BU113 CB113 CI113 X125 AE125 AL125 AS125 AZ125 BG125 BN125 BU125 CB125 CI125 X137 AE137 AL137 AS137 AZ137 BG137 BN137 BU137 CB137 CI137 X151 AE151 AL151 AS151 AZ151 BG151 BN151 BU151 CB151 CI151 X165 AE165 AL165 AS165 AZ165 BG165 BN165 BU165 CB165 CI165 X179 AE179 AL179 AS179 AZ179 BG179 BN179 BU179 CB179 CI179 X193 AE193 AL193 AS193 AZ193 BG193 BN193 BU193 CB193 CI193 X207 AE207 AL207 AS207 AZ207 BG207 BN207 BU207 CB207 CI207 X221 AE221 AL221 AS221 AZ221 BG221 BN221 BU221 CB221 CI221 X235 AE235 AL235 AS235 AZ235 BG235 BN235 BU235 CB235 CI235 X249 AE249 AL249 AS249 AZ249 BG249 BN249 BU249 CB249 CI249 X263 AE263 AL263 AS263 AZ263 BG263 BN263 BU263 CB263 CI263 X275 AE275 AL275 AS275 AZ275 BG275 BN275 BU275 CB275 CI275 CP8 CP47 CP51 CP61 CP75 CP89 CP101 CP113 CP125 CP137 CP151 CP165 CP179 CP193 CP207 CP221 CP235 CP249 CP263 CP275 X65 AE65 AL65 AS65 AZ65 BG65 BN65 BU65 CB65 CI65 CP65 X79 AE79 AL79 AS79 AZ79 BG79 BN79 BU79 CB79 CI79 CP79 X93 AE93 AL93 AS93 AZ93 BG93 BN93 BU93 CB93 CI93 CP93 X105 AE105 AL105 AS105 AZ105 BG105 BN105 BU105 CB105 CI105 CP105 X129 AE129 AL129 AS129 AZ129 BG129 BN129 BU129 CB129 CI129 CP129 X117 AE117 AL117 AS117 AZ117 BG117 BN117 BU117 CB117 CI117 CP117 X141 AE141 AL141 AS141 AZ141 BG141 BN141 BU141 CB141 CI141 CP141 X155 AE155 AL155 AS155 AZ155 BG155 BN155 BU155 CB155 CI155 CP155 X169 AE169 AL169 AS169 AZ169 BG169 BN169 BU169 CB169 CI169 CP169 X183 AE183 AL183 AS183 AZ183 BG183 BN183 BU183 CB183 CI183 CP183 X197 AE197 AL197 AS197 AZ197 BG197 BN197 BU197 CB197 CI197 CP197 X211 AE211 AL211 AS211 AZ211 BG211 BN211 BU211 CB211 CI211 CP211 X225 AE225 AL225 AS225 AZ225 BG225 BN225 BU225 CB225 CI225 CP225 X239 AE239 AL239 AS239 AZ239 BG239 BN239 BU239 CB239 CI239 CP239 X253 AE253 AL253 AS253 AZ253 BG253 BN253 BU253 CB253 CI253 CP253 X267 AE267 AL267 AS267 AZ267 BG267 BN267 BU267 CB267 CI267 CP267 X279 AE279 AL279 AS279 AZ279 BG279 BN279 BU279 CB279 CI279 CP279"/>
    <dataValidation type="list" allowBlank="1" showInputMessage="1" showErrorMessage="1" errorTitle="Ошибка" error="Выберите значение из списка" sqref="V983312 V65808 V131344 V196880 V262416 V327952 V393488 V459024 V524560 V590096 V655632 V721168 V786704 V852240 V917776 AC983312 AC65808 AC131344 AC196880 AC262416 AC327952 AC393488 AC459024 AC524560 AC590096 AC655632 AC721168 AC786704 AC852240 AC917776">
      <formula1>kind_of_scheme_in</formula1>
    </dataValidation>
    <dataValidation type="textLength" operator="lessThanOrEqual" allowBlank="1" showInputMessage="1" showErrorMessage="1" errorTitle="Ошибка" error="Допускается ввод не более 900 символов!" sqref="CV65804:CV65811 CV131340:CV131347 CV196876:CV196883 CV262412:CV262419 CV327948:CV327955 CV393484:CV393491 CV459020:CV459027 CV524556:CV524563 CV590092:CV590099 CV655628:CV655635 CV721164:CV721171 CV786700:CV786707 CV852236:CV852243 CV917772:CV917779 CV983308:CV983315 T46 T7 AC5:AI5 CU5 AC44:AI44 CU44 T50 AC58 AD58 AE58 AF58 AG58 AH58 AI58 CU58 T60 AC72 AD72 AE72 AF72 AG72 AH72 AI72 CU72 T74 AC86 AD86 AE86 AF86 AG86 AH86 AI86 CU86 T88 AC98 AD98 AE98 AF98 AG98 AH98 AI98 CU98 T100 AC110 AD110 AE110 AF110 AG110 AH110 AI110 CU110 T112 AC122 AD122 AE122 AF122 AG122 AH122 AI122 CU122 T124 AC134 AD134 AE134 AF134 AG134 AH134 AI134 CU134 T136 AC148 AD148 AE148 AF148 AG148 AH148 AI148 CU148 T150 AC162 AD162 AE162 AF162 AG162 AH162 AI162 CU162 T164 AC176 AD176 AE176 AF176 AG176 AH176 AI176 CU176 T178 AC190 AD190 AE190 AF190 AG190 AH190 AI190 CU190 T192 AC204 AD204 AE204 AF204 AG204 AH204 AI204 CU204 T206 AC218 AD218 AE218 AF218 AG218 AH218 AI218 CU218 T220 AC232 AD232 AE232 AF232 AG232 AH232 AI232 CU232 T234 AC246 AD246 AE246 AF246 AG246 AH246 AI246 CU246 T248 AC260 AD260 AE260 AF260 AG260 AH260 AI260 CU260 T262 AC272 AD272 AE272 AF272 AG272 AH272 AI272 CU272 T274 T64 T78 T92 T104 T128 T116 T140 T154 T168 T182 T196 T210 T224 T238 T252 T266 T278">
      <formula1>900</formula1>
    </dataValidation>
    <dataValidation type="list" allowBlank="1" showInputMessage="1" showErrorMessage="1" errorTitle="Ошибка" error="Выберите значение из списка" sqref="T65810 T131346 T196882 T262418 T327954 T393490 T459026 T524562 T590098 T655634 T721170 T786706 T852242 T917778 T98331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810 Y131346 Y196882 Y262418 Y327954 Y393490 Y459026 Y524562 Y590098 Y655634 Y721170 Y786706 Y852242 Y917778 Y983314 AA65810 AA131346 AA196882 AA262418 AA327954 AA393490 AA459026 AA524562 AA590098 AA655634 AA721170 AA786706 AA852242 AA917778 AA983314 AF15 AF65810 AF131346 AF196882 AF262418 AF327954 AF393490 AF459026 AF524562 AF590098 AF655634 AF721170 AF786706 AF852242 AF917778 AF983314 AH65810 AH131346 AH196882 AH262418 AH327954 AH393490 AH459026 AH524562 AH590098 AH655634 AH721170 AH786706 AH852242 AH917778 AH983314 AH46 AF46 AH15 AH7 AF7 Y7 AA7 Y46 AA46 Y50 AA50 AF50 AH50 AM7 AO7 AM46 AO46 AM50 AO50 AT7 AV7 AT46 AV46 AT50 AV50 BA7 BC7 BA46 BC46 BA50 BC50 BH7 BJ7 BH46 BJ46 BH50 BJ50 BO7 BQ7 BO46 BQ46 BO50 BQ50 BV7 BX7 BV46 BX46 BV50 BX50 CC7 CE7 CC46 CE46 CC50 CE50 CJ7 CL7 CJ46 CL46 CJ50 CL50 Y60 AA60 AF60 AH60 AM60 AO60 AT60 AV60 BA60 BC60 BH60 BJ60 BO60 BQ60 BV60 BX60 CC60 CE60 CJ60 CL60 Y74 AA74 AF74 AH74 AM74 AO74 AT74 AV74 BA74 BC74 BH74 BJ74 BO74 BQ74 BV74 BX74 CC74 CE74 CJ74 CL74 Y88 AA88 AF88 AH88 AM88 AO88 AT88 AV88 BA88 BC88 BH88 BJ88 BO88 BQ88 BV88 BX88 CC88 CE88 CJ88 CL88 Y100 AA100 AF100 AH100 AM100 AO100 AT100 AV100 BA100 BC100 BH100 BJ100 BO100 BQ100 BV100 BX100 CC100 CE100 CJ100 CL100 Y112 AA112 AF112 AH112 AM112 AO112 AT112 AV112 BA112 BC112 BH112 BJ112 BO112 BQ112 BV112 BX112 CC112 CE112 CJ112 CL112 Y124 AA124 AF124 AH124 AM124 AO124 AT124 AV124 BA124 BC124 BH124 BJ124 BO124 BQ124 BV124 BX124 CC124 CE124 CJ124 CL124 Y136 AA136 AF136 AH136 AM136 AO136 AT136 AV136 BA136 BC136 BH136 BJ136 BO136 BQ136 BV136 BX136 CC136 CE136 CJ136 CL136 Y150 AA150 AF150 AH150 AM150 AO150 AT150 AV150 BA150 BC150 BH150 BJ150 BO150 BQ150 BV150 BX150 CC150 CE150 CJ150 CL150 Y164 AA164 AF164 AH164 AM164 AO164 AT164 AV164 BA164 BC164 BH164 BJ164 BO164 BQ164 BV164 BX164 CC164 CE164 CJ164 CL164 Y178 AA178 AF178 AH178 AM178 AO178 AT178 AV178 BA178 BC178 BH178 BJ178 BO178 BQ178 BV178 BX178 CC178 CE178 CJ178 CL178 Y192 AA192 AF192 AH192 AM192 AO192 AT192 AV192 BA192 BC192 BH192 BJ192 BO192 BQ192 BV192 BX192 CC192 CE192 CJ192 CL192 Y206 AA206 AF206 AH206 AM206 AO206 AT206 AV206 BA206 BC206 BH206 BJ206 BO206 BQ206 BV206 BX206 CC206 CE206 CJ206 CL206 Y220 AA220 AF220 AH220 AM220 AO220 AT220 AV220 BA220 BC220 BH220 BJ220 BO220 BQ220 BV220 BX220 CC220 CE220 CJ220 CL220 Y234 AA234 AF234 AH234 AM234 AO234 AT234 AV234 BA234 BC234 BH234 BJ234 BO234 BQ234 BV234 BX234 CC234 CE234 CJ234 CL234 Y248 AA248 AF248 AH248 AM248 AO248 AT248 AV248 BA248 BC248 BH248 BJ248 BO248 BQ248 BV248 BX248 CC248 CE248 CJ248 CL248 Y262 AA262 AF262 AH262 AM262 AO262 AT262 AV262 BA262 BC262 BH262 BJ262 BO262 BQ262 BV262 BX262 CC262 CE262 CJ262 CL262 Y274 AA274 AF274 AH274 AM274 AO274 AT274 AV274 BA274 BC274 BH274 BJ274 BO274 BQ274 BV274 BX274 CC274 CE274 CJ274 CL274 CQ7 CS7 CQ46 CS46 CQ50 CS50 CQ60 CS60 CQ74 CS74 CQ88 CS88 CQ100 CS100 CQ112 CS112 CQ124 CS124 CQ136 CS136 CQ150 CS150 CQ164 CS164 CQ178 CS178 CQ192 CS192 CQ206 CS206 CQ220 CS220 CQ234 CS234 CQ248 CS248 CQ262 CS262 CQ274 CS274 Y64 AA64 AF64 AH64 AM64 AO64 AT64 AV64 BA64 BC64 BH64 BJ64 BO64 BQ64 BV64 BX64 CC64 CE64 CJ64 CL64 CQ64 CS64 Y78 AA78 AF78 AH78 AM78 AO78 AT78 AV78 BA78 BC78 BH78 BJ78 BO78 BQ78 BV78 BX78 CC78 CE78 CJ78 CL78 CQ78 CS78 Y92 AA92 AF92 AH92 AM92 AO92 AT92 AV92 BA92 BC92 BH92 BJ92 BO92 BQ92 BV92 BX92 CC92 CE92 CJ92 CL92 CQ92 CS92 Y104 AA104 AF104 AH104 AM104 AO104 AT104 AV104 BA104 BC104 BH104 BJ104 BO104 BQ104 BV104 BX104 CC104 CE104 CJ104 CL104 CQ104 CS104 Y128 AA128 AF128 AH128 AM128 AO128 AT128 AV128 BA128 BC128 BH128 BJ128 BO128 BQ128 BV128 BX128 CC128 CE128 CJ128 CL128 CQ128 CS128 Y116 AA116 AF116 AH116 AM116 AO116 AT116 AV116 BA116 BC116 BH116 BJ116 BO116 BQ116 BV116 BX116 CC116 CE116 CJ116 CL116 CQ116 CS116 Y140 AA140 AF140 AH140 AM140 AO140 AT140 AV140 BA140 BC140 BH140 BJ140 BO140 BQ140 BV140 BX140 CC140 CE140 CJ140 CL140 CQ140 CS140 Y154 AA154 AF154 AH154 AM154 AO154 AT154 AV154 BA154 BC154 BH154 BJ154 BO154 BQ154 BV154 BX154 CC154 CE154 CJ154 CL154 CQ154 CS154 Y168 AA168 AF168 AH168 AM168 AO168 AT168 AV168 BA168 BC168 BH168 BJ168 BO168 BQ168 BV168 BX168 CC168 CE168 CJ168 CL168 CQ168 CS168 Y182 AA182 AF182 AH182 AM182 AO182 AT182 AV182 BA182 BC182 BH182 BJ182 BO182 BQ182 BV182 BX182 CC182 CE182 CJ182 CL182 CQ182 CS182 Y196 AA196 AF196 AH196 AM196 AO196 AT196 AV196 BA196 BC196 BH196 BJ196 BO196 BQ196 BV196 BX196 CC196 CE196 CJ196 CL196 CQ196 CS196 Y210 AA210 AF210 AH210 AM210 AO210 AT210 AV210 BA210 BC210 BH210 BJ210 BO210 BQ210 BV210 BX210 CC210 CE210 CJ210 CL210 CQ210 CS210 Y224 AA224 AF224 AH224 AM224 AO224 AT224 AV224 BA224 BC224 BH224 BJ224 BO224 BQ224 BV224 BX224 CC224 CE224 CJ224 CL224 CQ224 CS224 Y238 AA238 AF238 AH238 AM238 AO238 AT238 AV238 BA238 BC238 BH238 BJ238 BO238 BQ238 BV238 BX238 CC238 CE238 CJ238 CL238 CQ238 CS238 Y252 AA252 AF252 AH252 AM252 AO252 AT252 AV252 BA252 BC252 BH252 BJ252 BO252 BQ252 BV252 BX252 CC252 CE252 CJ252 CL252 CQ252 CS252 Y266 AA266 AF266 AH266 AM266 AO266 AT266 AV266 BA266 BC266 BH266 BJ266 BO266 BQ266 BV266 BX266 CC266 CE266 CJ266 CL266 CQ266 CS266 Y278 AA278 AF278 AH278 AM278 AO278 AT278 AV278 BA278 BC278 BH278 BJ278 BO278 BQ278 BV278 BX278 CC278 CE278 CJ278 CL278 CQ278 CS278"/>
    <dataValidation allowBlank="1" showInputMessage="1" showErrorMessage="1" prompt="Для выбора выполните двойной щелчок левой клавиши мыши по соответствующей ячейке." sqref="Z65810 Z131346 Z196882 Z262418 Z327954 Z393490 Z459026 Z524562 Z590098 Z655634 Z721170 Z786706 Z852242 Z917778 Z983314 AB131346 AB459026 AB196882 AB262418 AB327954 AB393490 AB524562 AB590098 AB655634 AB721170 AB786706 AB852242 AB917778 AB983314 AB65810 AG65810 AG131346 AG196882 AG262418 AG327954 AG393490 AG459026 AG524562 AG590098 AG655634 AG721170 AG786706 AG852242 AG917778 AG983314 AI524562:CT524562 AI196882:CT196882 AI590098:CT590098 AI655634:CT655634 AI15 AI721170:CT721170 AI786706:CT786706 AI852242:CT852242 AI917778:CT917778 AI983314:CT983314 AI65810:CT65810 AI131346:CT131346 AI459026:CT459026 AI262418:CT262418 AI7 AN7 AP7 AU7 AW7 BB7 BD7 BI7 BK7 BP7 BR7 BW7 BY7 CD7 CF7 CK7 CM7 CR7 CT7 AG46 AI327954:CT327954 AG15 AG7 Z7 AB7 AI393490:CT393490 AI46 AN46 AP46 AU46 AW46 BB46 BD46 BI46 BK46 BP46 BR46 BW46 BY46 CD46 CF46 CK46 CM46 CR46 CT46 Z46 AB46 Z50 AB50 AG50 AI50 AN50 AP50 AU50 AW50 BB50 BD50 BI50 BK50 BP50 BR50 BW50 BY50 CD50 CF50 CK50 CM50 CR50 CT50 Z60 AB60 AG60 AI60 AN60 AP60 AU60 AW60 BB60 BD60 BI60 BK60 BP60 BR60 BW60 BY60 CD60 CF60 CK60 CM60 CR60 CT60 Z74 AB74 AG74 AI74 AN74 AP74 AU74 AW74 BB74 BD74 BI74 BK74 BP74 BR74 BW74 BY74 CD74 CF74 CK74 CM74 CR74 CT74 Z88 AB88 AG88 AI88 AN88 AP88 AU88 AW88 BB88 BD88 BI88 BK88 BP88 BR88 BW88 BY88 CD88 CF88 CK88 CM88 CR88 CT88 Z100 AB100 AG100 AI100 AN100 AP100 AU100 AW100 BB100 BD100 BI100 BK100 BP100 BR100 BW100 BY100 CD100 CF100 CK100 CM100 CR100 CT100 Z112 AB112 AG112 AI112 AN112 AP112 AU112 AW112 BB112 BD112 BI112 BK112 BP112 BR112 BW112 BY112 CD112 CF112 CK112 CM112 CR112 CT112 Z124 AB124 AG124 AI124 AN124 AP124 AU124 AW124 BB124 BD124 BI124 BK124 BP124 BR124 BW124 BY124 CD124 CF124 CK124 CM124 CR124 CT124 Z136 AB136 AG136 AI136 AN136 AP136 AU136 AW136 BB136 BD136 BI136 BK136 BP136 BR136 BW136 BY136 CD136 CF136 CK136 CM136 CR136 CT136 Z150 AB150 AG150 AI150 AN150 AP150 AU150 AW150 BB150 BD150 BI150 BK150 BP150 BR150 BW150 BY150 CD150 CF150 CK150 CM150 CR150 CT150 Z164 AB164 AG164 AI164 AN164 AP164 AU164 AW164 BB164 BD164 BI164 BK164 BP164 BR164 BW164 BY164 CD164 CF164 CK164 CM164 CR164 CT164 Z178 AB178 AG178 AI178 AN178 AP178 AU178 AW178 BB178 BD178 BI178 BK178 BP178 BR178 BW178 BY178 CD178 CF178 CK178 CM178 CR178 CT178 Z192 AB192 AG192 AI192 AN192 AP192 AU192 AW192 BB192 BD192 BI192 BK192 BP192 BR192 BW192 BY192 CD192 CF192 CK192 CM192 CR192 CT192 Z206 AB206 AG206 AI206 AN206 AP206 AU206 AW206 BB206 BD206 BI206 BK206 BP206 BR206 BW206 BY206 CD206 CF206 CK206 CM206 CR206 CT206 Z220 AB220 AG220 AI220 AN220 AP220 AU220 AW220 BB220 BD220 BI220 BK220 BP220 BR220 BW220 BY220 CD220 CF220 CK220 CM220 CR220 CT220 Z234 AB234 AG234 AI234 AN234 AP234 AU234 AW234 BB234 BD234 BI234 BK234 BP234 BR234 BW234 BY234 CD234 CF234 CK234 CM234 CR234 CT234 Z248 AB248 AG248 AI248 AN248 AP248 AU248 AW248 BB248 BD248 BI248 BK248 BP248 BR248 BW248 BY248 CD248 CF248 CK248 CM248 CR248 CT248 Z262 AB262 AG262 AI262 AN262 AP262 AU262 AW262 BB262 BD262 BI262 BK262 BP262 BR262 BW262 BY262 CD262 CF262 CK262 CM262 CR262 CT262 Z274 AB274 AG274 AI274 AN274 AP274 AU274 AW274 BB274 BD274 BI274 BK274 BP274 BR274 BW274 BY274 CD274 CF274 CK274 CM274 CR274 CT274 Z64 AB64 AG64 AI64 AN64 AP64 AU64 AW64 BB64 BD64 BI64 BK64 BP64 BR64 BW64 BY64 CD64 CF64 CK64 CM64 CR64 CT64 Z78 AB78 AG78 AI78 AN78 AP78 AU78 AW78 BB78 BD78 BI78 BK78 BP78 BR78 BW78 BY78 CD78 CF78 CK78 CM78 CR78 CT78 Z92 AB92 AG92 AI92 AN92 AP92 AU92 AW92 BB92 BD92 BI92 BK92 BP92 BR92 BW92 BY92 CD92 CF92 CK92 CM92 CR92 CT92 Z104 AB104 AG104 AI104 AN104 AP104 AU104 AW104 BB104 BD104 BI104 BK104 BP104 BR104 BW104 BY104 CD104 CF104 CK104 CM104 CR104 CT104 Z128 AB128 AG128 AI128 AN128 AP128 AU128 AW128 BB128 BD128 BI128 BK128 BP128 BR128 BW128 BY128 CD128 CF128 CK128 CM128 CR128 CT128 Z116 AB116 AG116 AI116 AN116 AP116 AU116 AW116 BB116 BD116 BI116 BK116 BP116 BR116 BW116 BY116 CD116 CF116 CK116 CM116 CR116 CT116 Z140 AB140 AG140 AI140 AN140 AP140 AU140 AW140 BB140 BD140 BI140 BK140 BP140 BR140 BW140 BY140 CD140 CF140 CK140 CM140 CR140 CT140 Z154 AB154 AG154 AI154 AN154 AP154 AU154 AW154 BB154 BD154 BI154 BK154 BP154 BR154 BW154 BY154 CD154 CF154 CK154 CM154 CR154 CT154 Z168 AB168 AG168 AI168 AN168 AP168 AU168 AW168 BB168 BD168 BI168 BK168 BP168 BR168 BW168 BY168 CD168 CF168 CK168 CM168 CR168 CT168 Z182 AB182 AG182 AI182 AN182 AP182 AU182 AW182 BB182 BD182 BI182 BK182 BP182 BR182 BW182 BY182 CD182 CF182 CK182 CM182 CR182 CT182 Z196 AB196 AG196 AI196 AN196 AP196 AU196 AW196 BB196 BD196 BI196 BK196 BP196 BR196 BW196 BY196 CD196 CF196 CK196 CM196 CR196 CT196 Z210 AB210 AG210 AI210 AN210 AP210 AU210 AW210 BB210 BD210 BI210 BK210 BP210 BR210 BW210 BY210 CD210 CF210 CK210 CM210 CR210 CT210 Z224 AB224 AG224 AI224 AN224 AP224 AU224 AW224 BB224 BD224 BI224 BK224 BP224 BR224 BW224 BY224 CD224 CF224 CK224 CM224 CR224 CT224 Z238 AB238 AG238 AI238 AN238 AP238 AU238 AW238 BB238 BD238 BI238 BK238 BP238 BR238 BW238 BY238 CD238 CF238 CK238 CM238 CR238 CT238 Z252 AB252 AG252 AI252 AN252 AP252 AU252 AW252 BB252 BD252 BI252 BK252 BP252 BR252 BW252 BY252 CD252 CF252 CK252 CM252 CR252 CT252 Z266 AB266 AG266 AI266 AN266 AP266 AU266 AW266 BB266 BD266 BI266 BK266 BP266 BR266 BW266 BY266 CD266 CF266 CK266 CM266 CR266 CT266 Z278 AB278 AG278 AI278 AN278 AP278 AU278 AW278 BB278 BD278 BI278 BK278 BP278 BR278 BW278 BY278 CD278 CF278 CK278 CM278 CR278 CT278"/>
    <dataValidation allowBlank="1" sqref="S131348:CV131354 S196884:CV196890 S262420:CV262426 S327956:CV327962 S393492:CV393498 S459028:CV459034 S524564:CV524570 S590100:CV590106 S655636:CV655642 S721172:CV721178 S786708:CV786714 S852244:CV852250 S917780:CV917786 S983316:CV983322 S65812:CV65818"/>
    <dataValidation type="list" allowBlank="1" showInputMessage="1" errorTitle="Ошибка" error="Выберите значение из списка" prompt="Выберите значение из списка" sqref="V983313:CU983313 V65809:CU65809 V131345:CU131345 V196881:CU196881 V262417:CU262417 V327953:CU327953 V393489:CU393489 V459025:CU459025 V524561:CU524561 V590097:CU590097 V655633:CU655633 V721169:CU721169 V786705:CU786705 V852241:CU852241 V917777:CU917777">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F486BAB-E6ED-3BC9-99F6-080985A0F367}"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46889" width="10.57421875" hidden="1"/>
    <col min="2" max="2" style="46889" width="11.00390625" hidden="1" customWidth="1"/>
    <col min="3" max="3" style="46889" width="10.57421875" hidden="1"/>
    <col min="4" max="4" style="46889" width="11.8515625" hidden="1" customWidth="1"/>
    <col min="5" max="5" style="46889" width="10.00390625" hidden="1" customWidth="1"/>
    <col min="6" max="6" style="46889" width="8.7109375" hidden="1" customWidth="1"/>
    <col min="7" max="7" style="46889" width="7.57421875" hidden="1" customWidth="1"/>
    <col min="8" max="8" style="46889" width="11.421875" hidden="1" customWidth="1"/>
    <col min="9" max="9" style="46889" width="14.140625" hidden="1" customWidth="1"/>
    <col min="10" max="10" style="46889" width="9.8515625" hidden="1" customWidth="1"/>
    <col min="11" max="11" style="46889" width="14.7109375" hidden="1" customWidth="1"/>
    <col min="12" max="12" style="47738" width="19.140625" hidden="1" customWidth="1"/>
    <col min="13" max="14" style="47739" width="12.28125" hidden="1" customWidth="1"/>
    <col min="15" max="15" style="47739" width="23.421875" hidden="1" customWidth="1"/>
    <col min="16" max="16" style="47740" width="3.00390625" customWidth="1"/>
    <col min="17" max="18" style="47741" width="3.00390625" customWidth="1"/>
    <col min="19" max="19" style="47742" width="12.00390625" customWidth="1"/>
    <col min="20" max="20" style="46808" width="35.00390625" customWidth="1"/>
    <col min="21" max="21" style="46808" width="0.140625" customWidth="1"/>
    <col min="22" max="24" style="46808" width="24.7109375" hidden="1" customWidth="1"/>
    <col min="25" max="25" style="46808" width="11.7109375" hidden="1" customWidth="1"/>
    <col min="26" max="26" style="46808" width="3.7109375" hidden="1" customWidth="1"/>
    <col min="27" max="27" style="46808" width="11.7109375" hidden="1" customWidth="1"/>
    <col min="28" max="28" style="46808" width="8.57421875" hidden="1" customWidth="1"/>
    <col min="29" max="29" style="46808" width="24.7109375" customWidth="1"/>
    <col min="30" max="31" style="46808" width="24.00390625" customWidth="1"/>
    <col min="32" max="32" style="46808" width="11.00390625" customWidth="1"/>
    <col min="33" max="33" style="46808" width="3.7109375" customWidth="1"/>
    <col min="34" max="34" style="46808" width="11.00390625" customWidth="1"/>
    <col min="35" max="35" style="46808" width="8.57421875" hidden="1" customWidth="1"/>
    <col min="36" max="36" style="46808" width="4.00390625" customWidth="1"/>
    <col min="37" max="37" style="46808" width="115.00390625" customWidth="1"/>
    <col min="38" max="42" style="46890" width="10.00390625" customWidth="1"/>
    <col min="43" max="43" style="46808" width="10.57421875" hidden="1"/>
  </cols>
  <sheetData>
    <row customHeight="1" ht="22.5" hidden="1">
      <c r="X1" s="839"/>
      <c r="Y1" s="839"/>
      <c r="AE1" s="839"/>
      <c r="AF1" s="839"/>
      <c r="AQ1" s="1667" t="s">
        <v>14</v>
      </c>
    </row>
    <row customHeight="1" ht="23.25" hidden="1">
      <c r="A2" s="1875"/>
      <c r="B2" s="1875"/>
      <c r="C2" s="1875"/>
      <c r="D2" s="1875"/>
      <c r="E2" s="2770">
        <v>1</v>
      </c>
      <c r="F2" s="1875"/>
      <c r="G2" s="1875"/>
      <c r="H2" s="1875"/>
      <c r="I2" s="1875"/>
      <c r="J2" s="1875"/>
      <c r="K2" s="1875"/>
      <c r="L2" s="1876"/>
      <c r="M2" s="1877"/>
      <c r="N2" s="1877"/>
      <c r="O2" s="1877"/>
      <c r="P2" s="873"/>
      <c r="Q2" s="872"/>
      <c r="R2" s="867"/>
      <c r="S2" s="2005">
        <f>INDEX(PT_DIFFERENTIATION_NUM_NTAR,MATCH(A2,PT_DIFFERENTIATION_NTAR_ID,0))</f>
      </c>
      <c r="T2" s="810" t="s">
        <v>179</v>
      </c>
      <c r="U2" s="812"/>
      <c r="V2" s="2754"/>
      <c r="W2" s="2755"/>
      <c r="X2" s="2755"/>
      <c r="Y2" s="2755"/>
      <c r="Z2" s="2755"/>
      <c r="AA2" s="2755"/>
      <c r="AB2" s="2756"/>
      <c r="AC2" s="2754">
        <f>INDEX(PT_DIFFERENTIATION_NTAR,MATCH(A2,PT_DIFFERENTIATION_NTAR_ID,0))</f>
      </c>
      <c r="AD2" s="2755"/>
      <c r="AE2" s="2755"/>
      <c r="AF2" s="2755"/>
      <c r="AG2" s="2755"/>
      <c r="AH2" s="2755"/>
      <c r="AI2" s="2755"/>
      <c r="AJ2" s="2756"/>
      <c r="AK2"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1012"/>
      <c r="AN2" s="1012" t="str">
        <f>IF(T2="","",T2)</f>
        <v>Наименование тарифа</v>
      </c>
      <c r="AO2" s="1012"/>
      <c r="AP2" s="1012"/>
      <c r="AQ2" s="1667">
        <v>0</v>
      </c>
    </row>
    <row customHeight="1" ht="23.25" hidden="1">
      <c r="A3" s="1875"/>
      <c r="B3" s="1875"/>
      <c r="C3" s="1875"/>
      <c r="D3" s="1875"/>
      <c r="E3" s="2771"/>
      <c r="F3" s="2770">
        <v>1</v>
      </c>
      <c r="G3" s="1875"/>
      <c r="H3" s="1875"/>
      <c r="I3" s="1875"/>
      <c r="J3" s="1875"/>
      <c r="K3" s="1875"/>
      <c r="L3" s="1876"/>
      <c r="M3" s="1877"/>
      <c r="N3" s="1877"/>
      <c r="O3" s="1877"/>
      <c r="P3" s="1999"/>
      <c r="Q3" s="864"/>
      <c r="R3" s="865"/>
      <c r="S3" s="2005">
        <f>INDEX(PT_DIFFERENTIATION_NUM_TER,MATCH(B3,PT_DIFFERENTIATION_TER_ID,0))</f>
      </c>
      <c r="T3" s="820" t="s">
        <v>515</v>
      </c>
      <c r="U3" s="812"/>
      <c r="V3" s="2754"/>
      <c r="W3" s="2755"/>
      <c r="X3" s="2755"/>
      <c r="Y3" s="2755"/>
      <c r="Z3" s="2755"/>
      <c r="AA3" s="2755"/>
      <c r="AB3" s="2756"/>
      <c r="AC3" s="2754">
        <f>INDEX(PT_DIFFERENTIATION_TER,MATCH(B3,PT_DIFFERENTIATION_TER_ID,0))</f>
      </c>
      <c r="AD3" s="2755"/>
      <c r="AE3" s="2755"/>
      <c r="AF3" s="2755"/>
      <c r="AG3" s="2755"/>
      <c r="AH3" s="2755"/>
      <c r="AI3" s="2755"/>
      <c r="AJ3" s="2756"/>
      <c r="AK3" s="1770" t="s">
        <v>516</v>
      </c>
      <c r="AM3" s="1012"/>
      <c r="AN3" s="1012" t="str">
        <f>IF(T3="","",T3)</f>
        <v>Территория действия тарифа</v>
      </c>
      <c r="AO3" s="1012"/>
      <c r="AP3" s="1012"/>
      <c r="AQ3" s="1667">
        <v>0</v>
      </c>
    </row>
    <row customHeight="1" ht="23.25" hidden="1">
      <c r="A4" s="1875"/>
      <c r="B4" s="1875"/>
      <c r="C4" s="1875"/>
      <c r="D4" s="1875"/>
      <c r="E4" s="2771"/>
      <c r="F4" s="2771"/>
      <c r="G4" s="2770">
        <v>1</v>
      </c>
      <c r="H4" s="1875"/>
      <c r="I4" s="1875"/>
      <c r="J4" s="1875"/>
      <c r="K4" s="1875"/>
      <c r="L4" s="1876"/>
      <c r="M4" s="1877"/>
      <c r="N4" s="1877"/>
      <c r="O4" s="1877"/>
      <c r="P4" s="866"/>
      <c r="Q4" s="864"/>
      <c r="R4" s="865"/>
      <c r="S4" s="2005">
        <f>INDEX(PT_DIFFERENTIATION_NUM_CS,MATCH(C4,PT_DIFFERENTIATION_CS_ID,0))</f>
      </c>
      <c r="T4" s="821" t="s">
        <v>631</v>
      </c>
      <c r="U4" s="812"/>
      <c r="V4" s="2754"/>
      <c r="W4" s="2755"/>
      <c r="X4" s="2755"/>
      <c r="Y4" s="2755"/>
      <c r="Z4" s="2755"/>
      <c r="AA4" s="2755"/>
      <c r="AB4" s="2756"/>
      <c r="AC4" s="2754">
        <f>INDEX(PT_DIFFERENTIATION_CS,MATCH(C4,PT_DIFFERENTIATION_CS_ID,0))</f>
      </c>
      <c r="AD4" s="2755"/>
      <c r="AE4" s="2755"/>
      <c r="AF4" s="2755"/>
      <c r="AG4" s="2755"/>
      <c r="AH4" s="2755"/>
      <c r="AI4" s="2755"/>
      <c r="AJ4" s="2756"/>
      <c r="AK4" s="1770" t="s">
        <v>632</v>
      </c>
      <c r="AM4" s="1012"/>
      <c r="AN4" s="1012" t="str">
        <f>IF(T4="","",T4)</f>
        <v>Наименование централизованной системы водоотведения</v>
      </c>
      <c r="AO4" s="1012"/>
      <c r="AP4" s="1012"/>
      <c r="AQ4" s="1667">
        <v>0</v>
      </c>
    </row>
    <row customHeight="1" ht="23.25" hidden="1">
      <c r="A5" s="1875"/>
      <c r="B5" s="1875"/>
      <c r="C5" s="1875"/>
      <c r="D5" s="1875"/>
      <c r="E5" s="2771"/>
      <c r="F5" s="2771"/>
      <c r="G5" s="2771"/>
      <c r="H5" s="2771"/>
      <c r="I5" s="2768">
        <f>S4&amp;".1"</f>
      </c>
      <c r="J5" s="1875"/>
      <c r="K5" s="1875"/>
      <c r="L5" s="1876"/>
      <c r="P5" s="2769">
        <v>1</v>
      </c>
      <c r="Q5" s="1993"/>
      <c r="R5" s="868"/>
      <c r="S5" s="2005">
        <f>$I5</f>
      </c>
      <c r="T5" s="797" t="s">
        <v>598</v>
      </c>
      <c r="U5" s="812"/>
      <c r="V5" s="2862"/>
      <c r="W5" s="2863"/>
      <c r="X5" s="2863"/>
      <c r="Y5" s="2863"/>
      <c r="Z5" s="2863"/>
      <c r="AA5" s="2863"/>
      <c r="AB5" s="2864"/>
      <c r="AC5" s="2865"/>
      <c r="AD5" s="2866"/>
      <c r="AE5" s="2866"/>
      <c r="AF5" s="2866"/>
      <c r="AG5" s="2866"/>
      <c r="AH5" s="2866"/>
      <c r="AI5" s="2866"/>
      <c r="AJ5" s="2867"/>
      <c r="AK5" s="1770" t="s">
        <v>599</v>
      </c>
      <c r="AM5" s="1012"/>
      <c r="AN5" s="1012" t="str">
        <f>IF(T5="","",T5)</f>
        <v>Наименование признака дифференциации</v>
      </c>
      <c r="AO5" s="1012"/>
      <c r="AP5" s="1012"/>
      <c r="AQ5" s="1667">
        <v>0</v>
      </c>
    </row>
    <row customHeight="1" ht="23.25" hidden="1">
      <c r="A6" s="1875"/>
      <c r="B6" s="1875"/>
      <c r="C6" s="1875"/>
      <c r="D6" s="1875"/>
      <c r="E6" s="2771"/>
      <c r="F6" s="2771"/>
      <c r="G6" s="2771"/>
      <c r="H6" s="2771"/>
      <c r="I6" s="2798"/>
      <c r="J6" s="2768">
        <f>I5&amp;".1"</f>
      </c>
      <c r="K6" s="1875"/>
      <c r="L6" s="1876" t="s">
        <v>524</v>
      </c>
      <c r="P6" s="2769"/>
      <c r="Q6" s="2769">
        <v>1</v>
      </c>
      <c r="R6" s="869"/>
      <c r="S6" s="2005">
        <f>$J6</f>
      </c>
      <c r="T6" s="798" t="s">
        <v>525</v>
      </c>
      <c r="U6" s="812"/>
      <c r="V6" s="2757"/>
      <c r="W6" s="2758"/>
      <c r="X6" s="2758"/>
      <c r="Y6" s="2758"/>
      <c r="Z6" s="2758"/>
      <c r="AA6" s="2758"/>
      <c r="AB6" s="2759"/>
      <c r="AC6" s="2757"/>
      <c r="AD6" s="2758"/>
      <c r="AE6" s="2758"/>
      <c r="AF6" s="2758"/>
      <c r="AG6" s="2758"/>
      <c r="AH6" s="2758"/>
      <c r="AI6" s="2758"/>
      <c r="AJ6" s="2759"/>
      <c r="AK6" s="1819" t="s">
        <v>600</v>
      </c>
      <c r="AM6" s="1012"/>
      <c r="AN6" s="1012" t="str">
        <f>IF(T6="","",T6)</f>
        <v>Группа потребителей</v>
      </c>
      <c r="AO6" s="1012"/>
      <c r="AP6" s="1012"/>
      <c r="AQ6" s="1667">
        <v>0</v>
      </c>
    </row>
    <row customHeight="1" ht="23.25" hidden="1">
      <c r="A7" s="1875"/>
      <c r="B7" s="1875"/>
      <c r="C7" s="1875"/>
      <c r="D7" s="1875"/>
      <c r="E7" s="2771"/>
      <c r="F7" s="2771"/>
      <c r="G7" s="2771"/>
      <c r="H7" s="2771"/>
      <c r="I7" s="2798"/>
      <c r="J7" s="2798"/>
      <c r="K7" s="2768">
        <f>J6&amp;".1"</f>
      </c>
      <c r="L7" s="1876"/>
      <c r="P7" s="2769"/>
      <c r="Q7" s="2769"/>
      <c r="R7" s="869">
        <v>1</v>
      </c>
      <c r="S7" s="2005">
        <f>$K7</f>
      </c>
      <c r="T7" s="1949"/>
      <c r="U7" s="812"/>
      <c r="V7" s="1263"/>
      <c r="W7" s="1263"/>
      <c r="X7" s="1769"/>
      <c r="Y7" s="2777"/>
      <c r="Z7" s="2619" t="s">
        <v>63</v>
      </c>
      <c r="AA7" s="2777"/>
      <c r="AB7" s="2619" t="s">
        <v>63</v>
      </c>
      <c r="AC7" s="1263"/>
      <c r="AD7" s="1263"/>
      <c r="AE7" s="1769"/>
      <c r="AF7" s="2777"/>
      <c r="AG7" s="2619" t="s">
        <v>63</v>
      </c>
      <c r="AH7" s="2799"/>
      <c r="AI7" s="2619" t="s">
        <v>63</v>
      </c>
      <c r="AJ7" s="1950"/>
      <c r="AK7" s="28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023">
        <f>STRCHECKDATE(V8:AJ8)</f>
      </c>
      <c r="AM7" s="1012"/>
      <c r="AN7" s="1012" t="str">
        <f>IF(T7="","",T7)</f>
        <v/>
      </c>
      <c r="AO7" s="1012"/>
      <c r="AP7" s="1012"/>
      <c r="AQ7" s="1667">
        <v>0</v>
      </c>
    </row>
    <row customHeight="1" ht="14.25" hidden="1">
      <c r="A8" s="1875"/>
      <c r="B8" s="1875"/>
      <c r="C8" s="1875"/>
      <c r="D8" s="1875"/>
      <c r="E8" s="2771"/>
      <c r="F8" s="2771"/>
      <c r="G8" s="2771"/>
      <c r="H8" s="2771"/>
      <c r="I8" s="2798"/>
      <c r="J8" s="2798"/>
      <c r="K8" s="2768"/>
      <c r="L8" s="1876"/>
      <c r="P8" s="2769"/>
      <c r="Q8" s="2769"/>
      <c r="R8" s="869"/>
      <c r="S8" s="2002"/>
      <c r="T8" s="812"/>
      <c r="U8" s="812"/>
      <c r="V8" s="837"/>
      <c r="W8" s="837"/>
      <c r="X8" s="840" t="str">
        <f>Y7&amp;"-"&amp;AA7</f>
        <v>-</v>
      </c>
      <c r="Y8" s="2778"/>
      <c r="Z8" s="2619"/>
      <c r="AA8" s="2778"/>
      <c r="AB8" s="2619"/>
      <c r="AC8" s="837"/>
      <c r="AD8" s="837"/>
      <c r="AE8" s="840" t="str">
        <f>AF7&amp;"-"&amp;AH7</f>
        <v>-</v>
      </c>
      <c r="AF8" s="2778"/>
      <c r="AG8" s="2619"/>
      <c r="AH8" s="2800"/>
      <c r="AI8" s="2619"/>
      <c r="AJ8" s="1951"/>
      <c r="AK8" s="2861"/>
      <c r="AM8" s="1012"/>
      <c r="AN8" s="1012" t="str">
        <f>IF(T8="","",T8)</f>
        <v/>
      </c>
      <c r="AO8" s="1012"/>
      <c r="AP8" s="1012"/>
      <c r="AQ8" s="1667">
        <v>0</v>
      </c>
    </row>
    <row customHeight="1" ht="21" hidden="1">
      <c r="A9" s="1875"/>
      <c r="B9" s="1875"/>
      <c r="C9" s="1875"/>
      <c r="D9" s="1875"/>
      <c r="E9" s="2771"/>
      <c r="F9" s="2771"/>
      <c r="G9" s="2771"/>
      <c r="H9" s="2771"/>
      <c r="I9" s="2798"/>
      <c r="J9" s="2768"/>
      <c r="K9" s="1875"/>
      <c r="L9" s="1876"/>
      <c r="P9" s="2769"/>
      <c r="Q9" s="2769"/>
      <c r="R9" s="868"/>
      <c r="S9" s="1790"/>
      <c r="T9" s="799" t="s">
        <v>601</v>
      </c>
      <c r="U9" s="879"/>
      <c r="V9" s="879"/>
      <c r="W9" s="879"/>
      <c r="X9" s="879"/>
      <c r="Y9" s="879"/>
      <c r="Z9" s="879"/>
      <c r="AA9" s="879"/>
      <c r="AB9" s="879"/>
      <c r="AC9" s="879"/>
      <c r="AD9" s="879"/>
      <c r="AE9" s="879"/>
      <c r="AF9" s="879"/>
      <c r="AG9" s="879"/>
      <c r="AH9" s="879"/>
      <c r="AI9" s="879"/>
      <c r="AJ9" s="879"/>
      <c r="AK9" s="1770" t="s">
        <v>602</v>
      </c>
      <c r="AM9" s="1012"/>
      <c r="AN9" s="1012" t="str">
        <f>IF(T9="","",T9)</f>
        <v>Добавить значение признака дифференциации</v>
      </c>
      <c r="AO9" s="1012"/>
      <c r="AP9" s="1012"/>
      <c r="AQ9" s="1667">
        <v>0</v>
      </c>
    </row>
    <row customHeight="1" ht="21" hidden="1">
      <c r="A10" s="1875"/>
      <c r="B10" s="1875"/>
      <c r="C10" s="1875"/>
      <c r="D10" s="1875"/>
      <c r="E10" s="2771"/>
      <c r="F10" s="2771"/>
      <c r="G10" s="2771"/>
      <c r="H10" s="2771"/>
      <c r="I10" s="2768"/>
      <c r="J10" s="1875"/>
      <c r="K10" s="1875"/>
      <c r="L10" s="1876"/>
      <c r="P10" s="2769"/>
      <c r="Q10" s="1993"/>
      <c r="R10" s="868"/>
      <c r="S10" s="1790"/>
      <c r="T10" s="877" t="s">
        <v>530</v>
      </c>
      <c r="U10" s="879"/>
      <c r="V10" s="879"/>
      <c r="W10" s="879"/>
      <c r="X10" s="879"/>
      <c r="Y10" s="879"/>
      <c r="Z10" s="879"/>
      <c r="AA10" s="879"/>
      <c r="AB10" s="878"/>
      <c r="AC10" s="879"/>
      <c r="AD10" s="879"/>
      <c r="AE10" s="879"/>
      <c r="AF10" s="879"/>
      <c r="AG10" s="879"/>
      <c r="AH10" s="879"/>
      <c r="AI10" s="878"/>
      <c r="AJ10" s="879"/>
      <c r="AK10" s="1952"/>
      <c r="AM10" s="1012"/>
      <c r="AN10" s="1012" t="str">
        <f>IF(T10="","",T10)</f>
        <v>Добавить группу потребителей</v>
      </c>
      <c r="AO10" s="1012"/>
      <c r="AP10" s="1012"/>
      <c r="AQ10" s="1667">
        <v>0</v>
      </c>
    </row>
    <row customHeight="1" ht="21" hidden="1">
      <c r="A11" s="1875"/>
      <c r="B11" s="1875"/>
      <c r="C11" s="1875"/>
      <c r="D11" s="1875"/>
      <c r="E11" s="2771"/>
      <c r="F11" s="2771"/>
      <c r="G11" s="2771"/>
      <c r="H11" s="2770"/>
      <c r="I11" s="1875"/>
      <c r="J11" s="1875"/>
      <c r="K11" s="1875"/>
      <c r="L11" s="1876"/>
      <c r="M11" s="1877"/>
      <c r="N11" s="1877"/>
      <c r="O11" s="1049"/>
      <c r="P11" s="872"/>
      <c r="Q11" s="887"/>
      <c r="R11" s="867"/>
      <c r="S11" s="1790"/>
      <c r="T11" s="884" t="s">
        <v>603</v>
      </c>
      <c r="U11" s="879"/>
      <c r="V11" s="879"/>
      <c r="W11" s="879"/>
      <c r="X11" s="879"/>
      <c r="Y11" s="879"/>
      <c r="Z11" s="879"/>
      <c r="AA11" s="879"/>
      <c r="AB11" s="878"/>
      <c r="AC11" s="879"/>
      <c r="AD11" s="879"/>
      <c r="AE11" s="879"/>
      <c r="AF11" s="879"/>
      <c r="AG11" s="879"/>
      <c r="AH11" s="879"/>
      <c r="AI11" s="878"/>
      <c r="AJ11" s="879"/>
      <c r="AK11" s="815"/>
      <c r="AM11" s="1012"/>
      <c r="AN11" s="1012" t="str">
        <f>IF(T11="","",T11)</f>
        <v>Добавить наименование признака дифференциации</v>
      </c>
      <c r="AO11" s="1012"/>
      <c r="AP11" s="1012"/>
      <c r="AQ11" s="1667">
        <v>0</v>
      </c>
    </row>
    <row s="46890" customFormat="1" customHeight="1" ht="14.25" hidden="1">
      <c r="A12" s="1855"/>
      <c r="B12" s="1855"/>
      <c r="C12" s="1826"/>
      <c r="D12" s="1826"/>
      <c r="E12" s="2771"/>
      <c r="F12" s="2770"/>
      <c r="G12" s="1826"/>
      <c r="H12" s="1826"/>
      <c r="I12" s="1826"/>
      <c r="J12" s="1826"/>
      <c r="K12" s="1826"/>
      <c r="L12" s="2006"/>
      <c r="M12" s="1833"/>
      <c r="N12" s="1833"/>
      <c r="P12" s="1828"/>
      <c r="Q12" s="1829"/>
      <c r="R12" s="1828"/>
      <c r="S12" s="1834"/>
      <c r="T12" s="1837" t="s">
        <v>321</v>
      </c>
      <c r="U12" s="1836"/>
      <c r="V12" s="1836"/>
      <c r="W12" s="1836"/>
      <c r="X12" s="1836"/>
      <c r="Y12" s="1836"/>
      <c r="Z12" s="1836"/>
      <c r="AA12" s="1836"/>
      <c r="AB12" s="1836"/>
      <c r="AC12" s="1836"/>
      <c r="AD12" s="1836"/>
      <c r="AE12" s="1836"/>
      <c r="AF12" s="1836"/>
      <c r="AG12" s="1836"/>
      <c r="AH12" s="1836"/>
      <c r="AI12" s="1836"/>
      <c r="AJ12" s="1836"/>
      <c r="AK12" s="1836"/>
      <c r="AM12" s="1301"/>
      <c r="AN12" s="1301" t="str">
        <f>IF(T12="","",T12)</f>
        <v>Добавить централизованную систему для дифференциации</v>
      </c>
      <c r="AO12" s="1301"/>
      <c r="AP12" s="1301"/>
      <c r="AQ12" s="1030">
        <v>0</v>
      </c>
    </row>
    <row s="46890" customFormat="1" customHeight="1" ht="14.25" hidden="1">
      <c r="A13" s="1855"/>
      <c r="B13" s="1855"/>
      <c r="C13" s="1855"/>
      <c r="D13" s="1855"/>
      <c r="E13" s="2770"/>
      <c r="F13" s="1855"/>
      <c r="G13" s="1855"/>
      <c r="H13" s="1855"/>
      <c r="I13" s="1855"/>
      <c r="J13" s="1855"/>
      <c r="K13" s="1855"/>
      <c r="L13" s="1858"/>
      <c r="M13" s="1833"/>
      <c r="N13" s="1833"/>
      <c r="O13" s="1030"/>
      <c r="P13" s="892"/>
      <c r="Q13" s="1856"/>
      <c r="R13" s="892"/>
      <c r="S13" s="1834"/>
      <c r="T13" s="1837" t="s">
        <v>385</v>
      </c>
      <c r="U13" s="1836"/>
      <c r="V13" s="1836"/>
      <c r="W13" s="1836"/>
      <c r="X13" s="1836"/>
      <c r="Y13" s="1836"/>
      <c r="Z13" s="1836"/>
      <c r="AA13" s="1836"/>
      <c r="AB13" s="1836"/>
      <c r="AC13" s="1836"/>
      <c r="AD13" s="1836"/>
      <c r="AE13" s="1836"/>
      <c r="AF13" s="1836"/>
      <c r="AG13" s="1836"/>
      <c r="AH13" s="1836"/>
      <c r="AI13" s="1836"/>
      <c r="AJ13" s="1836"/>
      <c r="AK13" s="1836"/>
      <c r="AM13" s="1012"/>
      <c r="AN13" s="1012" t="str">
        <f>IF(T13="","",T13)</f>
        <v>Добавить территорию для дифференциации</v>
      </c>
      <c r="AO13" s="1012"/>
      <c r="AP13" s="1012"/>
      <c r="AQ13" s="1023">
        <v>0</v>
      </c>
    </row>
    <row customHeight="1" ht="14.25" hidden="1">
      <c r="AB14" s="839"/>
      <c r="AI14" s="839"/>
      <c r="AQ14" s="1667">
        <v>0</v>
      </c>
    </row>
    <row customHeight="1" ht="14.25" hidden="1">
      <c r="AC15" s="1872"/>
      <c r="AD15" s="1872"/>
      <c r="AE15" s="1873"/>
      <c r="AF15" s="2779"/>
      <c r="AG15" s="2780" t="s">
        <v>63</v>
      </c>
      <c r="AH15" s="2779"/>
      <c r="AI15" s="2780" t="s">
        <v>63</v>
      </c>
      <c r="AQ15" s="1667">
        <v>0</v>
      </c>
    </row>
    <row customHeight="1" ht="14.25" hidden="1">
      <c r="AC16" s="1872"/>
      <c r="AD16" s="1872"/>
      <c r="AE16" s="840" t="str">
        <f>AF15&amp;"-"&amp;AH15</f>
        <v>-</v>
      </c>
      <c r="AF16" s="2780"/>
      <c r="AG16" s="2780"/>
      <c r="AH16" s="2780"/>
      <c r="AI16" s="2780"/>
      <c r="AQ16" s="1667">
        <v>0</v>
      </c>
    </row>
    <row customHeight="1" ht="14.25" hidden="1">
      <c r="AI17" s="839"/>
      <c r="AQ17" s="1667">
        <v>0</v>
      </c>
    </row>
    <row s="46889" customFormat="1" customHeight="1" ht="22.5" hidden="1">
      <c r="L18" s="1990"/>
      <c r="M18" s="1874"/>
      <c r="N18" s="1874"/>
      <c r="O18" s="1879" t="s">
        <v>533</v>
      </c>
      <c r="P18" s="1874"/>
      <c r="Q18" s="1883"/>
      <c r="R18" s="1883"/>
      <c r="S18" s="1241"/>
      <c r="Y18" s="1879"/>
      <c r="AA18" s="1879"/>
      <c r="AB18" s="1878"/>
      <c r="AF18" s="1879"/>
      <c r="AH18" s="1879"/>
      <c r="AI18" s="1878"/>
      <c r="AL18" s="1023"/>
      <c r="AM18" s="1023"/>
      <c r="AN18" s="1023"/>
      <c r="AO18" s="1023"/>
      <c r="AP18" s="1023"/>
      <c r="AQ18" s="1672">
        <v>0</v>
      </c>
    </row>
    <row s="46889" customFormat="1" customHeight="1" ht="14.25" hidden="1">
      <c r="L19" s="1990"/>
      <c r="M19" s="1874"/>
      <c r="N19" s="1874"/>
      <c r="O19" s="1874"/>
      <c r="P19" s="1874"/>
      <c r="Q19" s="1883"/>
      <c r="R19" s="1883"/>
      <c r="S19" s="1241"/>
      <c r="AB19" s="1878"/>
      <c r="AI19" s="1878"/>
      <c r="AL19" s="1023"/>
      <c r="AM19" s="1023"/>
      <c r="AN19" s="1023"/>
      <c r="AO19" s="1023"/>
      <c r="AP19" s="1023"/>
      <c r="AQ19" s="1672">
        <v>0</v>
      </c>
    </row>
    <row s="46889" customFormat="1" customHeight="1" ht="12" hidden="1">
      <c r="L20" s="1990"/>
      <c r="M20" s="1874"/>
      <c r="N20" s="1874"/>
      <c r="O20" s="1876" t="s">
        <v>534</v>
      </c>
      <c r="P20" s="1874"/>
      <c r="Q20" s="1954"/>
      <c r="R20" s="1954"/>
      <c r="S20" s="1241"/>
      <c r="T20" s="1672" t="s">
        <v>535</v>
      </c>
      <c r="Z20" s="698" t="s">
        <v>536</v>
      </c>
      <c r="AB20" s="698" t="s">
        <v>537</v>
      </c>
      <c r="AC20" s="1672" t="s">
        <v>535</v>
      </c>
      <c r="AG20" s="698" t="s">
        <v>538</v>
      </c>
      <c r="AI20" s="698" t="s">
        <v>537</v>
      </c>
      <c r="AQ20" s="1672">
        <v>0</v>
      </c>
    </row>
    <row customHeight="1" ht="14.25" hidden="1">
      <c r="O21" s="1876"/>
      <c r="AQ21" s="1667">
        <v>0</v>
      </c>
    </row>
    <row customHeight="1" ht="14.25" hidden="1">
      <c r="O22" s="1876"/>
      <c r="AQ22" s="1667">
        <v>0</v>
      </c>
    </row>
    <row customHeight="1" ht="14.699999999999998">
      <c r="Q23" s="888"/>
      <c r="R23" s="888"/>
      <c r="S23" s="1787"/>
      <c r="T23" s="875"/>
      <c r="U23" s="875"/>
      <c r="V23" s="1021"/>
      <c r="W23" s="1021"/>
      <c r="X23" s="1021"/>
      <c r="Y23" s="1021"/>
      <c r="Z23" s="1021"/>
      <c r="AA23" s="1021"/>
      <c r="AB23" s="1021"/>
      <c r="AC23" s="1021"/>
      <c r="AD23" s="1021"/>
      <c r="AE23" s="1021"/>
      <c r="AF23" s="1021"/>
      <c r="AG23" s="1021"/>
      <c r="AH23" s="1021"/>
      <c r="AI23" s="1021"/>
      <c r="AQ23" s="1667">
        <v>14</v>
      </c>
    </row>
    <row customHeight="1" ht="14.699999999999998">
      <c r="Q24" s="888"/>
      <c r="R24" s="888"/>
      <c r="S24" s="2760"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760"/>
      <c r="U24" s="2760"/>
      <c r="V24" s="2760"/>
      <c r="W24" s="2760"/>
      <c r="X24" s="2760"/>
      <c r="Y24" s="2760"/>
      <c r="Z24" s="2760"/>
      <c r="AA24" s="2760"/>
      <c r="AB24" s="2760"/>
      <c r="AC24" s="2760"/>
      <c r="AD24" s="2760"/>
      <c r="AE24" s="2760"/>
      <c r="AF24" s="2760"/>
      <c r="AG24" s="2760"/>
      <c r="AH24" s="2760"/>
      <c r="AI24" s="1755"/>
      <c r="AQ24" s="1667">
        <v>14</v>
      </c>
    </row>
    <row customHeight="1" ht="14.699999999999998">
      <c r="Q25" s="888"/>
      <c r="R25" s="888"/>
      <c r="S25" s="2761" t="str">
        <f>IF(org=0,"Не определено",org)</f>
        <v>КГУП "Примтеплоэнерго"</v>
      </c>
      <c r="T25" s="2761"/>
      <c r="U25" s="2761"/>
      <c r="V25" s="2761"/>
      <c r="W25" s="2761"/>
      <c r="X25" s="2761"/>
      <c r="Y25" s="2761"/>
      <c r="Z25" s="2761"/>
      <c r="AA25" s="2761"/>
      <c r="AB25" s="2761"/>
      <c r="AC25" s="2761"/>
      <c r="AD25" s="2761"/>
      <c r="AE25" s="2761"/>
      <c r="AF25" s="2761"/>
      <c r="AG25" s="2761"/>
      <c r="AH25" s="2761"/>
      <c r="AI25" s="1755"/>
      <c r="AQ25" s="1667">
        <v>14</v>
      </c>
    </row>
    <row customHeight="1" ht="14.25">
      <c r="Q26" s="888"/>
      <c r="R26" s="888"/>
      <c r="S26" s="1787"/>
      <c r="T26" s="875"/>
      <c r="U26" s="875"/>
      <c r="V26" s="834"/>
      <c r="W26" s="834"/>
      <c r="X26" s="834"/>
      <c r="Y26" s="834"/>
      <c r="Z26" s="834"/>
      <c r="AA26" s="834"/>
      <c r="AB26" s="834"/>
      <c r="AC26" s="834"/>
      <c r="AD26" s="834"/>
      <c r="AE26" s="834"/>
      <c r="AF26" s="834"/>
      <c r="AG26" s="834"/>
      <c r="AH26" s="834"/>
      <c r="AI26" s="834"/>
      <c r="AJ26" s="1021"/>
      <c r="AQ26" s="1667">
        <v>0</v>
      </c>
    </row>
    <row s="47026" customFormat="1" customHeight="1" ht="25.5">
      <c r="A27" s="1880"/>
      <c r="B27" s="1880"/>
      <c r="C27" s="1880"/>
      <c r="D27" s="1880"/>
      <c r="E27" s="1880"/>
      <c r="F27" s="1880"/>
      <c r="G27" s="1880"/>
      <c r="H27" s="1880"/>
      <c r="I27" s="1880"/>
      <c r="J27" s="1880"/>
      <c r="K27" s="1880"/>
      <c r="L27" s="1881"/>
      <c r="M27" s="1880"/>
      <c r="N27" s="1880"/>
      <c r="O27" s="1880"/>
      <c r="S27" s="2762" t="s">
        <v>42</v>
      </c>
      <c r="T27" s="2762"/>
      <c r="U27" s="1884"/>
      <c r="V27" s="2763" t="str">
        <f>IF(TITLE_NAME_OR_PR_CHANGE="",IF(TITLE_NAME_OR_PR="","",TITLE_NAME_OR_PR),TITLE_NAME_OR_PR_CHANGE)</f>
        <v>Агентство по тарифам Приморского края</v>
      </c>
      <c r="W27" s="2763"/>
      <c r="X27" s="2763"/>
      <c r="Y27" s="2763"/>
      <c r="Z27" s="2763"/>
      <c r="AA27" s="2763"/>
      <c r="AB27" s="838"/>
      <c r="AC27" s="2763" t="str">
        <f>IF(TITLE_NAME_OR_PR_CHANGE="",IF(TITLE_NAME_OR_PR="","",TITLE_NAME_OR_PR),TITLE_NAME_OR_PR_CHANGE)</f>
        <v>Агентство по тарифам Приморского края</v>
      </c>
      <c r="AD27" s="2763"/>
      <c r="AE27" s="2763"/>
      <c r="AF27" s="2763"/>
      <c r="AG27" s="2763"/>
      <c r="AH27" s="2763"/>
      <c r="AI27" s="838"/>
      <c r="AJ27" s="838"/>
      <c r="AK27" s="792"/>
      <c r="AL27" s="880"/>
      <c r="AM27" s="880"/>
      <c r="AN27" s="880"/>
      <c r="AO27" s="880"/>
      <c r="AP27" s="880"/>
      <c r="AQ27" s="930">
        <v>0</v>
      </c>
    </row>
    <row s="47026" customFormat="1" customHeight="1" ht="18.75">
      <c r="A28" s="1880"/>
      <c r="B28" s="1880"/>
      <c r="C28" s="1880"/>
      <c r="D28" s="1880"/>
      <c r="E28" s="1880"/>
      <c r="F28" s="1880"/>
      <c r="G28" s="1880"/>
      <c r="H28" s="1880"/>
      <c r="I28" s="1880"/>
      <c r="J28" s="1880"/>
      <c r="K28" s="1880"/>
      <c r="L28" s="1881"/>
      <c r="M28" s="1880"/>
      <c r="N28" s="1880"/>
      <c r="O28" s="1880"/>
      <c r="S28" s="2762" t="s">
        <v>539</v>
      </c>
      <c r="T28" s="2762"/>
      <c r="U28" s="1884"/>
      <c r="V28" s="2776" t="str">
        <f>IF(TITLE_DATE_PR_CHANGE="",IF(TITLE_DATE_PR="","",TITLE_DATE_PR),TITLE_DATE_PR_CHANGE)</f>
        <v>45631.495844907404</v>
      </c>
      <c r="W28" s="2776"/>
      <c r="X28" s="2776"/>
      <c r="Y28" s="2776"/>
      <c r="Z28" s="2776"/>
      <c r="AA28" s="2776"/>
      <c r="AB28" s="838"/>
      <c r="AC28" s="2776" t="str">
        <f>IF(TITLE_DATE_PR_CHANGE="",IF(TITLE_DATE_PR="","",TITLE_DATE_PR),TITLE_DATE_PR_CHANGE)</f>
        <v>45631.495844907404</v>
      </c>
      <c r="AD28" s="2776"/>
      <c r="AE28" s="2776"/>
      <c r="AF28" s="2776"/>
      <c r="AG28" s="2776"/>
      <c r="AH28" s="2776"/>
      <c r="AI28" s="838"/>
      <c r="AJ28" s="838"/>
      <c r="AK28" s="792"/>
      <c r="AL28" s="880"/>
      <c r="AM28" s="880"/>
      <c r="AN28" s="880"/>
      <c r="AO28" s="880"/>
      <c r="AP28" s="880"/>
      <c r="AQ28" s="930">
        <v>0</v>
      </c>
    </row>
    <row s="47026" customFormat="1" customHeight="1" ht="18.75">
      <c r="A29" s="1880"/>
      <c r="B29" s="1880"/>
      <c r="C29" s="1880"/>
      <c r="D29" s="1880"/>
      <c r="E29" s="1880"/>
      <c r="F29" s="1880"/>
      <c r="G29" s="1880"/>
      <c r="H29" s="1880"/>
      <c r="I29" s="1880"/>
      <c r="J29" s="1880"/>
      <c r="K29" s="1880"/>
      <c r="L29" s="1881"/>
      <c r="M29" s="1880"/>
      <c r="N29" s="1880"/>
      <c r="O29" s="1880"/>
      <c r="S29" s="2762" t="s">
        <v>540</v>
      </c>
      <c r="T29" s="2762"/>
      <c r="U29" s="1884"/>
      <c r="V29" s="2763" t="str">
        <f>IF(TITLE_NUMBER_PR_CHANGE="",IF(TITLE_NUMBER_PR="","",TITLE_NUMBER_PR),TITLE_NUMBER_PR_CHANGE)</f>
        <v>53/9</v>
      </c>
      <c r="W29" s="2763"/>
      <c r="X29" s="2763"/>
      <c r="Y29" s="2763"/>
      <c r="Z29" s="2763"/>
      <c r="AA29" s="2763"/>
      <c r="AB29" s="838"/>
      <c r="AC29" s="2763" t="str">
        <f>IF(TITLE_NUMBER_PR_CHANGE="",IF(TITLE_NUMBER_PR="","",TITLE_NUMBER_PR),TITLE_NUMBER_PR_CHANGE)</f>
        <v>53/9</v>
      </c>
      <c r="AD29" s="2763"/>
      <c r="AE29" s="2763"/>
      <c r="AF29" s="2763"/>
      <c r="AG29" s="2763"/>
      <c r="AH29" s="2763"/>
      <c r="AI29" s="838"/>
      <c r="AJ29" s="838"/>
      <c r="AK29" s="792"/>
      <c r="AL29" s="880"/>
      <c r="AM29" s="880"/>
      <c r="AN29" s="880"/>
      <c r="AO29" s="880"/>
      <c r="AP29" s="880"/>
      <c r="AQ29" s="930">
        <v>0</v>
      </c>
    </row>
    <row s="47026" customFormat="1" customHeight="1" ht="18.75">
      <c r="A30" s="1880"/>
      <c r="B30" s="1880"/>
      <c r="C30" s="1880"/>
      <c r="D30" s="1880"/>
      <c r="E30" s="1880"/>
      <c r="F30" s="1880"/>
      <c r="G30" s="1880"/>
      <c r="H30" s="1880"/>
      <c r="I30" s="1880"/>
      <c r="J30" s="1880"/>
      <c r="K30" s="1880"/>
      <c r="L30" s="1881"/>
      <c r="M30" s="1880"/>
      <c r="N30" s="1880"/>
      <c r="O30" s="1880"/>
      <c r="S30" s="2762" t="s">
        <v>44</v>
      </c>
      <c r="T30" s="2762"/>
      <c r="U30" s="1884"/>
      <c r="V30" s="2763" t="str">
        <f>IF(TITLE_IST_PUB_CHANGE="",IF(TITLE_IST_PUB="","",TITLE_IST_PUB),TITLE_IST_PUB_CHANGE)</f>
        <v>http://pravo.gov.ru</v>
      </c>
      <c r="W30" s="2763"/>
      <c r="X30" s="2763"/>
      <c r="Y30" s="2763"/>
      <c r="Z30" s="2763"/>
      <c r="AA30" s="2763"/>
      <c r="AB30" s="838"/>
      <c r="AC30" s="2763" t="str">
        <f>IF(TITLE_IST_PUB_CHANGE="",IF(TITLE_IST_PUB="","",TITLE_IST_PUB),TITLE_IST_PUB_CHANGE)</f>
        <v>http://pravo.gov.ru</v>
      </c>
      <c r="AD30" s="2763"/>
      <c r="AE30" s="2763"/>
      <c r="AF30" s="2763"/>
      <c r="AG30" s="2763"/>
      <c r="AH30" s="2763"/>
      <c r="AI30" s="838"/>
      <c r="AJ30" s="838"/>
      <c r="AK30" s="792"/>
      <c r="AL30" s="880"/>
      <c r="AM30" s="880"/>
      <c r="AN30" s="880"/>
      <c r="AO30" s="880"/>
      <c r="AP30" s="880"/>
      <c r="AQ30" s="930">
        <v>0</v>
      </c>
    </row>
    <row customHeight="1" ht="14.25" hidden="1">
      <c r="Q31" s="888"/>
      <c r="R31" s="888"/>
      <c r="S31" s="1787"/>
      <c r="T31" s="875"/>
      <c r="U31" s="875"/>
      <c r="V31" s="834"/>
      <c r="W31" s="834"/>
      <c r="X31" s="834"/>
      <c r="Y31" s="834"/>
      <c r="Z31" s="834"/>
      <c r="AA31" s="834"/>
      <c r="AB31" s="834"/>
      <c r="AC31" s="834"/>
      <c r="AD31" s="834"/>
      <c r="AE31" s="834"/>
      <c r="AF31" s="834"/>
      <c r="AG31" s="834"/>
      <c r="AH31" s="834"/>
      <c r="AI31" s="834"/>
      <c r="AJ31" s="1021"/>
      <c r="AQ31" s="1667">
        <v>0</v>
      </c>
    </row>
    <row s="47026" customFormat="1" customHeight="1" ht="18.75" hidden="1">
      <c r="A32" s="1880"/>
      <c r="B32" s="1880"/>
      <c r="C32" s="1880"/>
      <c r="D32" s="1880"/>
      <c r="E32" s="1880"/>
      <c r="F32" s="1880"/>
      <c r="G32" s="1880"/>
      <c r="H32" s="1880"/>
      <c r="I32" s="1880"/>
      <c r="J32" s="1880"/>
      <c r="K32" s="1880"/>
      <c r="L32" s="1881"/>
      <c r="M32" s="1880"/>
      <c r="N32" s="1880"/>
      <c r="O32" s="1880"/>
      <c r="S32" s="2762" t="s">
        <v>541</v>
      </c>
      <c r="T32" s="2762"/>
      <c r="U32" s="1884"/>
      <c r="V32" s="2776" t="str">
        <f>IF(TITLE_DATE_PR_CHANGE="",IF(TITLE_DATE_PR="","",TITLE_DATE_PR),TITLE_DATE_PR_CHANGE)</f>
        <v>45631.495844907404</v>
      </c>
      <c r="W32" s="2776"/>
      <c r="X32" s="2776"/>
      <c r="Y32" s="2776"/>
      <c r="Z32" s="2776"/>
      <c r="AA32" s="2776"/>
      <c r="AB32" s="838"/>
      <c r="AC32" s="2776" t="str">
        <f>IF(TITLE_DATE_PR_CHANGE="",IF(TITLE_DATE_PR="","",TITLE_DATE_PR),TITLE_DATE_PR_CHANGE)</f>
        <v>45631.495844907404</v>
      </c>
      <c r="AD32" s="2776"/>
      <c r="AE32" s="2776"/>
      <c r="AF32" s="2776"/>
      <c r="AG32" s="2776"/>
      <c r="AH32" s="2776"/>
      <c r="AI32" s="838"/>
      <c r="AJ32" s="838"/>
      <c r="AK32" s="792"/>
      <c r="AL32" s="880"/>
      <c r="AM32" s="880"/>
      <c r="AN32" s="880"/>
      <c r="AO32" s="880"/>
      <c r="AP32" s="880"/>
      <c r="AQ32" s="930">
        <v>0</v>
      </c>
    </row>
    <row s="47026" customFormat="1" customHeight="1" ht="18.75" hidden="1">
      <c r="A33" s="1880"/>
      <c r="B33" s="1880"/>
      <c r="C33" s="1880"/>
      <c r="D33" s="1880"/>
      <c r="E33" s="1880"/>
      <c r="F33" s="1880"/>
      <c r="G33" s="1880"/>
      <c r="H33" s="1880"/>
      <c r="I33" s="1880"/>
      <c r="J33" s="1880"/>
      <c r="K33" s="1880"/>
      <c r="L33" s="1881"/>
      <c r="M33" s="1880"/>
      <c r="N33" s="1880"/>
      <c r="O33" s="1880"/>
      <c r="S33" s="2762" t="s">
        <v>542</v>
      </c>
      <c r="T33" s="2762"/>
      <c r="U33" s="1884"/>
      <c r="V33" s="2763" t="str">
        <f>IF(TITLE_NUMBER_PR_CHANGE="",IF(TITLE_NUMBER_PR="","",TITLE_NUMBER_PR),TITLE_NUMBER_PR_CHANGE)</f>
        <v>53/9</v>
      </c>
      <c r="W33" s="2763"/>
      <c r="X33" s="2763"/>
      <c r="Y33" s="2763"/>
      <c r="Z33" s="2763"/>
      <c r="AA33" s="2763"/>
      <c r="AB33" s="838"/>
      <c r="AC33" s="2763" t="str">
        <f>IF(TITLE_NUMBER_PR_CHANGE="",IF(TITLE_NUMBER_PR="","",TITLE_NUMBER_PR),TITLE_NUMBER_PR_CHANGE)</f>
        <v>53/9</v>
      </c>
      <c r="AD33" s="2763"/>
      <c r="AE33" s="2763"/>
      <c r="AF33" s="2763"/>
      <c r="AG33" s="2763"/>
      <c r="AH33" s="2763"/>
      <c r="AI33" s="838"/>
      <c r="AJ33" s="838"/>
      <c r="AK33" s="792"/>
      <c r="AL33" s="880"/>
      <c r="AM33" s="880"/>
      <c r="AN33" s="880"/>
      <c r="AO33" s="880"/>
      <c r="AP33" s="880"/>
      <c r="AQ33" s="930">
        <v>0</v>
      </c>
    </row>
    <row s="47026" customFormat="1" customHeight="1" ht="1.05">
      <c r="A34" s="1880"/>
      <c r="B34" s="1880"/>
      <c r="C34" s="1880"/>
      <c r="D34" s="1880"/>
      <c r="E34" s="1880"/>
      <c r="F34" s="1880"/>
      <c r="G34" s="1880"/>
      <c r="H34" s="1880"/>
      <c r="I34" s="1880"/>
      <c r="J34" s="1880"/>
      <c r="K34" s="1880"/>
      <c r="L34" s="1881"/>
      <c r="M34" s="1880"/>
      <c r="N34" s="1880"/>
      <c r="O34" s="1880"/>
      <c r="S34" s="835"/>
      <c r="T34" s="835"/>
      <c r="U34" s="2000"/>
      <c r="V34" s="838"/>
      <c r="W34" s="838"/>
      <c r="X34" s="838"/>
      <c r="Y34" s="838"/>
      <c r="Z34" s="838"/>
      <c r="AA34" s="838"/>
      <c r="AB34" s="790" t="s">
        <v>543</v>
      </c>
      <c r="AC34" s="838"/>
      <c r="AD34" s="838"/>
      <c r="AE34" s="838"/>
      <c r="AF34" s="838"/>
      <c r="AG34" s="838"/>
      <c r="AH34" s="838"/>
      <c r="AI34" s="790" t="s">
        <v>543</v>
      </c>
      <c r="AL34" s="880"/>
      <c r="AM34" s="880"/>
      <c r="AN34" s="880"/>
      <c r="AO34" s="880"/>
      <c r="AP34" s="880"/>
      <c r="AQ34" s="930">
        <v>1</v>
      </c>
    </row>
    <row customHeight="1" ht="14.699999999999998">
      <c r="Q35" s="888"/>
      <c r="R35" s="888"/>
      <c r="S35" s="1787"/>
      <c r="T35" s="875"/>
      <c r="U35" s="1756"/>
      <c r="V35" s="2764"/>
      <c r="W35" s="2764"/>
      <c r="X35" s="2764"/>
      <c r="Y35" s="2764"/>
      <c r="Z35" s="2764"/>
      <c r="AA35" s="2764"/>
      <c r="AB35" s="2764"/>
      <c r="AC35" s="2764"/>
      <c r="AD35" s="2764"/>
      <c r="AE35" s="2764"/>
      <c r="AF35" s="2764"/>
      <c r="AG35" s="2764"/>
      <c r="AH35" s="2764"/>
      <c r="AI35" s="2764"/>
      <c r="AQ35" s="1667">
        <v>14</v>
      </c>
    </row>
    <row customHeight="1" ht="14.699999999999998">
      <c r="Q36" s="888"/>
      <c r="R36" s="888"/>
      <c r="S36" s="2639" t="s">
        <v>418</v>
      </c>
      <c r="T36" s="2639"/>
      <c r="U36" s="2639"/>
      <c r="V36" s="2639"/>
      <c r="W36" s="2639"/>
      <c r="X36" s="2639"/>
      <c r="Y36" s="2639"/>
      <c r="Z36" s="2639"/>
      <c r="AA36" s="2639"/>
      <c r="AB36" s="2639"/>
      <c r="AC36" s="2639"/>
      <c r="AD36" s="2639"/>
      <c r="AE36" s="2639"/>
      <c r="AF36" s="2639"/>
      <c r="AG36" s="2639"/>
      <c r="AH36" s="2639"/>
      <c r="AI36" s="2639"/>
      <c r="AJ36" s="2639"/>
      <c r="AK36" s="2639" t="s">
        <v>419</v>
      </c>
      <c r="AQ36" s="1667">
        <v>14</v>
      </c>
    </row>
    <row customHeight="1" ht="14.699999999999998">
      <c r="Q37" s="888"/>
      <c r="R37" s="888"/>
      <c r="S37" s="2785" t="s">
        <v>90</v>
      </c>
      <c r="T37" s="2721" t="s">
        <v>544</v>
      </c>
      <c r="U37" s="813"/>
      <c r="V37" s="2786" t="s">
        <v>545</v>
      </c>
      <c r="W37" s="2787"/>
      <c r="X37" s="2787"/>
      <c r="Y37" s="2787"/>
      <c r="Z37" s="2787"/>
      <c r="AA37" s="2788"/>
      <c r="AB37" s="2789" t="s">
        <v>546</v>
      </c>
      <c r="AC37" s="2786" t="s">
        <v>545</v>
      </c>
      <c r="AD37" s="2787"/>
      <c r="AE37" s="2787"/>
      <c r="AF37" s="2787"/>
      <c r="AG37" s="2787"/>
      <c r="AH37" s="2788"/>
      <c r="AI37" s="2789" t="s">
        <v>547</v>
      </c>
      <c r="AJ37" s="2792" t="s">
        <v>548</v>
      </c>
      <c r="AK37" s="2639"/>
      <c r="AQ37" s="1667">
        <v>14</v>
      </c>
    </row>
    <row customHeight="1" ht="35.699999999999996">
      <c r="Q38" s="888"/>
      <c r="R38" s="888"/>
      <c r="S38" s="2785"/>
      <c r="T38" s="2721"/>
      <c r="U38" s="1543"/>
      <c r="V38" s="1995" t="s">
        <v>604</v>
      </c>
      <c r="W38" s="2774" t="s">
        <v>551</v>
      </c>
      <c r="X38" s="2775"/>
      <c r="Y38" s="2774" t="s">
        <v>552</v>
      </c>
      <c r="Z38" s="2781"/>
      <c r="AA38" s="2775"/>
      <c r="AB38" s="2790"/>
      <c r="AC38" s="1995" t="s">
        <v>604</v>
      </c>
      <c r="AD38" s="2774" t="s">
        <v>551</v>
      </c>
      <c r="AE38" s="2775"/>
      <c r="AF38" s="2774" t="s">
        <v>552</v>
      </c>
      <c r="AG38" s="2781"/>
      <c r="AH38" s="2775"/>
      <c r="AI38" s="2790"/>
      <c r="AJ38" s="2793"/>
      <c r="AK38" s="2639"/>
      <c r="AQ38" s="1667">
        <v>34</v>
      </c>
    </row>
    <row customHeight="1" ht="90.3">
      <c r="A39" s="1882"/>
      <c r="B39" s="1882" t="s">
        <v>191</v>
      </c>
      <c r="C39" s="1882" t="s">
        <v>192</v>
      </c>
      <c r="D39" s="1882" t="s">
        <v>193</v>
      </c>
      <c r="E39" s="1876" t="s">
        <v>553</v>
      </c>
      <c r="F39" s="1876" t="s">
        <v>554</v>
      </c>
      <c r="G39" s="1876" t="s">
        <v>555</v>
      </c>
      <c r="H39" s="1876"/>
      <c r="I39" s="1876" t="s">
        <v>605</v>
      </c>
      <c r="J39" s="1876" t="s">
        <v>558</v>
      </c>
      <c r="K39" s="1876" t="s">
        <v>606</v>
      </c>
      <c r="L39" s="1876" t="s">
        <v>534</v>
      </c>
      <c r="Q39" s="888"/>
      <c r="R39" s="888"/>
      <c r="S39" s="2785"/>
      <c r="T39" s="2721"/>
      <c r="U39" s="814"/>
      <c r="V39" s="1995" t="s">
        <v>633</v>
      </c>
      <c r="W39" s="1734" t="s">
        <v>634</v>
      </c>
      <c r="X39" s="1734" t="s">
        <v>609</v>
      </c>
      <c r="Y39" s="2001" t="s">
        <v>562</v>
      </c>
      <c r="Z39" s="2782" t="s">
        <v>563</v>
      </c>
      <c r="AA39" s="2783"/>
      <c r="AB39" s="2791"/>
      <c r="AC39" s="1995" t="s">
        <v>633</v>
      </c>
      <c r="AD39" s="1734" t="s">
        <v>634</v>
      </c>
      <c r="AE39" s="1734" t="s">
        <v>609</v>
      </c>
      <c r="AF39" s="2001" t="s">
        <v>562</v>
      </c>
      <c r="AG39" s="2782" t="s">
        <v>563</v>
      </c>
      <c r="AH39" s="2783"/>
      <c r="AI39" s="2791"/>
      <c r="AJ39" s="2794"/>
      <c r="AK39" s="2639"/>
      <c r="AQ39" s="1667">
        <v>86</v>
      </c>
    </row>
    <row s="47496" customFormat="1" customHeight="1" ht="0">
      <c r="A40" s="1882"/>
      <c r="B40" s="1882"/>
      <c r="C40" s="1882"/>
      <c r="D40" s="1882"/>
      <c r="E40" s="1882"/>
      <c r="F40" s="1882"/>
      <c r="G40" s="1882"/>
      <c r="H40" s="1882"/>
      <c r="I40" s="1882"/>
      <c r="J40" s="1882"/>
      <c r="K40" s="1882"/>
      <c r="L40" s="1876"/>
      <c r="M40" s="1874"/>
      <c r="N40" s="1874"/>
      <c r="O40" s="1874"/>
      <c r="P40" s="1758"/>
      <c r="Q40" s="1759"/>
      <c r="R40" s="1766">
        <v>1</v>
      </c>
      <c r="S40" s="1789" t="s">
        <v>101</v>
      </c>
      <c r="T40" s="1767" t="s">
        <v>105</v>
      </c>
      <c r="U40" s="1757" t="str">
        <f>OFFSET(U40,0,-1)</f>
        <v>2</v>
      </c>
      <c r="V40" s="1994">
        <f>OFFSET(V40,0,-1)+1</f>
        <v>3</v>
      </c>
      <c r="W40" s="1994">
        <f>OFFSET(W40,0,-1)+1</f>
        <v>4</v>
      </c>
      <c r="X40" s="1994">
        <f>OFFSET(X40,0,-1)+1</f>
        <v>5</v>
      </c>
      <c r="Y40" s="1994">
        <f>OFFSET(Y40,0,-1)+1</f>
        <v>6</v>
      </c>
      <c r="Z40" s="2784">
        <f>OFFSET(Z40,0,-1)+1</f>
        <v>7</v>
      </c>
      <c r="AA40" s="2784"/>
      <c r="AB40" s="1994">
        <f>OFFSET(AB40,0,-2)+1</f>
        <v>8</v>
      </c>
      <c r="AC40" s="1994">
        <f>OFFSET(AC40,0,-1)+1</f>
        <v>9</v>
      </c>
      <c r="AD40" s="1994">
        <f>OFFSET(AD40,0,-1)+1</f>
        <v>10</v>
      </c>
      <c r="AE40" s="1994">
        <f>OFFSET(AE40,0,-1)+1</f>
        <v>11</v>
      </c>
      <c r="AF40" s="1994">
        <f>OFFSET(AF40,0,-1)+1</f>
        <v>12</v>
      </c>
      <c r="AG40" s="2784">
        <f>OFFSET(AG40,0,-1)+1</f>
        <v>13</v>
      </c>
      <c r="AH40" s="2784"/>
      <c r="AI40" s="1994">
        <f>OFFSET(AI40,0,-2)+1</f>
        <v>14</v>
      </c>
      <c r="AJ40" s="1757">
        <f>OFFSET(AJ40,0,-1)</f>
        <v>14</v>
      </c>
      <c r="AK40" s="1994">
        <f>OFFSET(AK40,0,-1)+1</f>
        <v>15</v>
      </c>
      <c r="AL40" s="1023"/>
      <c r="AM40" s="1023"/>
      <c r="AN40" s="1023"/>
      <c r="AO40" s="1023"/>
      <c r="AP40" s="1023"/>
      <c r="AQ40" s="1008">
        <v>0</v>
      </c>
    </row>
    <row customHeight="1" ht="24">
      <c r="A41" s="1875" t="s">
        <v>389</v>
      </c>
      <c r="B41" s="1875"/>
      <c r="C41" s="1875"/>
      <c r="D41" s="1875"/>
      <c r="E41" s="2770">
        <v>1</v>
      </c>
      <c r="F41" s="1875"/>
      <c r="G41" s="1875"/>
      <c r="H41" s="1875"/>
      <c r="I41" s="1875"/>
      <c r="J41" s="1875"/>
      <c r="K41" s="1875"/>
      <c r="L41" s="1876"/>
      <c r="M41" s="1877"/>
      <c r="N41" s="1877"/>
      <c r="O41" s="1877"/>
      <c r="P41" s="873"/>
      <c r="Q41" s="872"/>
      <c r="R41" s="867"/>
      <c r="S41" s="2005">
        <f>INDEX(PT_DIFFERENTIATION_NUM_NTAR,MATCH(A41,PT_DIFFERENTIATION_NTAR_ID,0))</f>
        <v>0</v>
      </c>
      <c r="T41" s="810" t="s">
        <v>179</v>
      </c>
      <c r="U41" s="812"/>
      <c r="V41" s="2754"/>
      <c r="W41" s="2755"/>
      <c r="X41" s="2755"/>
      <c r="Y41" s="2755"/>
      <c r="Z41" s="2755"/>
      <c r="AA41" s="2755"/>
      <c r="AB41" s="2756"/>
      <c r="AC41" s="2754" t="str">
        <f>INDEX(PT_DIFFERENTIATION_NTAR,MATCH(A41,PT_DIFFERENTIATION_NTAR_ID,0))</f>
        <v/>
      </c>
      <c r="AD41" s="2755"/>
      <c r="AE41" s="2755"/>
      <c r="AF41" s="2755"/>
      <c r="AG41" s="2755"/>
      <c r="AH41" s="2755"/>
      <c r="AI41" s="2755"/>
      <c r="AJ41" s="2756"/>
      <c r="AK41"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1012"/>
      <c r="AN41" s="1012" t="str">
        <f>IF(T41="","",T41)</f>
        <v>Наименование тарифа</v>
      </c>
      <c r="AO41" s="1012"/>
      <c r="AP41" s="1012"/>
      <c r="AQ41" s="1667">
        <v>23</v>
      </c>
    </row>
    <row customHeight="1" ht="24">
      <c r="A42" s="1875" t="s">
        <v>389</v>
      </c>
      <c r="B42" s="1875" t="s">
        <v>390</v>
      </c>
      <c r="C42" s="1875"/>
      <c r="D42" s="1875"/>
      <c r="E42" s="2771"/>
      <c r="F42" s="2770">
        <v>1</v>
      </c>
      <c r="G42" s="1875"/>
      <c r="H42" s="1875"/>
      <c r="I42" s="1875"/>
      <c r="J42" s="1875"/>
      <c r="K42" s="1875"/>
      <c r="L42" s="1876"/>
      <c r="M42" s="1877"/>
      <c r="N42" s="1877"/>
      <c r="O42" s="1877"/>
      <c r="P42" s="1999"/>
      <c r="Q42" s="864"/>
      <c r="R42" s="865"/>
      <c r="S42" s="2005" t="str">
        <f>INDEX(PT_DIFFERENTIATION_NUM_TER,MATCH(B42,PT_DIFFERENTIATION_TER_ID,0))</f>
        <v>.</v>
      </c>
      <c r="T42" s="820" t="s">
        <v>515</v>
      </c>
      <c r="U42" s="812"/>
      <c r="V42" s="2754"/>
      <c r="W42" s="2755"/>
      <c r="X42" s="2755"/>
      <c r="Y42" s="2755"/>
      <c r="Z42" s="2755"/>
      <c r="AA42" s="2755"/>
      <c r="AB42" s="2756"/>
      <c r="AC42" s="2754" t="str">
        <f>INDEX(PT_DIFFERENTIATION_TER,MATCH(B42,PT_DIFFERENTIATION_TER_ID,0))</f>
        <v/>
      </c>
      <c r="AD42" s="2755"/>
      <c r="AE42" s="2755"/>
      <c r="AF42" s="2755"/>
      <c r="AG42" s="2755"/>
      <c r="AH42" s="2755"/>
      <c r="AI42" s="2755"/>
      <c r="AJ42" s="2756"/>
      <c r="AK42" s="1770" t="s">
        <v>516</v>
      </c>
      <c r="AM42" s="1012"/>
      <c r="AN42" s="1012" t="str">
        <f>IF(T42="","",T42)</f>
        <v>Территория действия тарифа</v>
      </c>
      <c r="AO42" s="1012"/>
      <c r="AP42" s="1012"/>
      <c r="AQ42" s="1667">
        <v>23</v>
      </c>
    </row>
    <row customHeight="1" ht="24">
      <c r="A43" s="1875" t="s">
        <v>389</v>
      </c>
      <c r="B43" s="1875" t="s">
        <v>390</v>
      </c>
      <c r="C43" s="1875" t="s">
        <v>391</v>
      </c>
      <c r="D43" s="1875"/>
      <c r="E43" s="2771"/>
      <c r="F43" s="2771"/>
      <c r="G43" s="2770">
        <v>1</v>
      </c>
      <c r="H43" s="1875"/>
      <c r="I43" s="1875"/>
      <c r="J43" s="1875"/>
      <c r="K43" s="1875"/>
      <c r="L43" s="1876"/>
      <c r="M43" s="1877"/>
      <c r="N43" s="1877"/>
      <c r="O43" s="1877"/>
      <c r="P43" s="866"/>
      <c r="Q43" s="864"/>
      <c r="R43" s="865"/>
      <c r="S43" s="2005" t="str">
        <f>INDEX(PT_DIFFERENTIATION_NUM_CS,MATCH(C43,PT_DIFFERENTIATION_CS_ID,0))</f>
        <v>..</v>
      </c>
      <c r="T43" s="821" t="s">
        <v>631</v>
      </c>
      <c r="U43" s="812"/>
      <c r="V43" s="2754"/>
      <c r="W43" s="2755"/>
      <c r="X43" s="2755"/>
      <c r="Y43" s="2755"/>
      <c r="Z43" s="2755"/>
      <c r="AA43" s="2755"/>
      <c r="AB43" s="2756"/>
      <c r="AC43" s="2754" t="str">
        <f>INDEX(PT_DIFFERENTIATION_CS,MATCH(C43,PT_DIFFERENTIATION_CS_ID,0))</f>
        <v/>
      </c>
      <c r="AD43" s="2755"/>
      <c r="AE43" s="2755"/>
      <c r="AF43" s="2755"/>
      <c r="AG43" s="2755"/>
      <c r="AH43" s="2755"/>
      <c r="AI43" s="2755"/>
      <c r="AJ43" s="2756"/>
      <c r="AK43" s="1770" t="s">
        <v>632</v>
      </c>
      <c r="AM43" s="1012"/>
      <c r="AN43" s="1012" t="str">
        <f>IF(T43="","",T43)</f>
        <v>Наименование централизованной системы водоотведения</v>
      </c>
      <c r="AO43" s="1012"/>
      <c r="AP43" s="1012"/>
      <c r="AQ43" s="1667">
        <v>23</v>
      </c>
    </row>
    <row customHeight="1" ht="24">
      <c r="A44" s="1875" t="s">
        <v>389</v>
      </c>
      <c r="B44" s="1875" t="s">
        <v>390</v>
      </c>
      <c r="C44" s="1875" t="s">
        <v>391</v>
      </c>
      <c r="D44" s="1875" t="s">
        <v>638</v>
      </c>
      <c r="E44" s="2771"/>
      <c r="F44" s="2771"/>
      <c r="G44" s="2771"/>
      <c r="H44" s="2771"/>
      <c r="I44" s="2768" t="str">
        <f>S43&amp;".1"</f>
        <v>...1</v>
      </c>
      <c r="J44" s="1875"/>
      <c r="K44" s="1875"/>
      <c r="L44" s="1876"/>
      <c r="P44" s="2769">
        <v>1</v>
      </c>
      <c r="Q44" s="1993"/>
      <c r="R44" s="868"/>
      <c r="S44" s="2005" t="str">
        <f>$I44</f>
        <v>...1</v>
      </c>
      <c r="T44" s="797" t="s">
        <v>598</v>
      </c>
      <c r="U44" s="812"/>
      <c r="V44" s="2862"/>
      <c r="W44" s="2863"/>
      <c r="X44" s="2863"/>
      <c r="Y44" s="2863"/>
      <c r="Z44" s="2863"/>
      <c r="AA44" s="2863"/>
      <c r="AB44" s="2864"/>
      <c r="AC44" s="2865"/>
      <c r="AD44" s="2866"/>
      <c r="AE44" s="2866"/>
      <c r="AF44" s="2866"/>
      <c r="AG44" s="2866"/>
      <c r="AH44" s="2866"/>
      <c r="AI44" s="2866"/>
      <c r="AJ44" s="2867"/>
      <c r="AK44" s="1770" t="s">
        <v>599</v>
      </c>
      <c r="AM44" s="1012"/>
      <c r="AN44" s="1012" t="str">
        <f>IF(T44="","",T44)</f>
        <v>Наименование признака дифференциации</v>
      </c>
      <c r="AO44" s="1012"/>
      <c r="AP44" s="1012"/>
      <c r="AQ44" s="1667">
        <v>23</v>
      </c>
    </row>
    <row customHeight="1" ht="24">
      <c r="A45" s="1875" t="s">
        <v>389</v>
      </c>
      <c r="B45" s="1875" t="s">
        <v>390</v>
      </c>
      <c r="C45" s="1875" t="s">
        <v>391</v>
      </c>
      <c r="D45" s="1875" t="s">
        <v>638</v>
      </c>
      <c r="E45" s="2771"/>
      <c r="F45" s="2771"/>
      <c r="G45" s="2771"/>
      <c r="H45" s="2771"/>
      <c r="I45" s="2798"/>
      <c r="J45" s="2768" t="str">
        <f>I44&amp;".1"</f>
        <v>...1.1</v>
      </c>
      <c r="K45" s="1875"/>
      <c r="L45" s="1876" t="s">
        <v>524</v>
      </c>
      <c r="P45" s="2769"/>
      <c r="Q45" s="2769">
        <v>1</v>
      </c>
      <c r="R45" s="869"/>
      <c r="S45" s="2005" t="str">
        <f>$J45</f>
        <v>...1.1</v>
      </c>
      <c r="T45" s="798" t="s">
        <v>525</v>
      </c>
      <c r="U45" s="812"/>
      <c r="V45" s="2757"/>
      <c r="W45" s="2758"/>
      <c r="X45" s="2758"/>
      <c r="Y45" s="2758"/>
      <c r="Z45" s="2758"/>
      <c r="AA45" s="2758"/>
      <c r="AB45" s="2759"/>
      <c r="AC45" s="2757"/>
      <c r="AD45" s="2758"/>
      <c r="AE45" s="2758"/>
      <c r="AF45" s="2758"/>
      <c r="AG45" s="2758"/>
      <c r="AH45" s="2758"/>
      <c r="AI45" s="2758"/>
      <c r="AJ45" s="2759"/>
      <c r="AK45" s="1819" t="s">
        <v>600</v>
      </c>
      <c r="AM45" s="1012"/>
      <c r="AN45" s="1012" t="str">
        <f>IF(T45="","",T45)</f>
        <v>Группа потребителей</v>
      </c>
      <c r="AO45" s="1012"/>
      <c r="AP45" s="1012"/>
      <c r="AQ45" s="1667">
        <v>23</v>
      </c>
    </row>
    <row customHeight="1" ht="24">
      <c r="A46" s="1875" t="s">
        <v>389</v>
      </c>
      <c r="B46" s="1875" t="s">
        <v>390</v>
      </c>
      <c r="C46" s="1875" t="s">
        <v>391</v>
      </c>
      <c r="D46" s="1875" t="s">
        <v>638</v>
      </c>
      <c r="E46" s="2771"/>
      <c r="F46" s="2771"/>
      <c r="G46" s="2771"/>
      <c r="H46" s="2771"/>
      <c r="I46" s="2798"/>
      <c r="J46" s="2798"/>
      <c r="K46" s="2768" t="str">
        <f>J45&amp;".1"</f>
        <v>...1.1.1</v>
      </c>
      <c r="L46" s="1876"/>
      <c r="P46" s="2769"/>
      <c r="Q46" s="2769"/>
      <c r="R46" s="869">
        <v>1</v>
      </c>
      <c r="S46" s="2005" t="str">
        <f>$K46</f>
        <v>...1.1.1</v>
      </c>
      <c r="T46" s="1949"/>
      <c r="U46" s="812"/>
      <c r="V46" s="1872"/>
      <c r="W46" s="1872"/>
      <c r="X46" s="1873"/>
      <c r="Y46" s="2779"/>
      <c r="Z46" s="2780" t="s">
        <v>63</v>
      </c>
      <c r="AA46" s="2779"/>
      <c r="AB46" s="2780" t="s">
        <v>63</v>
      </c>
      <c r="AC46" s="1263"/>
      <c r="AD46" s="1263"/>
      <c r="AE46" s="1769"/>
      <c r="AF46" s="2777"/>
      <c r="AG46" s="2619" t="s">
        <v>63</v>
      </c>
      <c r="AH46" s="2799"/>
      <c r="AI46" s="2619" t="s">
        <v>19</v>
      </c>
      <c r="AJ46" s="1950"/>
      <c r="AK46" s="28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023">
        <f>STRCHECKDATE(V47:AJ47)</f>
      </c>
      <c r="AM46" s="1012"/>
      <c r="AN46" s="1012" t="str">
        <f>IF(T46="","",T46)</f>
        <v/>
      </c>
      <c r="AO46" s="1012"/>
      <c r="AP46" s="1012"/>
      <c r="AQ46" s="1667">
        <v>23</v>
      </c>
    </row>
    <row customHeight="1" ht="0">
      <c r="A47" s="1875" t="s">
        <v>389</v>
      </c>
      <c r="B47" s="1875" t="s">
        <v>390</v>
      </c>
      <c r="C47" s="1875" t="s">
        <v>391</v>
      </c>
      <c r="D47" s="1875" t="s">
        <v>638</v>
      </c>
      <c r="E47" s="2771"/>
      <c r="F47" s="2771"/>
      <c r="G47" s="2771"/>
      <c r="H47" s="2771"/>
      <c r="I47" s="2798"/>
      <c r="J47" s="2798"/>
      <c r="K47" s="2768"/>
      <c r="L47" s="1876"/>
      <c r="P47" s="2769"/>
      <c r="Q47" s="2769"/>
      <c r="R47" s="869"/>
      <c r="S47" s="2002"/>
      <c r="T47" s="812"/>
      <c r="U47" s="812"/>
      <c r="V47" s="1872"/>
      <c r="W47" s="1872"/>
      <c r="X47" s="840" t="str">
        <f>Y46&amp;"-"&amp;AA46</f>
        <v>-</v>
      </c>
      <c r="Y47" s="2780"/>
      <c r="Z47" s="2780"/>
      <c r="AA47" s="2780"/>
      <c r="AB47" s="2780"/>
      <c r="AC47" s="837"/>
      <c r="AD47" s="837"/>
      <c r="AE47" s="840" t="str">
        <f>AF46&amp;"-"&amp;AH46</f>
        <v>-</v>
      </c>
      <c r="AF47" s="2778"/>
      <c r="AG47" s="2619"/>
      <c r="AH47" s="2800"/>
      <c r="AI47" s="2619"/>
      <c r="AJ47" s="1951"/>
      <c r="AK47" s="2861"/>
      <c r="AM47" s="1012"/>
      <c r="AN47" s="1012" t="str">
        <f>IF(T47="","",T47)</f>
        <v/>
      </c>
      <c r="AO47" s="1012"/>
      <c r="AP47" s="1012"/>
      <c r="AQ47" s="1667">
        <v>0</v>
      </c>
    </row>
    <row customHeight="1" ht="21">
      <c r="A48" s="1875" t="s">
        <v>389</v>
      </c>
      <c r="B48" s="1875" t="s">
        <v>390</v>
      </c>
      <c r="C48" s="1875" t="s">
        <v>391</v>
      </c>
      <c r="D48" s="1875" t="s">
        <v>638</v>
      </c>
      <c r="E48" s="2771"/>
      <c r="F48" s="2771"/>
      <c r="G48" s="2771"/>
      <c r="H48" s="2771"/>
      <c r="I48" s="2798"/>
      <c r="J48" s="2768"/>
      <c r="K48" s="1875"/>
      <c r="L48" s="1876"/>
      <c r="P48" s="2769"/>
      <c r="Q48" s="2769"/>
      <c r="R48" s="868"/>
      <c r="S48" s="1790"/>
      <c r="T48" s="799" t="s">
        <v>601</v>
      </c>
      <c r="U48" s="879"/>
      <c r="V48" s="879"/>
      <c r="W48" s="879"/>
      <c r="X48" s="879"/>
      <c r="Y48" s="879"/>
      <c r="Z48" s="879"/>
      <c r="AA48" s="879"/>
      <c r="AB48" s="879"/>
      <c r="AC48" s="879"/>
      <c r="AD48" s="879"/>
      <c r="AE48" s="879"/>
      <c r="AF48" s="879"/>
      <c r="AG48" s="879"/>
      <c r="AH48" s="879"/>
      <c r="AI48" s="879"/>
      <c r="AJ48" s="879"/>
      <c r="AK48" s="1770" t="s">
        <v>602</v>
      </c>
      <c r="AM48" s="1012"/>
      <c r="AN48" s="1012" t="str">
        <f>IF(T48="","",T48)</f>
        <v>Добавить значение признака дифференциации</v>
      </c>
      <c r="AO48" s="1012"/>
      <c r="AP48" s="1012"/>
      <c r="AQ48" s="1667">
        <v>20</v>
      </c>
    </row>
    <row customHeight="1" ht="22.049999999999997">
      <c r="A49" s="1875" t="s">
        <v>389</v>
      </c>
      <c r="B49" s="1875" t="s">
        <v>390</v>
      </c>
      <c r="C49" s="1875" t="s">
        <v>391</v>
      </c>
      <c r="D49" s="1875" t="s">
        <v>638</v>
      </c>
      <c r="E49" s="2771"/>
      <c r="F49" s="2771"/>
      <c r="G49" s="2771"/>
      <c r="H49" s="2771"/>
      <c r="I49" s="2768"/>
      <c r="J49" s="1875"/>
      <c r="K49" s="1875"/>
      <c r="L49" s="1876"/>
      <c r="P49" s="2769"/>
      <c r="Q49" s="1993"/>
      <c r="R49" s="868"/>
      <c r="S49" s="1790"/>
      <c r="T49" s="877" t="s">
        <v>530</v>
      </c>
      <c r="U49" s="879"/>
      <c r="V49" s="879"/>
      <c r="W49" s="879"/>
      <c r="X49" s="879"/>
      <c r="Y49" s="879"/>
      <c r="Z49" s="879"/>
      <c r="AA49" s="879"/>
      <c r="AB49" s="878"/>
      <c r="AC49" s="879"/>
      <c r="AD49" s="879"/>
      <c r="AE49" s="879"/>
      <c r="AF49" s="879"/>
      <c r="AG49" s="879"/>
      <c r="AH49" s="879"/>
      <c r="AI49" s="878"/>
      <c r="AJ49" s="879"/>
      <c r="AK49" s="1952"/>
      <c r="AM49" s="1012"/>
      <c r="AN49" s="1012" t="str">
        <f>IF(T49="","",T49)</f>
        <v>Добавить группу потребителей</v>
      </c>
      <c r="AO49" s="1012"/>
      <c r="AP49" s="1012"/>
      <c r="AQ49" s="1667">
        <v>21</v>
      </c>
    </row>
    <row customHeight="1" ht="22.049999999999997">
      <c r="A50" s="1875" t="s">
        <v>389</v>
      </c>
      <c r="B50" s="1875" t="s">
        <v>390</v>
      </c>
      <c r="C50" s="1875" t="s">
        <v>391</v>
      </c>
      <c r="D50" s="1875" t="s">
        <v>638</v>
      </c>
      <c r="E50" s="2771"/>
      <c r="F50" s="2771"/>
      <c r="G50" s="2771"/>
      <c r="H50" s="2770"/>
      <c r="I50" s="1875"/>
      <c r="J50" s="1875"/>
      <c r="K50" s="1875"/>
      <c r="L50" s="1876"/>
      <c r="M50" s="1877"/>
      <c r="N50" s="1877"/>
      <c r="O50" s="1049"/>
      <c r="P50" s="872"/>
      <c r="Q50" s="887"/>
      <c r="R50" s="867"/>
      <c r="S50" s="1790"/>
      <c r="T50" s="884" t="s">
        <v>603</v>
      </c>
      <c r="U50" s="879"/>
      <c r="V50" s="879"/>
      <c r="W50" s="879"/>
      <c r="X50" s="879"/>
      <c r="Y50" s="879"/>
      <c r="Z50" s="879"/>
      <c r="AA50" s="879"/>
      <c r="AB50" s="878"/>
      <c r="AC50" s="879"/>
      <c r="AD50" s="879"/>
      <c r="AE50" s="879"/>
      <c r="AF50" s="879"/>
      <c r="AG50" s="879"/>
      <c r="AH50" s="879"/>
      <c r="AI50" s="878"/>
      <c r="AJ50" s="879"/>
      <c r="AK50" s="815"/>
      <c r="AM50" s="1012"/>
      <c r="AN50" s="1012" t="str">
        <f>IF(T50="","",T50)</f>
        <v>Добавить наименование признака дифференциации</v>
      </c>
      <c r="AO50" s="1012"/>
      <c r="AP50" s="1012"/>
      <c r="AQ50" s="1667">
        <v>21</v>
      </c>
    </row>
    <row s="46890" customFormat="1" customHeight="1" ht="0">
      <c r="A51" s="1855" t="s">
        <v>389</v>
      </c>
      <c r="B51" s="1855" t="s">
        <v>390</v>
      </c>
      <c r="C51" s="1826"/>
      <c r="D51" s="1826"/>
      <c r="E51" s="2771"/>
      <c r="F51" s="2770"/>
      <c r="G51" s="1826"/>
      <c r="H51" s="1826"/>
      <c r="I51" s="1826"/>
      <c r="J51" s="1826"/>
      <c r="K51" s="1826"/>
      <c r="L51" s="2006"/>
      <c r="M51" s="1833"/>
      <c r="N51" s="1833"/>
      <c r="P51" s="1828"/>
      <c r="Q51" s="1829"/>
      <c r="R51" s="1828"/>
      <c r="S51" s="1834"/>
      <c r="T51" s="1837" t="s">
        <v>321</v>
      </c>
      <c r="U51" s="1836"/>
      <c r="V51" s="1836"/>
      <c r="W51" s="1836"/>
      <c r="X51" s="1836"/>
      <c r="Y51" s="1836"/>
      <c r="Z51" s="1836"/>
      <c r="AA51" s="1836"/>
      <c r="AB51" s="1836"/>
      <c r="AC51" s="1836"/>
      <c r="AD51" s="1836"/>
      <c r="AE51" s="1836"/>
      <c r="AF51" s="1836"/>
      <c r="AG51" s="1836"/>
      <c r="AH51" s="1836"/>
      <c r="AI51" s="1836"/>
      <c r="AJ51" s="1836"/>
      <c r="AK51" s="1836"/>
      <c r="AM51" s="1301"/>
      <c r="AN51" s="1301" t="str">
        <f>IF(T51="","",T51)</f>
        <v>Добавить централизованную систему для дифференциации</v>
      </c>
      <c r="AO51" s="1301"/>
      <c r="AP51" s="1301"/>
      <c r="AQ51" s="1030">
        <v>0</v>
      </c>
    </row>
    <row s="46890" customFormat="1" customHeight="1" ht="0">
      <c r="A52" s="1855" t="s">
        <v>389</v>
      </c>
      <c r="B52" s="1855"/>
      <c r="C52" s="1855"/>
      <c r="D52" s="1855"/>
      <c r="E52" s="2770"/>
      <c r="F52" s="1855"/>
      <c r="G52" s="1855"/>
      <c r="H52" s="1855"/>
      <c r="I52" s="1855"/>
      <c r="J52" s="1855"/>
      <c r="K52" s="1855"/>
      <c r="L52" s="1858"/>
      <c r="M52" s="1833"/>
      <c r="N52" s="1833"/>
      <c r="O52" s="1030"/>
      <c r="P52" s="892"/>
      <c r="Q52" s="1856"/>
      <c r="R52" s="892"/>
      <c r="S52" s="1834"/>
      <c r="T52" s="1837" t="s">
        <v>385</v>
      </c>
      <c r="U52" s="1836"/>
      <c r="V52" s="1836"/>
      <c r="W52" s="1836"/>
      <c r="X52" s="1836"/>
      <c r="Y52" s="1836"/>
      <c r="Z52" s="1836"/>
      <c r="AA52" s="1836"/>
      <c r="AB52" s="1836"/>
      <c r="AC52" s="1836"/>
      <c r="AD52" s="1836"/>
      <c r="AE52" s="1836"/>
      <c r="AF52" s="1836"/>
      <c r="AG52" s="1836"/>
      <c r="AH52" s="1836"/>
      <c r="AI52" s="1836"/>
      <c r="AJ52" s="1836"/>
      <c r="AK52" s="1836"/>
      <c r="AM52" s="1012"/>
      <c r="AN52" s="1012" t="str">
        <f>IF(T52="","",T52)</f>
        <v>Добавить территорию для дифференциации</v>
      </c>
      <c r="AO52" s="1012"/>
      <c r="AP52" s="1012"/>
      <c r="AQ52" s="1023">
        <v>0</v>
      </c>
    </row>
    <row s="46890" customFormat="1" customHeight="1" ht="0">
      <c r="A53" s="1826"/>
      <c r="B53" s="1826"/>
      <c r="C53" s="1826"/>
      <c r="D53" s="1826"/>
      <c r="E53" s="1855"/>
      <c r="F53" s="1826"/>
      <c r="G53" s="1826"/>
      <c r="H53" s="1826"/>
      <c r="I53" s="1826"/>
      <c r="J53" s="1826"/>
      <c r="K53" s="1826"/>
      <c r="L53" s="2006"/>
      <c r="M53" s="1833"/>
      <c r="N53" s="1833"/>
      <c r="P53" s="1828"/>
      <c r="Q53" s="1829"/>
      <c r="R53" s="1828"/>
      <c r="S53" s="1834"/>
      <c r="T53" s="1837" t="s">
        <v>386</v>
      </c>
      <c r="U53" s="1836"/>
      <c r="V53" s="1836"/>
      <c r="W53" s="1836"/>
      <c r="X53" s="1836"/>
      <c r="Y53" s="1836"/>
      <c r="Z53" s="1836"/>
      <c r="AA53" s="1836"/>
      <c r="AB53" s="1836"/>
      <c r="AC53" s="1836"/>
      <c r="AD53" s="1836"/>
      <c r="AE53" s="1836"/>
      <c r="AF53" s="1836"/>
      <c r="AG53" s="1836"/>
      <c r="AH53" s="1836"/>
      <c r="AI53" s="1836"/>
      <c r="AJ53" s="1836"/>
      <c r="AK53" s="1836"/>
      <c r="AM53" s="1301"/>
      <c r="AN53" s="1301" t="str">
        <f>IF(T53="","",T53)</f>
        <v>Добавить наименование тарифа</v>
      </c>
      <c r="AO53" s="1301"/>
      <c r="AP53" s="1301"/>
      <c r="AQ53" s="1030">
        <v>0</v>
      </c>
    </row>
    <row customHeight="1" ht="11.549999999999999">
      <c r="M54" s="1672"/>
      <c r="N54" s="1672"/>
      <c r="O54" s="1049"/>
      <c r="P54" s="1667"/>
      <c r="Q54" s="1667"/>
      <c r="R54" s="1667"/>
      <c r="S54" s="1667"/>
      <c r="AL54" s="1667"/>
      <c r="AM54" s="1667"/>
      <c r="AN54" s="1667"/>
      <c r="AO54" s="1667"/>
      <c r="AP54" s="1667"/>
      <c r="AQ54" s="1667">
        <v>11</v>
      </c>
    </row>
    <row customHeight="1" ht="14.699999999999998">
      <c r="O55" s="1049"/>
      <c r="S55" s="1765"/>
      <c r="T55" s="2797"/>
      <c r="U55" s="2797"/>
      <c r="V55" s="2797"/>
      <c r="W55" s="2797"/>
      <c r="X55" s="2797"/>
      <c r="Y55" s="2797"/>
      <c r="Z55" s="2797"/>
      <c r="AA55" s="2797"/>
      <c r="AB55" s="2797"/>
      <c r="AC55" s="2797"/>
      <c r="AD55" s="2797"/>
      <c r="AE55" s="2797"/>
      <c r="AF55" s="2797"/>
      <c r="AG55" s="2797"/>
      <c r="AH55" s="2797"/>
      <c r="AI55" s="2797"/>
      <c r="AJ55" s="2797"/>
      <c r="AK55" s="2797"/>
      <c r="AQ55" s="1667">
        <v>14</v>
      </c>
    </row>
    <row customHeight="1" ht="14.699999999999998">
      <c r="O56" s="1049"/>
      <c r="AQ56" s="1667">
        <v>14</v>
      </c>
    </row>
    <row customHeight="1" ht="14.699999999999998">
      <c r="O57" s="1049"/>
      <c r="S57" s="1765"/>
      <c r="T57" s="2797"/>
      <c r="U57" s="2797"/>
      <c r="V57" s="2797"/>
      <c r="W57" s="2797"/>
      <c r="X57" s="2797"/>
      <c r="Y57" s="2797"/>
      <c r="Z57" s="2797"/>
      <c r="AA57" s="2797"/>
      <c r="AB57" s="2797"/>
      <c r="AC57" s="2797"/>
      <c r="AD57" s="2797"/>
      <c r="AE57" s="2797"/>
      <c r="AF57" s="2797"/>
      <c r="AG57" s="2797"/>
      <c r="AH57" s="2797"/>
      <c r="AI57" s="2797"/>
      <c r="AJ57" s="2797"/>
      <c r="AK57" s="2797"/>
      <c r="AQ57" s="1667">
        <v>14</v>
      </c>
    </row>
    <row customHeight="1" ht="22.5" hidden="1">
      <c r="A58" s="1672" t="s">
        <v>84</v>
      </c>
      <c r="B58" s="1672">
        <v>0</v>
      </c>
      <c r="C58" s="1672">
        <v>0</v>
      </c>
      <c r="D58" s="1672">
        <v>0</v>
      </c>
      <c r="E58" s="1672">
        <v>0</v>
      </c>
      <c r="F58" s="1672">
        <v>0</v>
      </c>
      <c r="G58" s="1672">
        <v>0</v>
      </c>
      <c r="H58" s="1672">
        <v>0</v>
      </c>
      <c r="I58" s="1672">
        <v>0</v>
      </c>
      <c r="J58" s="1672">
        <v>0</v>
      </c>
      <c r="K58" s="1672">
        <v>0</v>
      </c>
      <c r="L58" s="1990">
        <v>0</v>
      </c>
      <c r="M58" s="1874">
        <v>0</v>
      </c>
      <c r="N58" s="1874">
        <v>0</v>
      </c>
      <c r="O58" s="1874">
        <v>0</v>
      </c>
      <c r="P58" s="1985">
        <v>3</v>
      </c>
      <c r="Q58" s="856">
        <v>3</v>
      </c>
      <c r="R58" s="856">
        <v>3</v>
      </c>
      <c r="S58" s="1093">
        <v>12</v>
      </c>
      <c r="T58" s="1667">
        <v>35</v>
      </c>
      <c r="U58" s="1667">
        <v>0</v>
      </c>
      <c r="V58" s="1667">
        <v>0</v>
      </c>
      <c r="W58" s="1667">
        <v>0</v>
      </c>
      <c r="X58" s="1667">
        <v>0</v>
      </c>
      <c r="Y58" s="1667">
        <v>0</v>
      </c>
      <c r="Z58" s="1667">
        <v>0</v>
      </c>
      <c r="AA58" s="1667">
        <v>0</v>
      </c>
      <c r="AB58" s="1667">
        <v>0</v>
      </c>
      <c r="AC58" s="1667">
        <v>24</v>
      </c>
      <c r="AD58" s="1667">
        <v>24</v>
      </c>
      <c r="AE58" s="1667">
        <v>24</v>
      </c>
      <c r="AF58" s="1667">
        <v>11</v>
      </c>
      <c r="AG58" s="1667">
        <v>3</v>
      </c>
      <c r="AH58" s="1667">
        <v>11</v>
      </c>
      <c r="AI58" s="1667">
        <v>0</v>
      </c>
      <c r="AJ58" s="1667">
        <v>4</v>
      </c>
      <c r="AK58" s="1667">
        <v>115</v>
      </c>
      <c r="AL58" s="1023">
        <v>10</v>
      </c>
      <c r="AM58" s="1023">
        <v>10</v>
      </c>
      <c r="AN58" s="1023">
        <v>10</v>
      </c>
      <c r="AO58" s="1023">
        <v>10</v>
      </c>
      <c r="AP58" s="1023">
        <v>10</v>
      </c>
      <c r="AQ58" s="1667">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3B77369-6F98-B7E8-AD54-16C2BCDFE965}"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46889" width="11.57421875" hidden="1" customWidth="1"/>
    <col min="2" max="2" style="46889" width="11.00390625" hidden="1" customWidth="1"/>
    <col min="3" max="3" style="46889" width="10.57421875" hidden="1"/>
    <col min="4" max="4" style="46889" width="12.8515625" hidden="1" customWidth="1"/>
    <col min="5" max="5" style="46889" width="10.00390625" hidden="1" customWidth="1"/>
    <col min="6" max="6" style="46889" width="8.7109375" hidden="1" customWidth="1"/>
    <col min="7" max="7" style="46889" width="7.57421875" hidden="1" customWidth="1"/>
    <col min="8" max="8" style="46889" width="11.421875" hidden="1" customWidth="1"/>
    <col min="9" max="9" style="46889" width="12.00390625" hidden="1" customWidth="1"/>
    <col min="10" max="10" style="46889" width="9.8515625" hidden="1" customWidth="1"/>
    <col min="11" max="11" style="46889" width="11.421875" hidden="1" customWidth="1"/>
    <col min="12" max="12" style="47738" width="19.140625" hidden="1" customWidth="1"/>
    <col min="13" max="14" style="47739" width="12.28125" hidden="1" customWidth="1"/>
    <col min="15" max="15" style="47739" width="23.421875" hidden="1" customWidth="1"/>
    <col min="16" max="16" style="47739" width="3.7109375" hidden="1" customWidth="1"/>
    <col min="17" max="17" style="47924" width="3.7109375" hidden="1" customWidth="1"/>
    <col min="18" max="18" style="47741" width="3.00390625" customWidth="1"/>
    <col min="19" max="19" style="47742" width="12.00390625" customWidth="1"/>
    <col min="20" max="20" style="46808" width="31.00390625" customWidth="1"/>
    <col min="21" max="21" style="46808" width="0.140625" customWidth="1"/>
    <col min="22" max="25" style="46808" width="21.7109375" hidden="1" customWidth="1"/>
    <col min="26" max="26" style="46808" width="11.7109375" hidden="1" customWidth="1"/>
    <col min="27" max="27" style="46808" width="3.7109375" hidden="1" customWidth="1"/>
    <col min="28" max="28" style="46808" width="11.7109375" hidden="1" customWidth="1"/>
    <col min="29" max="29" style="46808" width="8.57421875" hidden="1" customWidth="1"/>
    <col min="30" max="30" style="46808" width="3.7109375" customWidth="1"/>
    <col min="31" max="32" style="46808" width="3.00390625" customWidth="1"/>
    <col min="33" max="33" style="46808" width="24.00390625" customWidth="1"/>
    <col min="34" max="34" style="46808" width="3.7109375" customWidth="1"/>
    <col min="35" max="36" style="46808" width="3.00390625" customWidth="1"/>
    <col min="37" max="37" style="46808" width="24.00390625" customWidth="1"/>
    <col min="38" max="38" style="46808" width="3.7109375" customWidth="1"/>
    <col min="39" max="40" style="46808" width="3.00390625" customWidth="1"/>
    <col min="41" max="41" style="46808" width="18.00390625" customWidth="1"/>
    <col min="42" max="42" style="46808" width="3.7109375" customWidth="1"/>
    <col min="43" max="44" style="46808" width="3.00390625" customWidth="1"/>
    <col min="45" max="45" style="46808" width="18.00390625" customWidth="1"/>
    <col min="46" max="49" style="46808" width="21.00390625" customWidth="1"/>
    <col min="50" max="50" style="46808" width="11.00390625" customWidth="1"/>
    <col min="51" max="51" style="46808" width="3.7109375" customWidth="1"/>
    <col min="52" max="52" style="46808" width="11.00390625" customWidth="1"/>
    <col min="53" max="53" style="46808" width="8.57421875" hidden="1" customWidth="1"/>
    <col min="54" max="54" style="46808" width="4.00390625" customWidth="1"/>
    <col min="55" max="55" style="46808" width="115.00390625" customWidth="1"/>
    <col min="56" max="60" style="46890" width="10.00390625" customWidth="1"/>
    <col min="61" max="61" style="46808" width="10.57421875" hidden="1"/>
  </cols>
  <sheetData>
    <row customHeight="1" ht="22.5" hidden="1">
      <c r="W1" s="839"/>
      <c r="Y1" s="839"/>
      <c r="Z1" s="839"/>
      <c r="AW1" s="839"/>
      <c r="AX1" s="839"/>
      <c r="BI1" s="1667" t="s">
        <v>14</v>
      </c>
    </row>
    <row customHeight="1" ht="21" hidden="1">
      <c r="A2" s="1875"/>
      <c r="B2" s="1875"/>
      <c r="C2" s="1875"/>
      <c r="D2" s="1875"/>
      <c r="E2" s="2770">
        <v>1</v>
      </c>
      <c r="F2" s="1875"/>
      <c r="G2" s="1875"/>
      <c r="H2" s="1875"/>
      <c r="I2" s="1875"/>
      <c r="J2" s="1875"/>
      <c r="K2" s="1875"/>
      <c r="L2" s="1876"/>
      <c r="M2" s="1877"/>
      <c r="N2" s="1877"/>
      <c r="O2" s="1877"/>
      <c r="P2" s="1921"/>
      <c r="Q2" s="1385"/>
      <c r="R2" s="867"/>
      <c r="S2" s="2005">
        <f>INDEX(PT_DIFFERENTIATION_NUM_NTAR,MATCH(A2,PT_DIFFERENTIATION_NTAR_ID,0))</f>
      </c>
      <c r="T2" s="810" t="s">
        <v>179</v>
      </c>
      <c r="U2" s="812"/>
      <c r="V2" s="2755"/>
      <c r="W2" s="2755"/>
      <c r="X2" s="2755"/>
      <c r="Y2" s="2755"/>
      <c r="Z2" s="2755"/>
      <c r="AA2" s="2755"/>
      <c r="AB2" s="2755"/>
      <c r="AC2" s="2756"/>
      <c r="AD2" s="2754">
        <f>INDEX(PT_DIFFERENTIATION_NTAR,MATCH(A2,PT_DIFFERENTIATION_NTAR_ID,0))</f>
      </c>
      <c r="AE2" s="2755"/>
      <c r="AF2" s="2755"/>
      <c r="AG2" s="2755"/>
      <c r="AH2" s="2755"/>
      <c r="AI2" s="2755"/>
      <c r="AJ2" s="2755"/>
      <c r="AK2" s="2755"/>
      <c r="AL2" s="2755"/>
      <c r="AM2" s="2755"/>
      <c r="AN2" s="2755"/>
      <c r="AO2" s="2755"/>
      <c r="AP2" s="2755"/>
      <c r="AQ2" s="2755"/>
      <c r="AR2" s="2755"/>
      <c r="AS2" s="2755"/>
      <c r="AT2" s="2755"/>
      <c r="AU2" s="2755"/>
      <c r="AV2" s="2755"/>
      <c r="AW2" s="2755"/>
      <c r="AX2" s="2755"/>
      <c r="AY2" s="2755"/>
      <c r="AZ2" s="2755"/>
      <c r="BA2" s="2755"/>
      <c r="BB2" s="2756"/>
      <c r="BC2"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1012"/>
      <c r="BF2" s="1012" t="str">
        <f>IF(T2="","",T2)</f>
        <v>Наименование тарифа</v>
      </c>
      <c r="BG2" s="1012"/>
      <c r="BH2" s="1012"/>
      <c r="BI2" s="1667">
        <v>0</v>
      </c>
    </row>
    <row customHeight="1" ht="21" hidden="1">
      <c r="A3" s="1875"/>
      <c r="B3" s="1875"/>
      <c r="C3" s="1875"/>
      <c r="D3" s="1875"/>
      <c r="E3" s="2771"/>
      <c r="F3" s="2770">
        <v>1</v>
      </c>
      <c r="G3" s="1875"/>
      <c r="H3" s="1875"/>
      <c r="I3" s="1875"/>
      <c r="J3" s="1875"/>
      <c r="K3" s="1875"/>
      <c r="L3" s="1876"/>
      <c r="M3" s="1877"/>
      <c r="N3" s="1877"/>
      <c r="O3" s="1877"/>
      <c r="P3" s="1922"/>
      <c r="Q3" s="1923"/>
      <c r="R3" s="865"/>
      <c r="S3" s="2005">
        <f>INDEX(PT_DIFFERENTIATION_NUM_TER,MATCH(B3,PT_DIFFERENTIATION_TER_ID,0))</f>
      </c>
      <c r="T3" s="820" t="s">
        <v>515</v>
      </c>
      <c r="U3" s="812"/>
      <c r="V3" s="2755"/>
      <c r="W3" s="2755"/>
      <c r="X3" s="2755"/>
      <c r="Y3" s="2755"/>
      <c r="Z3" s="2755"/>
      <c r="AA3" s="2755"/>
      <c r="AB3" s="2755"/>
      <c r="AC3" s="2756"/>
      <c r="AD3" s="2754">
        <f>INDEX(PT_DIFFERENTIATION_TER,MATCH(B3,PT_DIFFERENTIATION_TER_ID,0))</f>
      </c>
      <c r="AE3" s="2755"/>
      <c r="AF3" s="2755"/>
      <c r="AG3" s="2755"/>
      <c r="AH3" s="2755"/>
      <c r="AI3" s="2755"/>
      <c r="AJ3" s="2755"/>
      <c r="AK3" s="2755"/>
      <c r="AL3" s="2755"/>
      <c r="AM3" s="2755"/>
      <c r="AN3" s="2755"/>
      <c r="AO3" s="2755"/>
      <c r="AP3" s="2755"/>
      <c r="AQ3" s="2755"/>
      <c r="AR3" s="2755"/>
      <c r="AS3" s="2755"/>
      <c r="AT3" s="2755"/>
      <c r="AU3" s="2755"/>
      <c r="AV3" s="2755"/>
      <c r="AW3" s="2755"/>
      <c r="AX3" s="2755"/>
      <c r="AY3" s="2755"/>
      <c r="AZ3" s="2755"/>
      <c r="BA3" s="2755"/>
      <c r="BB3" s="2756"/>
      <c r="BC3" s="1770" t="s">
        <v>516</v>
      </c>
      <c r="BE3" s="1012"/>
      <c r="BF3" s="1012" t="str">
        <f>IF(T3="","",T3)</f>
        <v>Территория действия тарифа</v>
      </c>
      <c r="BG3" s="1012"/>
      <c r="BH3" s="1012"/>
      <c r="BI3" s="1667">
        <v>0</v>
      </c>
    </row>
    <row customHeight="1" ht="33.75" hidden="1">
      <c r="A4" s="1875"/>
      <c r="B4" s="1875"/>
      <c r="C4" s="1875"/>
      <c r="D4" s="1875"/>
      <c r="E4" s="2771"/>
      <c r="F4" s="2771"/>
      <c r="G4" s="2770">
        <v>1</v>
      </c>
      <c r="H4" s="1875"/>
      <c r="I4" s="1875"/>
      <c r="J4" s="1875"/>
      <c r="K4" s="1875"/>
      <c r="L4" s="1876"/>
      <c r="M4" s="1877"/>
      <c r="N4" s="1877"/>
      <c r="O4" s="1877"/>
      <c r="P4" s="1924"/>
      <c r="Q4" s="1923"/>
      <c r="R4" s="865"/>
      <c r="S4" s="2005">
        <f>INDEX(PT_DIFFERENTIATION_NUM_CS,MATCH(C4,PT_DIFFERENTIATION_CS_ID,0))</f>
      </c>
      <c r="T4" s="821" t="s">
        <v>631</v>
      </c>
      <c r="U4" s="812"/>
      <c r="V4" s="2755"/>
      <c r="W4" s="2755"/>
      <c r="X4" s="2755"/>
      <c r="Y4" s="2755"/>
      <c r="Z4" s="2755"/>
      <c r="AA4" s="2755"/>
      <c r="AB4" s="2755"/>
      <c r="AC4" s="2756"/>
      <c r="AD4" s="2754">
        <f>INDEX(PT_DIFFERENTIATION_CS,MATCH(C4,PT_DIFFERENTIATION_CS_ID,0))</f>
      </c>
      <c r="AE4" s="2755"/>
      <c r="AF4" s="2755"/>
      <c r="AG4" s="2755"/>
      <c r="AH4" s="2755"/>
      <c r="AI4" s="2755"/>
      <c r="AJ4" s="2755"/>
      <c r="AK4" s="2755"/>
      <c r="AL4" s="2755"/>
      <c r="AM4" s="2755"/>
      <c r="AN4" s="2755"/>
      <c r="AO4" s="2755"/>
      <c r="AP4" s="2755"/>
      <c r="AQ4" s="2755"/>
      <c r="AR4" s="2755"/>
      <c r="AS4" s="2755"/>
      <c r="AT4" s="2755"/>
      <c r="AU4" s="2755"/>
      <c r="AV4" s="2755"/>
      <c r="AW4" s="2755"/>
      <c r="AX4" s="2755"/>
      <c r="AY4" s="2755"/>
      <c r="AZ4" s="2755"/>
      <c r="BA4" s="2755"/>
      <c r="BB4" s="2756"/>
      <c r="BC4" s="1770" t="s">
        <v>632</v>
      </c>
      <c r="BE4" s="1012"/>
      <c r="BF4" s="1012" t="str">
        <f>IF(T4="","",T4)</f>
        <v>Наименование централизованной системы водоотведения</v>
      </c>
      <c r="BG4" s="1012"/>
      <c r="BH4" s="1012"/>
      <c r="BI4" s="1667">
        <v>0</v>
      </c>
    </row>
    <row s="46890" customFormat="1" customHeight="1" ht="14.25" hidden="1">
      <c r="A5" s="1855"/>
      <c r="B5" s="1855"/>
      <c r="C5" s="1855"/>
      <c r="D5" s="1855"/>
      <c r="E5" s="2771"/>
      <c r="F5" s="2771"/>
      <c r="G5" s="2771"/>
      <c r="H5" s="2770">
        <v>1</v>
      </c>
      <c r="I5" s="1855"/>
      <c r="J5" s="1855"/>
      <c r="K5" s="1855"/>
      <c r="L5" s="1858"/>
      <c r="M5" s="1827"/>
      <c r="N5" s="1827"/>
      <c r="O5" s="1827"/>
      <c r="P5" s="2009"/>
      <c r="Q5" s="2010"/>
      <c r="R5" s="869"/>
      <c r="S5" s="1554"/>
      <c r="T5" s="2011"/>
      <c r="U5" s="1896"/>
      <c r="V5" s="2809"/>
      <c r="W5" s="2809"/>
      <c r="X5" s="2809"/>
      <c r="Y5" s="2809"/>
      <c r="Z5" s="2809"/>
      <c r="AA5" s="2809"/>
      <c r="AB5" s="2809"/>
      <c r="AC5" s="2810"/>
      <c r="AD5" s="2808"/>
      <c r="AE5" s="2809"/>
      <c r="AF5" s="2809"/>
      <c r="AG5" s="2809"/>
      <c r="AH5" s="2809"/>
      <c r="AI5" s="2809"/>
      <c r="AJ5" s="2809"/>
      <c r="AK5" s="2809"/>
      <c r="AL5" s="2809"/>
      <c r="AM5" s="2809"/>
      <c r="AN5" s="2809"/>
      <c r="AO5" s="2809"/>
      <c r="AP5" s="2809"/>
      <c r="AQ5" s="2809"/>
      <c r="AR5" s="2809"/>
      <c r="AS5" s="2809"/>
      <c r="AT5" s="2809"/>
      <c r="AU5" s="2809"/>
      <c r="AV5" s="2809"/>
      <c r="AW5" s="2809"/>
      <c r="AX5" s="2809"/>
      <c r="AY5" s="2809"/>
      <c r="AZ5" s="2809"/>
      <c r="BA5" s="2809"/>
      <c r="BB5" s="2810"/>
      <c r="BC5" s="1897" t="s">
        <v>520</v>
      </c>
      <c r="BE5" s="1012"/>
      <c r="BF5" s="1012" t="str">
        <f>IF(T5="","",T5)</f>
        <v/>
      </c>
      <c r="BG5" s="1012"/>
      <c r="BH5" s="1012"/>
      <c r="BI5" s="1023">
        <v>0</v>
      </c>
    </row>
    <row s="46890" customFormat="1" customHeight="1" ht="14.25" hidden="1">
      <c r="A6" s="1855"/>
      <c r="B6" s="1855"/>
      <c r="C6" s="1855"/>
      <c r="D6" s="1855"/>
      <c r="E6" s="2771"/>
      <c r="F6" s="2771"/>
      <c r="G6" s="2771"/>
      <c r="H6" s="2771"/>
      <c r="I6" s="2768" t="str">
        <f>S5&amp;".1"</f>
        <v>.1</v>
      </c>
      <c r="J6" s="1855"/>
      <c r="K6" s="1855"/>
      <c r="L6" s="1858" t="s">
        <v>521</v>
      </c>
      <c r="M6" s="1022"/>
      <c r="N6" s="1022"/>
      <c r="O6" s="1022"/>
      <c r="P6" s="2769">
        <v>1</v>
      </c>
      <c r="Q6" s="1993"/>
      <c r="R6" s="868"/>
      <c r="S6" s="1554"/>
      <c r="T6" s="1895"/>
      <c r="U6" s="1896"/>
      <c r="V6" s="2809"/>
      <c r="W6" s="2809"/>
      <c r="X6" s="2809"/>
      <c r="Y6" s="2809"/>
      <c r="Z6" s="2809"/>
      <c r="AA6" s="2809"/>
      <c r="AB6" s="2809"/>
      <c r="AC6" s="2810"/>
      <c r="AD6" s="2808"/>
      <c r="AE6" s="2809"/>
      <c r="AF6" s="2809"/>
      <c r="AG6" s="2809"/>
      <c r="AH6" s="2809"/>
      <c r="AI6" s="2809"/>
      <c r="AJ6" s="2809"/>
      <c r="AK6" s="2809"/>
      <c r="AL6" s="2809"/>
      <c r="AM6" s="2809"/>
      <c r="AN6" s="2809"/>
      <c r="AO6" s="2809"/>
      <c r="AP6" s="2809"/>
      <c r="AQ6" s="2809"/>
      <c r="AR6" s="2809"/>
      <c r="AS6" s="2809"/>
      <c r="AT6" s="2809"/>
      <c r="AU6" s="2809"/>
      <c r="AV6" s="2809"/>
      <c r="AW6" s="2809"/>
      <c r="AX6" s="2809"/>
      <c r="AY6" s="2809"/>
      <c r="AZ6" s="2809"/>
      <c r="BA6" s="2809"/>
      <c r="BB6" s="2810"/>
      <c r="BC6" s="1897"/>
      <c r="BE6" s="1012"/>
      <c r="BF6" s="1012" t="str">
        <f>IF(T6="","",T6)</f>
        <v/>
      </c>
      <c r="BG6" s="1012"/>
      <c r="BH6" s="1012"/>
      <c r="BI6" s="1023">
        <v>0</v>
      </c>
    </row>
    <row s="46890" customFormat="1" customHeight="1" ht="14.25" hidden="1">
      <c r="A7" s="1855"/>
      <c r="B7" s="1855"/>
      <c r="C7" s="1855"/>
      <c r="D7" s="1855"/>
      <c r="E7" s="2771"/>
      <c r="F7" s="2771"/>
      <c r="G7" s="2771"/>
      <c r="H7" s="2771"/>
      <c r="I7" s="2798"/>
      <c r="J7" s="2768" t="str">
        <f>S5&amp;".1"</f>
        <v>.1</v>
      </c>
      <c r="K7" s="1855"/>
      <c r="L7" s="1858"/>
      <c r="M7" s="1022"/>
      <c r="N7" s="1022"/>
      <c r="O7" s="1022"/>
      <c r="P7" s="2769"/>
      <c r="Q7" s="2769">
        <v>1</v>
      </c>
      <c r="R7" s="869"/>
      <c r="S7" s="1554"/>
      <c r="T7" s="1911"/>
      <c r="U7" s="1896"/>
      <c r="V7" s="2809"/>
      <c r="W7" s="2809"/>
      <c r="X7" s="2809"/>
      <c r="Y7" s="2809"/>
      <c r="Z7" s="2809"/>
      <c r="AA7" s="2809"/>
      <c r="AB7" s="2809"/>
      <c r="AC7" s="2810"/>
      <c r="AD7" s="2808"/>
      <c r="AE7" s="2809"/>
      <c r="AF7" s="2809"/>
      <c r="AG7" s="2809"/>
      <c r="AH7" s="2809"/>
      <c r="AI7" s="2809"/>
      <c r="AJ7" s="2809"/>
      <c r="AK7" s="2809"/>
      <c r="AL7" s="2809"/>
      <c r="AM7" s="2809"/>
      <c r="AN7" s="2809"/>
      <c r="AO7" s="2809"/>
      <c r="AP7" s="2809"/>
      <c r="AQ7" s="2809"/>
      <c r="AR7" s="2809"/>
      <c r="AS7" s="2809"/>
      <c r="AT7" s="2809"/>
      <c r="AU7" s="2809"/>
      <c r="AV7" s="2809"/>
      <c r="AW7" s="2809"/>
      <c r="AX7" s="2809"/>
      <c r="AY7" s="2809"/>
      <c r="AZ7" s="2809"/>
      <c r="BA7" s="2809"/>
      <c r="BB7" s="2810"/>
      <c r="BC7" s="1897"/>
      <c r="BE7" s="1012"/>
      <c r="BF7" s="1012" t="str">
        <f>IF(T7="","",T7)</f>
        <v/>
      </c>
      <c r="BG7" s="1012"/>
      <c r="BH7" s="1012"/>
      <c r="BI7" s="1023">
        <v>0</v>
      </c>
    </row>
    <row customHeight="1" ht="11.25" hidden="1">
      <c r="A8" s="1875"/>
      <c r="B8" s="1875"/>
      <c r="C8" s="1875"/>
      <c r="D8" s="1875"/>
      <c r="E8" s="2771"/>
      <c r="F8" s="2771"/>
      <c r="G8" s="2771"/>
      <c r="H8" s="2771"/>
      <c r="I8" s="2798"/>
      <c r="J8" s="2798"/>
      <c r="K8" s="2768">
        <f>S4&amp;".1"</f>
      </c>
      <c r="L8" s="1876"/>
      <c r="P8" s="2769"/>
      <c r="Q8" s="2769"/>
      <c r="R8" s="2859">
        <v>1</v>
      </c>
      <c r="S8" s="2853">
        <f>$K8</f>
      </c>
      <c r="T8" s="2872"/>
      <c r="U8" s="812"/>
      <c r="V8" s="1263"/>
      <c r="W8" s="1769"/>
      <c r="X8" s="1263"/>
      <c r="Y8" s="1769"/>
      <c r="Z8" s="2246"/>
      <c r="AA8" s="1981" t="s">
        <v>63</v>
      </c>
      <c r="AB8" s="2246"/>
      <c r="AC8" s="1981" t="s">
        <v>63</v>
      </c>
      <c r="AD8" s="2697" t="s">
        <v>63</v>
      </c>
      <c r="AE8" s="2838"/>
      <c r="AF8" s="2717">
        <v>1</v>
      </c>
      <c r="AG8" s="2875"/>
      <c r="AH8" s="2619" t="s">
        <v>63</v>
      </c>
      <c r="AI8" s="2838"/>
      <c r="AJ8" s="2717">
        <v>1</v>
      </c>
      <c r="AK8" s="2839" t="s">
        <v>28</v>
      </c>
      <c r="AL8" s="2619" t="s">
        <v>63</v>
      </c>
      <c r="AM8" s="2704"/>
      <c r="AN8" s="2717">
        <v>1</v>
      </c>
      <c r="AO8" s="2869"/>
      <c r="AP8" s="2870" t="s">
        <v>63</v>
      </c>
      <c r="AQ8" s="823"/>
      <c r="AR8" s="1998">
        <v>1</v>
      </c>
      <c r="AS8" s="2004" t="s">
        <v>28</v>
      </c>
      <c r="AT8" s="1263"/>
      <c r="AU8" s="1769"/>
      <c r="AV8" s="1263"/>
      <c r="AW8" s="1769"/>
      <c r="AX8" s="2246"/>
      <c r="AY8" s="1981" t="s">
        <v>63</v>
      </c>
      <c r="AZ8" s="2246"/>
      <c r="BA8" s="1981" t="s">
        <v>63</v>
      </c>
      <c r="BB8" s="1860"/>
      <c r="BC8" s="2765" t="s">
        <v>616</v>
      </c>
      <c r="BE8" s="1012"/>
      <c r="BF8" s="1012" t="str">
        <f>IF(T8="","",T8)</f>
        <v/>
      </c>
      <c r="BG8" s="1012"/>
      <c r="BH8" s="1012"/>
      <c r="BI8" s="1667">
        <v>0</v>
      </c>
    </row>
    <row customHeight="1" ht="11.25" hidden="1">
      <c r="A9" s="1875"/>
      <c r="B9" s="1875"/>
      <c r="C9" s="1875"/>
      <c r="D9" s="1875"/>
      <c r="E9" s="2771"/>
      <c r="F9" s="2771"/>
      <c r="G9" s="2771"/>
      <c r="H9" s="2771"/>
      <c r="I9" s="2798"/>
      <c r="J9" s="2798"/>
      <c r="K9" s="2768"/>
      <c r="L9" s="1876"/>
      <c r="P9" s="2769"/>
      <c r="Q9" s="2769"/>
      <c r="R9" s="2859"/>
      <c r="S9" s="2854"/>
      <c r="T9" s="2873"/>
      <c r="U9" s="812"/>
      <c r="V9" s="1905"/>
      <c r="W9" s="2008"/>
      <c r="X9" s="1905"/>
      <c r="Y9" s="2008"/>
      <c r="Z9" s="1905"/>
      <c r="AA9" s="1905"/>
      <c r="AB9" s="1905"/>
      <c r="AC9" s="1905"/>
      <c r="AD9" s="2698"/>
      <c r="AE9" s="2838"/>
      <c r="AF9" s="2717"/>
      <c r="AG9" s="2875"/>
      <c r="AH9" s="2619"/>
      <c r="AI9" s="2838"/>
      <c r="AJ9" s="2717"/>
      <c r="AK9" s="2839"/>
      <c r="AL9" s="2619"/>
      <c r="AM9" s="2712"/>
      <c r="AN9" s="2717"/>
      <c r="AO9" s="2869"/>
      <c r="AP9" s="2871"/>
      <c r="AQ9" s="828"/>
      <c r="AR9" s="928"/>
      <c r="AS9" s="928" t="s">
        <v>617</v>
      </c>
      <c r="AT9" s="1905"/>
      <c r="AU9" s="2008"/>
      <c r="AV9" s="1905"/>
      <c r="AW9" s="2008"/>
      <c r="AX9" s="1905"/>
      <c r="AY9" s="1905"/>
      <c r="AZ9" s="1905"/>
      <c r="BA9" s="1905"/>
      <c r="BB9" s="1909"/>
      <c r="BC9" s="2766"/>
      <c r="BE9" s="1012"/>
      <c r="BF9" s="1012"/>
      <c r="BG9" s="1012"/>
      <c r="BH9" s="1012"/>
      <c r="BI9" s="1667">
        <v>0</v>
      </c>
    </row>
    <row customHeight="1" ht="11.25" hidden="1">
      <c r="A10" s="1875"/>
      <c r="B10" s="1875"/>
      <c r="C10" s="1875"/>
      <c r="D10" s="1875"/>
      <c r="E10" s="2771"/>
      <c r="F10" s="2771"/>
      <c r="G10" s="2771"/>
      <c r="H10" s="2771"/>
      <c r="I10" s="2798"/>
      <c r="J10" s="2798"/>
      <c r="K10" s="2768"/>
      <c r="L10" s="1876"/>
      <c r="P10" s="2769"/>
      <c r="Q10" s="2769"/>
      <c r="R10" s="2859"/>
      <c r="S10" s="2854"/>
      <c r="T10" s="2873"/>
      <c r="U10" s="812"/>
      <c r="V10" s="1905"/>
      <c r="W10" s="2008"/>
      <c r="X10" s="1905"/>
      <c r="Y10" s="2008"/>
      <c r="Z10" s="1905"/>
      <c r="AA10" s="1905"/>
      <c r="AB10" s="1905"/>
      <c r="AC10" s="1905"/>
      <c r="AD10" s="2698"/>
      <c r="AE10" s="2838"/>
      <c r="AF10" s="2717"/>
      <c r="AG10" s="2875"/>
      <c r="AH10" s="2619"/>
      <c r="AI10" s="2838"/>
      <c r="AJ10" s="2717"/>
      <c r="AK10" s="2839"/>
      <c r="AL10" s="2619"/>
      <c r="AM10" s="828"/>
      <c r="AN10" s="2012"/>
      <c r="AO10" s="2012" t="s">
        <v>639</v>
      </c>
      <c r="AP10" s="928"/>
      <c r="AQ10" s="928"/>
      <c r="AR10" s="928"/>
      <c r="AS10" s="1905"/>
      <c r="AT10" s="1905"/>
      <c r="AU10" s="2008"/>
      <c r="AV10" s="1905"/>
      <c r="AW10" s="2008"/>
      <c r="AX10" s="1905"/>
      <c r="AY10" s="1905"/>
      <c r="AZ10" s="1905"/>
      <c r="BA10" s="1905"/>
      <c r="BB10" s="1909"/>
      <c r="BC10" s="2766"/>
      <c r="BE10" s="1012"/>
      <c r="BF10" s="1012"/>
      <c r="BG10" s="1012"/>
      <c r="BH10" s="1012"/>
      <c r="BI10" s="1667">
        <v>0</v>
      </c>
    </row>
    <row customHeight="1" ht="11.25" hidden="1">
      <c r="A11" s="1875"/>
      <c r="B11" s="1875"/>
      <c r="C11" s="1875"/>
      <c r="D11" s="1875"/>
      <c r="E11" s="2771"/>
      <c r="F11" s="2771"/>
      <c r="G11" s="2771"/>
      <c r="H11" s="2771"/>
      <c r="I11" s="2798"/>
      <c r="J11" s="2798"/>
      <c r="K11" s="2768"/>
      <c r="L11" s="1876"/>
      <c r="P11" s="2769"/>
      <c r="Q11" s="2769"/>
      <c r="R11" s="2859"/>
      <c r="S11" s="2854"/>
      <c r="T11" s="2873"/>
      <c r="U11" s="812"/>
      <c r="V11" s="1905"/>
      <c r="W11" s="2008"/>
      <c r="X11" s="1905"/>
      <c r="Y11" s="2008"/>
      <c r="Z11" s="1905"/>
      <c r="AA11" s="1905"/>
      <c r="AB11" s="1905"/>
      <c r="AC11" s="1905"/>
      <c r="AD11" s="2698"/>
      <c r="AE11" s="2838"/>
      <c r="AF11" s="2717"/>
      <c r="AG11" s="2875"/>
      <c r="AH11" s="2619"/>
      <c r="AI11" s="806"/>
      <c r="AJ11" s="927"/>
      <c r="AK11" s="825" t="s">
        <v>640</v>
      </c>
      <c r="AL11" s="1905"/>
      <c r="AM11" s="1905"/>
      <c r="AN11" s="1905"/>
      <c r="AO11" s="1905"/>
      <c r="AP11" s="1905"/>
      <c r="AQ11" s="1905"/>
      <c r="AR11" s="1905"/>
      <c r="AS11" s="1905"/>
      <c r="AT11" s="1905"/>
      <c r="AU11" s="2008"/>
      <c r="AV11" s="1905"/>
      <c r="AW11" s="2008"/>
      <c r="AX11" s="1905"/>
      <c r="AY11" s="1905"/>
      <c r="AZ11" s="1905"/>
      <c r="BA11" s="1905"/>
      <c r="BB11" s="1909"/>
      <c r="BC11" s="2766"/>
      <c r="BE11" s="1012"/>
      <c r="BF11" s="1012"/>
      <c r="BG11" s="1012"/>
      <c r="BH11" s="1012"/>
      <c r="BI11" s="1667">
        <v>0</v>
      </c>
    </row>
    <row customHeight="1" ht="11.25" hidden="1">
      <c r="A12" s="1875"/>
      <c r="B12" s="1875"/>
      <c r="C12" s="1875"/>
      <c r="D12" s="1875"/>
      <c r="E12" s="2771"/>
      <c r="F12" s="2771"/>
      <c r="G12" s="2771"/>
      <c r="H12" s="2771"/>
      <c r="I12" s="2798"/>
      <c r="J12" s="2798"/>
      <c r="K12" s="2768"/>
      <c r="L12" s="1876"/>
      <c r="P12" s="2769"/>
      <c r="Q12" s="2769"/>
      <c r="R12" s="2859"/>
      <c r="S12" s="2855"/>
      <c r="T12" s="2874"/>
      <c r="U12" s="812"/>
      <c r="V12" s="1905"/>
      <c r="W12" s="1906" t="str">
        <f>Z8&amp;"-"&amp;AB8</f>
        <v>-</v>
      </c>
      <c r="X12" s="1905"/>
      <c r="Y12" s="1906" t="str">
        <f>AB8&amp;"-"&amp;AD8</f>
        <v>-да</v>
      </c>
      <c r="Z12" s="1905"/>
      <c r="AA12" s="1905"/>
      <c r="AB12" s="1905"/>
      <c r="AC12" s="1905"/>
      <c r="AD12" s="2624"/>
      <c r="AE12" s="824"/>
      <c r="AF12" s="826"/>
      <c r="AG12" s="928" t="s">
        <v>620</v>
      </c>
      <c r="AH12" s="1905"/>
      <c r="AI12" s="1905"/>
      <c r="AJ12" s="1905"/>
      <c r="AK12" s="1905"/>
      <c r="AL12" s="1905"/>
      <c r="AM12" s="1905"/>
      <c r="AN12" s="1905"/>
      <c r="AO12" s="1905"/>
      <c r="AP12" s="1905"/>
      <c r="AQ12" s="1905"/>
      <c r="AR12" s="1905"/>
      <c r="AS12" s="1905"/>
      <c r="AT12" s="1905"/>
      <c r="AU12" s="1906" t="str">
        <f>AX8&amp;"-"&amp;AZ8</f>
        <v>-</v>
      </c>
      <c r="AV12" s="1905"/>
      <c r="AW12" s="1906" t="str">
        <f>AZ8&amp;"-"&amp;BB8</f>
        <v>-</v>
      </c>
      <c r="AX12" s="1905"/>
      <c r="AY12" s="1905"/>
      <c r="AZ12" s="1905"/>
      <c r="BA12" s="1905"/>
      <c r="BB12" s="1908" t="str">
        <f>BE8&amp;"-"&amp;BG8</f>
        <v>-</v>
      </c>
      <c r="BC12" s="2766"/>
      <c r="BE12" s="1012"/>
      <c r="BF12" s="1012" t="str">
        <f>IF(T12="","",T12)</f>
        <v/>
      </c>
      <c r="BG12" s="1012"/>
      <c r="BH12" s="1012"/>
      <c r="BI12" s="1667">
        <v>0</v>
      </c>
    </row>
    <row customHeight="1" ht="11.25" hidden="1">
      <c r="A13" s="1875"/>
      <c r="B13" s="1875"/>
      <c r="C13" s="1875"/>
      <c r="D13" s="1875"/>
      <c r="E13" s="2771"/>
      <c r="F13" s="2771"/>
      <c r="G13" s="2771"/>
      <c r="H13" s="2771"/>
      <c r="I13" s="2798"/>
      <c r="J13" s="2768"/>
      <c r="K13" s="1875"/>
      <c r="L13" s="1876"/>
      <c r="P13" s="2769"/>
      <c r="Q13" s="2769"/>
      <c r="R13" s="868"/>
      <c r="S13" s="1790"/>
      <c r="T13" s="799" t="s">
        <v>583</v>
      </c>
      <c r="U13" s="879"/>
      <c r="V13" s="879"/>
      <c r="W13" s="879"/>
      <c r="X13" s="879"/>
      <c r="Y13" s="879"/>
      <c r="Z13" s="879"/>
      <c r="AA13" s="879"/>
      <c r="AB13" s="879"/>
      <c r="AC13" s="879"/>
      <c r="AD13" s="2017"/>
      <c r="AE13" s="879"/>
      <c r="AF13" s="879"/>
      <c r="AG13" s="879"/>
      <c r="AH13" s="879"/>
      <c r="AI13" s="879"/>
      <c r="AJ13" s="879"/>
      <c r="AK13" s="879"/>
      <c r="AL13" s="879"/>
      <c r="AM13" s="879"/>
      <c r="AN13" s="879"/>
      <c r="AO13" s="879"/>
      <c r="AP13" s="879"/>
      <c r="AQ13" s="879"/>
      <c r="AR13" s="879"/>
      <c r="AS13" s="879"/>
      <c r="AT13" s="879"/>
      <c r="AU13" s="879"/>
      <c r="AV13" s="879"/>
      <c r="AW13" s="879"/>
      <c r="AX13" s="879"/>
      <c r="AY13" s="879"/>
      <c r="AZ13" s="879"/>
      <c r="BA13" s="879"/>
      <c r="BB13" s="836"/>
      <c r="BC13" s="2767"/>
      <c r="BE13" s="1012"/>
      <c r="BF13" s="1012" t="str">
        <f>IF(T13="","",T13)</f>
        <v>Добавить строку</v>
      </c>
      <c r="BG13" s="1012"/>
      <c r="BH13" s="1012"/>
      <c r="BI13" s="1667">
        <v>0</v>
      </c>
    </row>
    <row s="46890" customFormat="1" customHeight="1" ht="14.25" hidden="1">
      <c r="A14" s="1855"/>
      <c r="B14" s="1855"/>
      <c r="C14" s="1855"/>
      <c r="D14" s="1855"/>
      <c r="E14" s="2771"/>
      <c r="F14" s="2771"/>
      <c r="G14" s="2771"/>
      <c r="H14" s="2771"/>
      <c r="I14" s="2768"/>
      <c r="J14" s="1855"/>
      <c r="K14" s="1855"/>
      <c r="L14" s="1858"/>
      <c r="M14" s="1022"/>
      <c r="N14" s="1022"/>
      <c r="O14" s="1022"/>
      <c r="P14" s="2769"/>
      <c r="Q14" s="1993"/>
      <c r="R14" s="868"/>
      <c r="S14" s="1898"/>
      <c r="T14" s="1899"/>
      <c r="U14" s="1900"/>
      <c r="V14" s="1900"/>
      <c r="W14" s="1900"/>
      <c r="X14" s="1900"/>
      <c r="Y14" s="1900"/>
      <c r="Z14" s="1900"/>
      <c r="AA14" s="1900"/>
      <c r="AB14" s="1900"/>
      <c r="AC14" s="1900"/>
      <c r="AD14" s="1900"/>
      <c r="AE14" s="1900"/>
      <c r="AF14" s="1900"/>
      <c r="AG14" s="1900"/>
      <c r="AH14" s="1900"/>
      <c r="AI14" s="1900"/>
      <c r="AJ14" s="1900"/>
      <c r="AK14" s="1900"/>
      <c r="AL14" s="1900"/>
      <c r="AM14" s="1900"/>
      <c r="AN14" s="1900"/>
      <c r="AO14" s="1900"/>
      <c r="AP14" s="1900"/>
      <c r="AQ14" s="1900"/>
      <c r="AR14" s="1900"/>
      <c r="AS14" s="1900"/>
      <c r="AT14" s="1900"/>
      <c r="AU14" s="1900"/>
      <c r="AV14" s="1900"/>
      <c r="AW14" s="1900"/>
      <c r="AX14" s="1900"/>
      <c r="AY14" s="1900"/>
      <c r="AZ14" s="1900"/>
      <c r="BA14" s="1900"/>
      <c r="BB14" s="1900"/>
      <c r="BC14" s="1901"/>
      <c r="BE14" s="1012"/>
      <c r="BF14" s="1012" t="str">
        <f>IF(T14="","",T14)</f>
        <v/>
      </c>
      <c r="BG14" s="1012"/>
      <c r="BH14" s="1012"/>
      <c r="BI14" s="1023">
        <v>0</v>
      </c>
    </row>
    <row s="46890" customFormat="1" customHeight="1" ht="14.25" hidden="1">
      <c r="A15" s="1855"/>
      <c r="B15" s="1855"/>
      <c r="C15" s="1855"/>
      <c r="D15" s="1855"/>
      <c r="E15" s="2771"/>
      <c r="F15" s="2771"/>
      <c r="G15" s="2771"/>
      <c r="H15" s="2770"/>
      <c r="I15" s="1855"/>
      <c r="J15" s="1855"/>
      <c r="K15" s="1855"/>
      <c r="L15" s="1858"/>
      <c r="M15" s="1827"/>
      <c r="N15" s="1827"/>
      <c r="O15" s="1030"/>
      <c r="P15" s="892"/>
      <c r="Q15" s="1856"/>
      <c r="R15" s="1913"/>
      <c r="S15" s="1898"/>
      <c r="T15" s="1899"/>
      <c r="U15" s="1900"/>
      <c r="V15" s="1900"/>
      <c r="W15" s="1900"/>
      <c r="X15" s="1900"/>
      <c r="Y15" s="1900"/>
      <c r="Z15" s="1900"/>
      <c r="AA15" s="1900"/>
      <c r="AB15" s="1900"/>
      <c r="AC15" s="1900"/>
      <c r="AD15" s="1900"/>
      <c r="AE15" s="1900"/>
      <c r="AF15" s="1900"/>
      <c r="AG15" s="1900"/>
      <c r="AH15" s="1900"/>
      <c r="AI15" s="1900"/>
      <c r="AJ15" s="1900"/>
      <c r="AK15" s="1900"/>
      <c r="AL15" s="1900"/>
      <c r="AM15" s="1900"/>
      <c r="AN15" s="1900"/>
      <c r="AO15" s="1900"/>
      <c r="AP15" s="1900"/>
      <c r="AQ15" s="1900"/>
      <c r="AR15" s="1900"/>
      <c r="AS15" s="1900"/>
      <c r="AT15" s="1900"/>
      <c r="AU15" s="1900"/>
      <c r="AV15" s="1900"/>
      <c r="AW15" s="1900"/>
      <c r="AX15" s="1900"/>
      <c r="AY15" s="1900"/>
      <c r="AZ15" s="1900"/>
      <c r="BA15" s="1900"/>
      <c r="BB15" s="1900"/>
      <c r="BC15" s="1901"/>
      <c r="BE15" s="1012"/>
      <c r="BF15" s="1012" t="str">
        <f>IF(T15="","",T15)</f>
        <v/>
      </c>
      <c r="BG15" s="1012"/>
      <c r="BH15" s="1012"/>
      <c r="BI15" s="1023">
        <v>0</v>
      </c>
    </row>
    <row s="46890" customFormat="1" customHeight="1" ht="14.25" hidden="1">
      <c r="A16" s="1855"/>
      <c r="B16" s="1855"/>
      <c r="C16" s="1855"/>
      <c r="D16" s="1826"/>
      <c r="E16" s="2771"/>
      <c r="F16" s="2771"/>
      <c r="G16" s="2770"/>
      <c r="H16" s="1826"/>
      <c r="I16" s="1826"/>
      <c r="J16" s="1826"/>
      <c r="K16" s="1826"/>
      <c r="L16" s="2006"/>
      <c r="M16" s="1827"/>
      <c r="N16" s="1827"/>
      <c r="P16" s="1828"/>
      <c r="Q16" s="1829"/>
      <c r="R16" s="1828"/>
      <c r="S16" s="1834"/>
      <c r="T16" s="1837"/>
      <c r="U16" s="1836"/>
      <c r="V16" s="1836"/>
      <c r="W16" s="1836"/>
      <c r="X16" s="1836"/>
      <c r="Y16" s="1836"/>
      <c r="Z16" s="1836"/>
      <c r="AA16" s="1836"/>
      <c r="AB16" s="1836"/>
      <c r="AC16" s="1836"/>
      <c r="AD16" s="1836"/>
      <c r="AE16" s="1836"/>
      <c r="AF16" s="1836"/>
      <c r="AG16" s="1836"/>
      <c r="AH16" s="1836"/>
      <c r="AI16" s="1836"/>
      <c r="AJ16" s="1836"/>
      <c r="AK16" s="1836"/>
      <c r="AL16" s="1836"/>
      <c r="AM16" s="1836"/>
      <c r="AN16" s="1836"/>
      <c r="AO16" s="1836"/>
      <c r="AP16" s="1836"/>
      <c r="AQ16" s="1836"/>
      <c r="AR16" s="1836"/>
      <c r="AS16" s="1836"/>
      <c r="AT16" s="1836"/>
      <c r="AU16" s="1836"/>
      <c r="AV16" s="1836"/>
      <c r="AW16" s="1836"/>
      <c r="AX16" s="1836"/>
      <c r="AY16" s="1836"/>
      <c r="AZ16" s="1836"/>
      <c r="BA16" s="1836"/>
      <c r="BB16" s="1836"/>
      <c r="BC16" s="1836"/>
      <c r="BE16" s="1301"/>
      <c r="BF16" s="1301" t="str">
        <f>IF(T16="","",T16)</f>
        <v/>
      </c>
      <c r="BG16" s="1301"/>
      <c r="BH16" s="1301"/>
      <c r="BI16" s="1030">
        <v>0</v>
      </c>
    </row>
    <row s="46890" customFormat="1" customHeight="1" ht="14.25" hidden="1">
      <c r="A17" s="1855"/>
      <c r="B17" s="1855"/>
      <c r="C17" s="1826"/>
      <c r="D17" s="1826"/>
      <c r="E17" s="2771"/>
      <c r="F17" s="2770"/>
      <c r="G17" s="1826"/>
      <c r="H17" s="1826"/>
      <c r="I17" s="1826"/>
      <c r="J17" s="1826"/>
      <c r="K17" s="1826"/>
      <c r="L17" s="2006"/>
      <c r="M17" s="1833"/>
      <c r="N17" s="1833"/>
      <c r="P17" s="1828"/>
      <c r="Q17" s="1829"/>
      <c r="R17" s="1828"/>
      <c r="S17" s="1834"/>
      <c r="T17" s="1837" t="s">
        <v>321</v>
      </c>
      <c r="U17" s="1836"/>
      <c r="V17" s="1836"/>
      <c r="W17" s="1836"/>
      <c r="X17" s="1836"/>
      <c r="Y17" s="1836"/>
      <c r="Z17" s="1836"/>
      <c r="AA17" s="1836"/>
      <c r="AB17" s="1836"/>
      <c r="AC17" s="1836"/>
      <c r="AD17" s="1836"/>
      <c r="AE17" s="1836"/>
      <c r="AF17" s="1836"/>
      <c r="AG17" s="1836"/>
      <c r="AH17" s="1836"/>
      <c r="AI17" s="1836"/>
      <c r="AJ17" s="1836"/>
      <c r="AK17" s="1836"/>
      <c r="AL17" s="1836"/>
      <c r="AM17" s="1836"/>
      <c r="AN17" s="1836"/>
      <c r="AO17" s="1836"/>
      <c r="AP17" s="1836"/>
      <c r="AQ17" s="1836"/>
      <c r="AR17" s="1836"/>
      <c r="AS17" s="1836"/>
      <c r="AT17" s="1836"/>
      <c r="AU17" s="1836"/>
      <c r="AV17" s="1836"/>
      <c r="AW17" s="1836"/>
      <c r="AX17" s="1836"/>
      <c r="AY17" s="1836"/>
      <c r="AZ17" s="1836"/>
      <c r="BA17" s="1836"/>
      <c r="BB17" s="1836"/>
      <c r="BC17" s="1836"/>
      <c r="BE17" s="1301"/>
      <c r="BF17" s="1301" t="str">
        <f>IF(T17="","",T17)</f>
        <v>Добавить централизованную систему для дифференциации</v>
      </c>
      <c r="BG17" s="1301"/>
      <c r="BH17" s="1301"/>
      <c r="BI17" s="1030">
        <v>0</v>
      </c>
    </row>
    <row s="46890" customFormat="1" customHeight="1" ht="14.25" hidden="1">
      <c r="A18" s="1855"/>
      <c r="B18" s="1855"/>
      <c r="C18" s="1855"/>
      <c r="D18" s="1855"/>
      <c r="E18" s="2770"/>
      <c r="F18" s="1855"/>
      <c r="G18" s="1855"/>
      <c r="H18" s="1855"/>
      <c r="I18" s="1855"/>
      <c r="J18" s="1855"/>
      <c r="K18" s="1855"/>
      <c r="L18" s="1858"/>
      <c r="M18" s="1833"/>
      <c r="N18" s="1833"/>
      <c r="O18" s="1030"/>
      <c r="P18" s="892"/>
      <c r="Q18" s="1856"/>
      <c r="R18" s="892"/>
      <c r="S18" s="1834"/>
      <c r="T18" s="1837" t="s">
        <v>385</v>
      </c>
      <c r="U18" s="1836"/>
      <c r="V18" s="1836"/>
      <c r="W18" s="1836"/>
      <c r="X18" s="1836"/>
      <c r="Y18" s="1836"/>
      <c r="Z18" s="1836"/>
      <c r="AA18" s="1836"/>
      <c r="AB18" s="1836"/>
      <c r="AC18" s="1836"/>
      <c r="AD18" s="1836"/>
      <c r="AE18" s="1836"/>
      <c r="AF18" s="1836"/>
      <c r="AG18" s="1836"/>
      <c r="AH18" s="1836"/>
      <c r="AI18" s="1836"/>
      <c r="AJ18" s="1836"/>
      <c r="AK18" s="1836"/>
      <c r="AL18" s="1836"/>
      <c r="AM18" s="1836"/>
      <c r="AN18" s="1836"/>
      <c r="AO18" s="1836"/>
      <c r="AP18" s="1836"/>
      <c r="AQ18" s="1836"/>
      <c r="AR18" s="1836"/>
      <c r="AS18" s="1836"/>
      <c r="AT18" s="1836"/>
      <c r="AU18" s="1836"/>
      <c r="AV18" s="1836"/>
      <c r="AW18" s="1836"/>
      <c r="AX18" s="1836"/>
      <c r="AY18" s="1836"/>
      <c r="AZ18" s="1836"/>
      <c r="BA18" s="1836"/>
      <c r="BB18" s="1836"/>
      <c r="BC18" s="1836"/>
      <c r="BE18" s="1012"/>
      <c r="BF18" s="1012" t="str">
        <f>IF(T18="","",T18)</f>
        <v>Добавить территорию для дифференциации</v>
      </c>
      <c r="BG18" s="1012"/>
      <c r="BH18" s="1012"/>
      <c r="BI18" s="1023">
        <v>0</v>
      </c>
    </row>
    <row customHeight="1" ht="14.25" hidden="1">
      <c r="AC19" s="839"/>
      <c r="BA19" s="839"/>
      <c r="BI19" s="1667">
        <v>0</v>
      </c>
    </row>
    <row customHeight="1" ht="14.25" hidden="1">
      <c r="AD20" s="1836" t="s">
        <v>19</v>
      </c>
      <c r="AE20" s="2013"/>
      <c r="AF20" s="1060">
        <v>1</v>
      </c>
      <c r="AG20" s="2014"/>
      <c r="AH20" s="1836" t="s">
        <v>19</v>
      </c>
      <c r="AI20" s="2013"/>
      <c r="AJ20" s="1060">
        <v>1</v>
      </c>
      <c r="AK20" s="2014"/>
      <c r="AL20" s="1836" t="s">
        <v>19</v>
      </c>
      <c r="AM20" s="2015"/>
      <c r="AN20" s="1060">
        <v>1</v>
      </c>
      <c r="AO20" s="2016"/>
      <c r="AP20" s="1836" t="s">
        <v>19</v>
      </c>
      <c r="AQ20" s="2015"/>
      <c r="AR20" s="1060">
        <v>1</v>
      </c>
      <c r="AS20" s="2016"/>
      <c r="AT20" s="837"/>
      <c r="AU20" s="896"/>
      <c r="AV20" s="837"/>
      <c r="AW20" s="896"/>
      <c r="AX20" s="2248"/>
      <c r="AY20" s="1997" t="s">
        <v>63</v>
      </c>
      <c r="AZ20" s="2248"/>
      <c r="BA20" s="1997" t="s">
        <v>63</v>
      </c>
      <c r="BI20" s="1667">
        <v>0</v>
      </c>
    </row>
    <row customHeight="1" ht="14.25" hidden="1">
      <c r="BD21" s="1008"/>
      <c r="BE21" s="1008"/>
      <c r="BF21" s="1008"/>
      <c r="BG21" s="1008"/>
      <c r="BH21" s="1008"/>
      <c r="BI21" s="1667">
        <v>0</v>
      </c>
    </row>
    <row customHeight="1" ht="14.25" hidden="1">
      <c r="O22" s="1879" t="s">
        <v>533</v>
      </c>
      <c r="Z22" s="1857"/>
      <c r="AB22" s="1857"/>
      <c r="AC22" s="839"/>
      <c r="AX22" s="1857"/>
      <c r="AZ22" s="1857"/>
      <c r="BA22" s="839"/>
      <c r="BD22" s="1008"/>
      <c r="BE22" s="1008"/>
      <c r="BF22" s="1008"/>
      <c r="BG22" s="1008"/>
      <c r="BH22" s="1008"/>
      <c r="BI22" s="1667">
        <v>0</v>
      </c>
    </row>
    <row customHeight="1" ht="14.25" hidden="1">
      <c r="AC23" s="839"/>
      <c r="BA23" s="839"/>
      <c r="BD23" s="1008"/>
      <c r="BE23" s="1008"/>
      <c r="BF23" s="1008"/>
      <c r="BG23" s="1008"/>
      <c r="BH23" s="1008"/>
      <c r="BI23" s="1667">
        <v>0</v>
      </c>
    </row>
    <row s="47895" customFormat="1" customHeight="1" ht="14.25" hidden="1">
      <c r="M24" s="2020"/>
      <c r="N24" s="2020"/>
      <c r="O24" s="2021" t="s">
        <v>534</v>
      </c>
      <c r="P24" s="2020"/>
      <c r="Q24" s="2022"/>
      <c r="R24" s="2022"/>
      <c r="AA24" s="2019" t="s">
        <v>536</v>
      </c>
      <c r="AC24" s="2019" t="s">
        <v>537</v>
      </c>
      <c r="AD24" s="2019" t="s">
        <v>584</v>
      </c>
      <c r="AH24" s="2019" t="s">
        <v>584</v>
      </c>
      <c r="AK24" s="2019" t="s">
        <v>621</v>
      </c>
      <c r="AL24" s="2019" t="s">
        <v>584</v>
      </c>
      <c r="AP24" s="2019" t="s">
        <v>584</v>
      </c>
      <c r="AY24" s="2019" t="s">
        <v>536</v>
      </c>
      <c r="BA24" s="2019" t="s">
        <v>537</v>
      </c>
      <c r="BD24" s="2023"/>
      <c r="BE24" s="2023"/>
      <c r="BF24" s="2023"/>
      <c r="BG24" s="2023"/>
      <c r="BH24" s="2023"/>
      <c r="BI24" s="2019">
        <v>0</v>
      </c>
    </row>
    <row customHeight="1" ht="14.25" hidden="1">
      <c r="O25" s="1876"/>
      <c r="BD25" s="1008"/>
      <c r="BE25" s="1008"/>
      <c r="BF25" s="1008"/>
      <c r="BG25" s="1008"/>
      <c r="BH25" s="1008"/>
      <c r="BI25" s="1667">
        <v>0</v>
      </c>
    </row>
    <row customHeight="1" ht="14.25" hidden="1">
      <c r="O26" s="1876"/>
      <c r="BD26" s="1008"/>
      <c r="BE26" s="1008"/>
      <c r="BF26" s="1008"/>
      <c r="BG26" s="1008"/>
      <c r="BH26" s="1008"/>
      <c r="BI26" s="1667">
        <v>0</v>
      </c>
    </row>
    <row customHeight="1" ht="14.699999999999998">
      <c r="Q27" s="803"/>
      <c r="R27" s="888"/>
      <c r="S27" s="1787"/>
      <c r="T27" s="875"/>
      <c r="U27" s="875"/>
      <c r="V27" s="1021"/>
      <c r="W27" s="1021"/>
      <c r="X27" s="1021"/>
      <c r="Y27" s="1021"/>
      <c r="Z27" s="1021"/>
      <c r="AA27" s="1021"/>
      <c r="AB27" s="1021"/>
      <c r="AC27" s="1021"/>
      <c r="AD27" s="1021"/>
      <c r="AE27" s="1021"/>
      <c r="AF27" s="1021"/>
      <c r="AG27" s="1021"/>
      <c r="AH27" s="1021"/>
      <c r="AI27" s="1021"/>
      <c r="AJ27" s="1021"/>
      <c r="AK27" s="1021"/>
      <c r="AL27" s="1021"/>
      <c r="AM27" s="1021"/>
      <c r="AN27" s="1021"/>
      <c r="AO27" s="1021"/>
      <c r="AP27" s="1021"/>
      <c r="AQ27" s="1021"/>
      <c r="AR27" s="1021"/>
      <c r="AS27" s="1021"/>
      <c r="AT27" s="1021"/>
      <c r="AU27" s="1021"/>
      <c r="AV27" s="1021"/>
      <c r="AW27" s="1021"/>
      <c r="AX27" s="1021"/>
      <c r="AY27" s="1021"/>
      <c r="AZ27" s="1021"/>
      <c r="BA27" s="1021"/>
      <c r="BI27" s="1667">
        <v>14</v>
      </c>
    </row>
    <row customHeight="1" ht="14.699999999999998">
      <c r="Q28" s="803"/>
      <c r="R28" s="888"/>
      <c r="S28" s="2760"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760"/>
      <c r="U28" s="2760"/>
      <c r="V28" s="2760"/>
      <c r="W28" s="2760"/>
      <c r="X28" s="2760"/>
      <c r="Y28" s="2760"/>
      <c r="Z28" s="2760"/>
      <c r="AA28" s="2760"/>
      <c r="AB28" s="2760"/>
      <c r="AC28" s="2760"/>
      <c r="AD28" s="2760"/>
      <c r="AE28" s="2760"/>
      <c r="AF28" s="2760"/>
      <c r="AG28" s="2760"/>
      <c r="AH28" s="2760"/>
      <c r="AI28" s="2760"/>
      <c r="AJ28" s="2760"/>
      <c r="AK28" s="2760"/>
      <c r="AL28" s="2760"/>
      <c r="AM28" s="2760"/>
      <c r="AN28" s="2760"/>
      <c r="AO28" s="2760"/>
      <c r="AP28" s="2760"/>
      <c r="AQ28" s="2760"/>
      <c r="AR28" s="2760"/>
      <c r="AS28" s="2760"/>
      <c r="AT28" s="2760"/>
      <c r="AU28" s="2760"/>
      <c r="AV28" s="2760"/>
      <c r="AW28" s="2760"/>
      <c r="AX28" s="2760"/>
      <c r="AY28" s="2760"/>
      <c r="AZ28" s="2760"/>
      <c r="BA28" s="1755"/>
      <c r="BI28" s="1667">
        <v>14</v>
      </c>
    </row>
    <row customHeight="1" ht="14.699999999999998">
      <c r="Q29" s="803"/>
      <c r="R29" s="888"/>
      <c r="S29" s="2761" t="str">
        <f>IF(org=0,"Не определено",org)</f>
        <v>КГУП "Примтеплоэнерго"</v>
      </c>
      <c r="T29" s="2761"/>
      <c r="U29" s="2761"/>
      <c r="V29" s="2761"/>
      <c r="W29" s="2761"/>
      <c r="X29" s="2761"/>
      <c r="Y29" s="2761"/>
      <c r="Z29" s="2761"/>
      <c r="AA29" s="2761"/>
      <c r="AB29" s="2761"/>
      <c r="AC29" s="2761"/>
      <c r="AD29" s="2761"/>
      <c r="AE29" s="2761"/>
      <c r="AF29" s="2761"/>
      <c r="AG29" s="2761"/>
      <c r="AH29" s="2761"/>
      <c r="AI29" s="2761"/>
      <c r="AJ29" s="2761"/>
      <c r="AK29" s="2761"/>
      <c r="AL29" s="2761"/>
      <c r="AM29" s="2761"/>
      <c r="AN29" s="2761"/>
      <c r="AO29" s="2761"/>
      <c r="AP29" s="2761"/>
      <c r="AQ29" s="2761"/>
      <c r="AR29" s="2761"/>
      <c r="AS29" s="2761"/>
      <c r="AT29" s="2761"/>
      <c r="AU29" s="2761"/>
      <c r="AV29" s="2761"/>
      <c r="AW29" s="2761"/>
      <c r="AX29" s="2761"/>
      <c r="AY29" s="2761"/>
      <c r="AZ29" s="2761"/>
      <c r="BA29" s="1755"/>
      <c r="BI29" s="1667">
        <v>14</v>
      </c>
    </row>
    <row customHeight="1" ht="14.25">
      <c r="Q30" s="803"/>
      <c r="R30" s="888"/>
      <c r="S30" s="1787"/>
      <c r="T30" s="875"/>
      <c r="U30" s="875"/>
      <c r="V30" s="834"/>
      <c r="W30" s="834"/>
      <c r="X30" s="834"/>
      <c r="Y30" s="834"/>
      <c r="Z30" s="834"/>
      <c r="AA30" s="834"/>
      <c r="AB30" s="834"/>
      <c r="AC30" s="834"/>
      <c r="AD30" s="834"/>
      <c r="AE30" s="834"/>
      <c r="AF30" s="834"/>
      <c r="AG30" s="834"/>
      <c r="AH30" s="834"/>
      <c r="AI30" s="834"/>
      <c r="AJ30" s="834"/>
      <c r="AK30" s="834"/>
      <c r="AL30" s="834"/>
      <c r="AM30" s="834"/>
      <c r="AN30" s="834"/>
      <c r="AO30" s="834"/>
      <c r="AP30" s="834"/>
      <c r="AQ30" s="834"/>
      <c r="AR30" s="834"/>
      <c r="AS30" s="834"/>
      <c r="AT30" s="834"/>
      <c r="AU30" s="834"/>
      <c r="AV30" s="834"/>
      <c r="AW30" s="834"/>
      <c r="AX30" s="834"/>
      <c r="AY30" s="834"/>
      <c r="AZ30" s="834"/>
      <c r="BA30" s="834"/>
      <c r="BB30" s="1021"/>
      <c r="BI30" s="1667">
        <v>0</v>
      </c>
    </row>
    <row s="47026" customFormat="1" customHeight="1" ht="25.5">
      <c r="A31" s="1880"/>
      <c r="B31" s="1880"/>
      <c r="C31" s="1880"/>
      <c r="D31" s="1880"/>
      <c r="E31" s="1880"/>
      <c r="F31" s="1880"/>
      <c r="G31" s="1880"/>
      <c r="H31" s="1880"/>
      <c r="I31" s="1880"/>
      <c r="J31" s="1880"/>
      <c r="K31" s="1880"/>
      <c r="L31" s="1881"/>
      <c r="M31" s="1880"/>
      <c r="N31" s="1880"/>
      <c r="O31" s="1880"/>
      <c r="P31" s="1880"/>
      <c r="Q31" s="1880"/>
      <c r="S31" s="2762" t="s">
        <v>42</v>
      </c>
      <c r="T31" s="2762"/>
      <c r="U31" s="1884"/>
      <c r="V31" s="2763" t="str">
        <f>IF(TITLE_NAME_OR_PR_CHANGE="",IF(TITLE_NAME_OR_PR="","",TITLE_NAME_OR_PR),TITLE_NAME_OR_PR_CHANGE)</f>
        <v>Агентство по тарифам Приморского края</v>
      </c>
      <c r="W31" s="2763"/>
      <c r="X31" s="2763"/>
      <c r="Y31" s="2763"/>
      <c r="Z31" s="2763"/>
      <c r="AA31" s="2763"/>
      <c r="AB31" s="2763"/>
      <c r="AC31" s="838"/>
      <c r="AD31" s="2763" t="str">
        <f>IF(TITLE_NAME_OR_PR_CHANGE="",IF(TITLE_NAME_OR_PR="","",TITLE_NAME_OR_PR),TITLE_NAME_OR_PR_CHANGE)</f>
        <v>Агентство по тарифам Приморского края</v>
      </c>
      <c r="AE31" s="2763"/>
      <c r="AF31" s="2763"/>
      <c r="AG31" s="2763"/>
      <c r="AH31" s="2763"/>
      <c r="AI31" s="2763"/>
      <c r="AJ31" s="2763"/>
      <c r="AK31" s="2763"/>
      <c r="AL31" s="2763"/>
      <c r="AM31" s="2763"/>
      <c r="AN31" s="2763"/>
      <c r="AO31" s="2763"/>
      <c r="AP31" s="2763"/>
      <c r="AQ31" s="2763"/>
      <c r="AR31" s="2763"/>
      <c r="AS31" s="2763"/>
      <c r="AT31" s="2763"/>
      <c r="AU31" s="2763"/>
      <c r="AV31" s="2763"/>
      <c r="AW31" s="2763"/>
      <c r="AX31" s="2763"/>
      <c r="AY31" s="2763"/>
      <c r="AZ31" s="2763"/>
      <c r="BA31" s="838"/>
      <c r="BB31" s="838"/>
      <c r="BC31" s="792"/>
      <c r="BD31" s="880"/>
      <c r="BE31" s="880"/>
      <c r="BF31" s="880"/>
      <c r="BG31" s="880"/>
      <c r="BH31" s="880"/>
      <c r="BI31" s="930">
        <v>0</v>
      </c>
    </row>
    <row s="47026" customFormat="1" customHeight="1" ht="18.75">
      <c r="A32" s="1880"/>
      <c r="B32" s="1880"/>
      <c r="C32" s="1880"/>
      <c r="D32" s="1880"/>
      <c r="E32" s="1880"/>
      <c r="F32" s="1880"/>
      <c r="G32" s="1880"/>
      <c r="H32" s="1880"/>
      <c r="I32" s="1880"/>
      <c r="J32" s="1880"/>
      <c r="K32" s="1880"/>
      <c r="L32" s="1881"/>
      <c r="M32" s="1880"/>
      <c r="N32" s="1880"/>
      <c r="O32" s="1880"/>
      <c r="P32" s="1880"/>
      <c r="Q32" s="1880"/>
      <c r="S32" s="2762" t="s">
        <v>539</v>
      </c>
      <c r="T32" s="2762"/>
      <c r="U32" s="1884"/>
      <c r="V32" s="2776" t="str">
        <f>IF(TITLE_DATE_PR_CHANGE="",IF(TITLE_DATE_PR="","",TITLE_DATE_PR),TITLE_DATE_PR_CHANGE)</f>
        <v>45631.495844907404</v>
      </c>
      <c r="W32" s="2776"/>
      <c r="X32" s="2776"/>
      <c r="Y32" s="2776"/>
      <c r="Z32" s="2776"/>
      <c r="AA32" s="2776"/>
      <c r="AB32" s="2776"/>
      <c r="AC32" s="838"/>
      <c r="AD32" s="2776" t="str">
        <f>IF(TITLE_DATE_PR_CHANGE="",IF(TITLE_DATE_PR="","",TITLE_DATE_PR),TITLE_DATE_PR_CHANGE)</f>
        <v>45631.495844907404</v>
      </c>
      <c r="AE32" s="2776"/>
      <c r="AF32" s="2776"/>
      <c r="AG32" s="2776"/>
      <c r="AH32" s="2776"/>
      <c r="AI32" s="2776"/>
      <c r="AJ32" s="2776"/>
      <c r="AK32" s="2776"/>
      <c r="AL32" s="2776"/>
      <c r="AM32" s="2776"/>
      <c r="AN32" s="2776"/>
      <c r="AO32" s="2776"/>
      <c r="AP32" s="2776"/>
      <c r="AQ32" s="2776"/>
      <c r="AR32" s="2776"/>
      <c r="AS32" s="2776"/>
      <c r="AT32" s="2776"/>
      <c r="AU32" s="2776"/>
      <c r="AV32" s="2776"/>
      <c r="AW32" s="2776"/>
      <c r="AX32" s="2776"/>
      <c r="AY32" s="2776"/>
      <c r="AZ32" s="2776"/>
      <c r="BA32" s="838"/>
      <c r="BB32" s="838"/>
      <c r="BC32" s="792"/>
      <c r="BD32" s="880"/>
      <c r="BE32" s="880"/>
      <c r="BF32" s="880"/>
      <c r="BG32" s="880"/>
      <c r="BH32" s="880"/>
      <c r="BI32" s="930">
        <v>0</v>
      </c>
    </row>
    <row s="47026" customFormat="1" customHeight="1" ht="18.75">
      <c r="A33" s="1880"/>
      <c r="B33" s="1880"/>
      <c r="C33" s="1880"/>
      <c r="D33" s="1880"/>
      <c r="E33" s="1880"/>
      <c r="F33" s="1880"/>
      <c r="G33" s="1880"/>
      <c r="H33" s="1880"/>
      <c r="I33" s="1880"/>
      <c r="J33" s="1880"/>
      <c r="K33" s="1880"/>
      <c r="L33" s="1881"/>
      <c r="M33" s="1880"/>
      <c r="N33" s="1880"/>
      <c r="O33" s="1880"/>
      <c r="P33" s="1880"/>
      <c r="Q33" s="1880"/>
      <c r="S33" s="2762" t="s">
        <v>540</v>
      </c>
      <c r="T33" s="2762"/>
      <c r="U33" s="1884"/>
      <c r="V33" s="2763" t="str">
        <f>IF(TITLE_NUMBER_PR_CHANGE="",IF(TITLE_NUMBER_PR="","",TITLE_NUMBER_PR),TITLE_NUMBER_PR_CHANGE)</f>
        <v>53/9</v>
      </c>
      <c r="W33" s="2763"/>
      <c r="X33" s="2763"/>
      <c r="Y33" s="2763"/>
      <c r="Z33" s="2763"/>
      <c r="AA33" s="2763"/>
      <c r="AB33" s="2763"/>
      <c r="AC33" s="838"/>
      <c r="AD33" s="2763" t="str">
        <f>IF(TITLE_NUMBER_PR_CHANGE="",IF(TITLE_NUMBER_PR="","",TITLE_NUMBER_PR),TITLE_NUMBER_PR_CHANGE)</f>
        <v>53/9</v>
      </c>
      <c r="AE33" s="2763"/>
      <c r="AF33" s="2763"/>
      <c r="AG33" s="2763"/>
      <c r="AH33" s="2763"/>
      <c r="AI33" s="2763"/>
      <c r="AJ33" s="2763"/>
      <c r="AK33" s="2763"/>
      <c r="AL33" s="2763"/>
      <c r="AM33" s="2763"/>
      <c r="AN33" s="2763"/>
      <c r="AO33" s="2763"/>
      <c r="AP33" s="2763"/>
      <c r="AQ33" s="2763"/>
      <c r="AR33" s="2763"/>
      <c r="AS33" s="2763"/>
      <c r="AT33" s="2763"/>
      <c r="AU33" s="2763"/>
      <c r="AV33" s="2763"/>
      <c r="AW33" s="2763"/>
      <c r="AX33" s="2763"/>
      <c r="AY33" s="2763"/>
      <c r="AZ33" s="2763"/>
      <c r="BA33" s="838"/>
      <c r="BB33" s="838"/>
      <c r="BC33" s="792"/>
      <c r="BD33" s="880"/>
      <c r="BE33" s="880"/>
      <c r="BF33" s="880"/>
      <c r="BG33" s="880"/>
      <c r="BH33" s="880"/>
      <c r="BI33" s="930">
        <v>0</v>
      </c>
    </row>
    <row s="47026" customFormat="1" customHeight="1" ht="18.75">
      <c r="A34" s="1880"/>
      <c r="B34" s="1880"/>
      <c r="C34" s="1880"/>
      <c r="D34" s="1880"/>
      <c r="E34" s="1880"/>
      <c r="F34" s="1880"/>
      <c r="G34" s="1880"/>
      <c r="H34" s="1880"/>
      <c r="I34" s="1880"/>
      <c r="J34" s="1880"/>
      <c r="K34" s="1880"/>
      <c r="L34" s="1881"/>
      <c r="M34" s="1880"/>
      <c r="N34" s="1880"/>
      <c r="O34" s="1880"/>
      <c r="P34" s="1880"/>
      <c r="Q34" s="1880"/>
      <c r="S34" s="2762" t="s">
        <v>44</v>
      </c>
      <c r="T34" s="2762"/>
      <c r="U34" s="1884"/>
      <c r="V34" s="2763" t="str">
        <f>IF(TITLE_IST_PUB_CHANGE="",IF(TITLE_IST_PUB="","",TITLE_IST_PUB),TITLE_IST_PUB_CHANGE)</f>
        <v>http://pravo.gov.ru</v>
      </c>
      <c r="W34" s="2763"/>
      <c r="X34" s="2763"/>
      <c r="Y34" s="2763"/>
      <c r="Z34" s="2763"/>
      <c r="AA34" s="2763"/>
      <c r="AB34" s="2763"/>
      <c r="AC34" s="838"/>
      <c r="AD34" s="2763" t="str">
        <f>IF(TITLE_IST_PUB_CHANGE="",IF(TITLE_IST_PUB="","",TITLE_IST_PUB),TITLE_IST_PUB_CHANGE)</f>
        <v>http://pravo.gov.ru</v>
      </c>
      <c r="AE34" s="2763"/>
      <c r="AF34" s="2763"/>
      <c r="AG34" s="2763"/>
      <c r="AH34" s="2763"/>
      <c r="AI34" s="2763"/>
      <c r="AJ34" s="2763"/>
      <c r="AK34" s="2763"/>
      <c r="AL34" s="2763"/>
      <c r="AM34" s="2763"/>
      <c r="AN34" s="2763"/>
      <c r="AO34" s="2763"/>
      <c r="AP34" s="2763"/>
      <c r="AQ34" s="2763"/>
      <c r="AR34" s="2763"/>
      <c r="AS34" s="2763"/>
      <c r="AT34" s="2763"/>
      <c r="AU34" s="2763"/>
      <c r="AV34" s="2763"/>
      <c r="AW34" s="2763"/>
      <c r="AX34" s="2763"/>
      <c r="AY34" s="2763"/>
      <c r="AZ34" s="2763"/>
      <c r="BA34" s="838"/>
      <c r="BB34" s="838"/>
      <c r="BC34" s="792"/>
      <c r="BD34" s="880"/>
      <c r="BE34" s="880"/>
      <c r="BF34" s="880"/>
      <c r="BG34" s="880"/>
      <c r="BH34" s="880"/>
      <c r="BI34" s="930">
        <v>0</v>
      </c>
    </row>
    <row customHeight="1" ht="14.25" hidden="1">
      <c r="Q35" s="803"/>
      <c r="R35" s="888"/>
      <c r="S35" s="1787"/>
      <c r="T35" s="875"/>
      <c r="U35" s="875"/>
      <c r="V35" s="834"/>
      <c r="W35" s="834"/>
      <c r="X35" s="834"/>
      <c r="Y35" s="834"/>
      <c r="Z35" s="834"/>
      <c r="AA35" s="834"/>
      <c r="AB35" s="834"/>
      <c r="AC35" s="834"/>
      <c r="AD35" s="834"/>
      <c r="AE35" s="834"/>
      <c r="AF35" s="834"/>
      <c r="AG35" s="834"/>
      <c r="AH35" s="834"/>
      <c r="AI35" s="834"/>
      <c r="AJ35" s="834"/>
      <c r="AK35" s="834"/>
      <c r="AL35" s="834"/>
      <c r="AM35" s="834"/>
      <c r="AN35" s="834"/>
      <c r="AO35" s="834"/>
      <c r="AP35" s="834"/>
      <c r="AQ35" s="834"/>
      <c r="AR35" s="834"/>
      <c r="AS35" s="834"/>
      <c r="AT35" s="834"/>
      <c r="AU35" s="834"/>
      <c r="AV35" s="834"/>
      <c r="AW35" s="834"/>
      <c r="AX35" s="834"/>
      <c r="AY35" s="834"/>
      <c r="AZ35" s="834"/>
      <c r="BA35" s="834"/>
      <c r="BB35" s="1021"/>
      <c r="BI35" s="1667">
        <v>0</v>
      </c>
    </row>
    <row s="47026" customFormat="1" customHeight="1" ht="18.75" hidden="1">
      <c r="A36" s="1880"/>
      <c r="B36" s="1880"/>
      <c r="C36" s="1880"/>
      <c r="D36" s="1880"/>
      <c r="E36" s="1880"/>
      <c r="F36" s="1880"/>
      <c r="G36" s="1880"/>
      <c r="H36" s="1880"/>
      <c r="I36" s="1880"/>
      <c r="J36" s="1880"/>
      <c r="K36" s="1880"/>
      <c r="L36" s="1881"/>
      <c r="M36" s="1880"/>
      <c r="N36" s="1880"/>
      <c r="O36" s="1880"/>
      <c r="P36" s="1880"/>
      <c r="Q36" s="1880"/>
      <c r="S36" s="2762" t="s">
        <v>539</v>
      </c>
      <c r="T36" s="2762"/>
      <c r="U36" s="1884"/>
      <c r="V36" s="2776" t="str">
        <f>IF(TITLE_DATE_PR_CHANGE="",IF(TITLE_DATE_PR="","",TITLE_DATE_PR),TITLE_DATE_PR_CHANGE)</f>
        <v>45631.495844907404</v>
      </c>
      <c r="W36" s="2776"/>
      <c r="X36" s="2776"/>
      <c r="Y36" s="2776"/>
      <c r="Z36" s="2776"/>
      <c r="AA36" s="2776"/>
      <c r="AB36" s="2776"/>
      <c r="AC36" s="838"/>
      <c r="AD36" s="2776" t="str">
        <f>IF(TITLE_DATE_PR_CHANGE="",IF(TITLE_DATE_PR="","",TITLE_DATE_PR),TITLE_DATE_PR_CHANGE)</f>
        <v>45631.495844907404</v>
      </c>
      <c r="AE36" s="2776"/>
      <c r="AF36" s="2776"/>
      <c r="AG36" s="2776"/>
      <c r="AH36" s="2776"/>
      <c r="AI36" s="2776"/>
      <c r="AJ36" s="2776"/>
      <c r="AK36" s="2776"/>
      <c r="AL36" s="2776"/>
      <c r="AM36" s="2776"/>
      <c r="AN36" s="2776"/>
      <c r="AO36" s="2776"/>
      <c r="AP36" s="2776"/>
      <c r="AQ36" s="2776"/>
      <c r="AR36" s="2776"/>
      <c r="AS36" s="2776"/>
      <c r="AT36" s="2776"/>
      <c r="AU36" s="2776"/>
      <c r="AV36" s="2776"/>
      <c r="AW36" s="2776"/>
      <c r="AX36" s="2776"/>
      <c r="AY36" s="2776"/>
      <c r="AZ36" s="2776"/>
      <c r="BA36" s="838"/>
      <c r="BB36" s="838"/>
      <c r="BC36" s="792"/>
      <c r="BD36" s="880"/>
      <c r="BE36" s="880"/>
      <c r="BF36" s="880"/>
      <c r="BG36" s="880"/>
      <c r="BH36" s="880"/>
      <c r="BI36" s="930">
        <v>0</v>
      </c>
    </row>
    <row s="47026" customFormat="1" customHeight="1" ht="18.75" hidden="1">
      <c r="A37" s="1880"/>
      <c r="B37" s="1880"/>
      <c r="C37" s="1880"/>
      <c r="D37" s="1880"/>
      <c r="E37" s="1880"/>
      <c r="F37" s="1880"/>
      <c r="G37" s="1880"/>
      <c r="H37" s="1880"/>
      <c r="I37" s="1880"/>
      <c r="J37" s="1880"/>
      <c r="K37" s="1880"/>
      <c r="L37" s="1881"/>
      <c r="M37" s="1880"/>
      <c r="N37" s="1880"/>
      <c r="O37" s="1880"/>
      <c r="P37" s="1880"/>
      <c r="Q37" s="1880"/>
      <c r="S37" s="2762" t="s">
        <v>540</v>
      </c>
      <c r="T37" s="2762"/>
      <c r="U37" s="1884"/>
      <c r="V37" s="2763" t="str">
        <f>IF(TITLE_NUMBER_PR_CHANGE="",IF(TITLE_NUMBER_PR="","",TITLE_NUMBER_PR),TITLE_NUMBER_PR_CHANGE)</f>
        <v>53/9</v>
      </c>
      <c r="W37" s="2763"/>
      <c r="X37" s="2763"/>
      <c r="Y37" s="2763"/>
      <c r="Z37" s="2763"/>
      <c r="AA37" s="2763"/>
      <c r="AB37" s="2763"/>
      <c r="AC37" s="838"/>
      <c r="AD37" s="2763" t="str">
        <f>IF(TITLE_NUMBER_PR_CHANGE="",IF(TITLE_NUMBER_PR="","",TITLE_NUMBER_PR),TITLE_NUMBER_PR_CHANGE)</f>
        <v>53/9</v>
      </c>
      <c r="AE37" s="2763"/>
      <c r="AF37" s="2763"/>
      <c r="AG37" s="2763"/>
      <c r="AH37" s="2763"/>
      <c r="AI37" s="2763"/>
      <c r="AJ37" s="2763"/>
      <c r="AK37" s="2763"/>
      <c r="AL37" s="2763"/>
      <c r="AM37" s="2763"/>
      <c r="AN37" s="2763"/>
      <c r="AO37" s="2763"/>
      <c r="AP37" s="2763"/>
      <c r="AQ37" s="2763"/>
      <c r="AR37" s="2763"/>
      <c r="AS37" s="2763"/>
      <c r="AT37" s="2763"/>
      <c r="AU37" s="2763"/>
      <c r="AV37" s="2763"/>
      <c r="AW37" s="2763"/>
      <c r="AX37" s="2763"/>
      <c r="AY37" s="2763"/>
      <c r="AZ37" s="2763"/>
      <c r="BA37" s="838"/>
      <c r="BB37" s="838"/>
      <c r="BC37" s="792"/>
      <c r="BD37" s="880"/>
      <c r="BE37" s="880"/>
      <c r="BF37" s="880"/>
      <c r="BG37" s="880"/>
      <c r="BH37" s="880"/>
      <c r="BI37" s="930">
        <v>0</v>
      </c>
    </row>
    <row s="47026" customFormat="1" customHeight="1" ht="0">
      <c r="A38" s="1880"/>
      <c r="B38" s="1880"/>
      <c r="C38" s="1880"/>
      <c r="D38" s="1880"/>
      <c r="E38" s="1880"/>
      <c r="F38" s="1880"/>
      <c r="G38" s="1880"/>
      <c r="H38" s="1880"/>
      <c r="I38" s="1880"/>
      <c r="J38" s="1880"/>
      <c r="K38" s="1880"/>
      <c r="L38" s="1881"/>
      <c r="M38" s="1880"/>
      <c r="N38" s="1880"/>
      <c r="O38" s="1880"/>
      <c r="P38" s="1880"/>
      <c r="Q38" s="1880"/>
      <c r="S38" s="835"/>
      <c r="T38" s="835"/>
      <c r="U38" s="2000"/>
      <c r="V38" s="838"/>
      <c r="W38" s="838"/>
      <c r="X38" s="838"/>
      <c r="Y38" s="838"/>
      <c r="Z38" s="838"/>
      <c r="AA38" s="838"/>
      <c r="AB38" s="838"/>
      <c r="AC38" s="790" t="s">
        <v>543</v>
      </c>
      <c r="AD38" s="838"/>
      <c r="AE38" s="838"/>
      <c r="AF38" s="838"/>
      <c r="AG38" s="838"/>
      <c r="AH38" s="838"/>
      <c r="AI38" s="838"/>
      <c r="AJ38" s="838"/>
      <c r="AK38" s="838"/>
      <c r="AL38" s="838"/>
      <c r="AM38" s="838"/>
      <c r="AN38" s="838"/>
      <c r="AO38" s="838"/>
      <c r="AP38" s="838"/>
      <c r="AQ38" s="838"/>
      <c r="AR38" s="838"/>
      <c r="AS38" s="838"/>
      <c r="AT38" s="838"/>
      <c r="AU38" s="838"/>
      <c r="AV38" s="838"/>
      <c r="AW38" s="838"/>
      <c r="AX38" s="838"/>
      <c r="AY38" s="838"/>
      <c r="AZ38" s="838"/>
      <c r="BA38" s="790" t="s">
        <v>543</v>
      </c>
      <c r="BD38" s="880"/>
      <c r="BE38" s="880"/>
      <c r="BF38" s="880"/>
      <c r="BG38" s="880"/>
      <c r="BH38" s="880"/>
      <c r="BI38" s="930">
        <v>0</v>
      </c>
    </row>
    <row customHeight="1" ht="14.699999999999998">
      <c r="Q39" s="803"/>
      <c r="R39" s="888"/>
      <c r="S39" s="1787"/>
      <c r="T39" s="875"/>
      <c r="U39" s="1756"/>
      <c r="V39" s="2764"/>
      <c r="W39" s="2764"/>
      <c r="X39" s="2764"/>
      <c r="Y39" s="2764"/>
      <c r="Z39" s="2764"/>
      <c r="AA39" s="2764"/>
      <c r="AB39" s="2764"/>
      <c r="AC39" s="2764"/>
      <c r="AD39" s="2764"/>
      <c r="AE39" s="2764"/>
      <c r="AF39" s="2764"/>
      <c r="AG39" s="2764"/>
      <c r="AH39" s="2764"/>
      <c r="AI39" s="2764"/>
      <c r="AJ39" s="2764"/>
      <c r="AK39" s="2764"/>
      <c r="AL39" s="2764"/>
      <c r="AM39" s="2764"/>
      <c r="AN39" s="2764"/>
      <c r="AO39" s="2764"/>
      <c r="AP39" s="2764"/>
      <c r="AQ39" s="2764"/>
      <c r="AR39" s="2764"/>
      <c r="AS39" s="2764"/>
      <c r="AT39" s="2764"/>
      <c r="AU39" s="2764"/>
      <c r="AV39" s="2764"/>
      <c r="AW39" s="2764"/>
      <c r="AX39" s="2764"/>
      <c r="AY39" s="2764"/>
      <c r="AZ39" s="2764"/>
      <c r="BA39" s="2764"/>
      <c r="BI39" s="1667">
        <v>14</v>
      </c>
    </row>
    <row customHeight="1" ht="14.699999999999998">
      <c r="Q40" s="803"/>
      <c r="R40" s="888"/>
      <c r="S40" s="2639" t="s">
        <v>418</v>
      </c>
      <c r="T40" s="2639"/>
      <c r="U40" s="2639"/>
      <c r="V40" s="2639"/>
      <c r="W40" s="2639"/>
      <c r="X40" s="2639"/>
      <c r="Y40" s="2639"/>
      <c r="Z40" s="2639"/>
      <c r="AA40" s="2639"/>
      <c r="AB40" s="2639"/>
      <c r="AC40" s="2639"/>
      <c r="AD40" s="2639"/>
      <c r="AE40" s="2639"/>
      <c r="AF40" s="2639"/>
      <c r="AG40" s="2639"/>
      <c r="AH40" s="2639"/>
      <c r="AI40" s="2639"/>
      <c r="AJ40" s="2639"/>
      <c r="AK40" s="2639"/>
      <c r="AL40" s="2639"/>
      <c r="AM40" s="2639"/>
      <c r="AN40" s="2639"/>
      <c r="AO40" s="2639"/>
      <c r="AP40" s="2639"/>
      <c r="AQ40" s="2639"/>
      <c r="AR40" s="2639"/>
      <c r="AS40" s="2639"/>
      <c r="AT40" s="2639"/>
      <c r="AU40" s="2639"/>
      <c r="AV40" s="2639"/>
      <c r="AW40" s="2639"/>
      <c r="AX40" s="2639"/>
      <c r="AY40" s="2639"/>
      <c r="AZ40" s="2639"/>
      <c r="BA40" s="2639"/>
      <c r="BB40" s="2639"/>
      <c r="BC40" s="2639" t="s">
        <v>419</v>
      </c>
      <c r="BI40" s="1667">
        <v>14</v>
      </c>
    </row>
    <row customHeight="1" ht="14.699999999999998">
      <c r="Q41" s="803"/>
      <c r="R41" s="888"/>
      <c r="S41" s="2785" t="s">
        <v>90</v>
      </c>
      <c r="T41" s="2721" t="s">
        <v>622</v>
      </c>
      <c r="U41" s="813"/>
      <c r="V41" s="2786" t="s">
        <v>545</v>
      </c>
      <c r="W41" s="2787"/>
      <c r="X41" s="2787"/>
      <c r="Y41" s="2787"/>
      <c r="Z41" s="2787"/>
      <c r="AA41" s="2787"/>
      <c r="AB41" s="2788"/>
      <c r="AC41" s="2789" t="s">
        <v>546</v>
      </c>
      <c r="AD41" s="2840" t="s">
        <v>641</v>
      </c>
      <c r="AE41" s="2803"/>
      <c r="AF41" s="2803"/>
      <c r="AG41" s="2841"/>
      <c r="AH41" s="2840" t="s">
        <v>642</v>
      </c>
      <c r="AI41" s="2803"/>
      <c r="AJ41" s="2803"/>
      <c r="AK41" s="2841"/>
      <c r="AL41" s="2840" t="s">
        <v>643</v>
      </c>
      <c r="AM41" s="2803"/>
      <c r="AN41" s="2803"/>
      <c r="AO41" s="2841"/>
      <c r="AP41" s="2840" t="s">
        <v>626</v>
      </c>
      <c r="AQ41" s="2803"/>
      <c r="AR41" s="2803"/>
      <c r="AS41" s="2841"/>
      <c r="AT41" s="2786" t="s">
        <v>545</v>
      </c>
      <c r="AU41" s="2787"/>
      <c r="AV41" s="2787"/>
      <c r="AW41" s="2787"/>
      <c r="AX41" s="2787"/>
      <c r="AY41" s="2787"/>
      <c r="AZ41" s="2788"/>
      <c r="BA41" s="2789" t="s">
        <v>546</v>
      </c>
      <c r="BB41" s="2792" t="s">
        <v>548</v>
      </c>
      <c r="BC41" s="2639"/>
      <c r="BI41" s="1667">
        <v>14</v>
      </c>
    </row>
    <row customHeight="1" ht="35.699999999999996">
      <c r="Q42" s="803"/>
      <c r="R42" s="888"/>
      <c r="S42" s="2785"/>
      <c r="T42" s="2721"/>
      <c r="U42" s="1543"/>
      <c r="V42" s="2704" t="s">
        <v>627</v>
      </c>
      <c r="W42" s="2705"/>
      <c r="X42" s="2704" t="s">
        <v>628</v>
      </c>
      <c r="Y42" s="2705"/>
      <c r="Z42" s="2806" t="s">
        <v>629</v>
      </c>
      <c r="AA42" s="2825"/>
      <c r="AB42" s="2826"/>
      <c r="AC42" s="2790"/>
      <c r="AD42" s="2842"/>
      <c r="AE42" s="2843"/>
      <c r="AF42" s="2843"/>
      <c r="AG42" s="2844"/>
      <c r="AH42" s="2842"/>
      <c r="AI42" s="2843"/>
      <c r="AJ42" s="2843"/>
      <c r="AK42" s="2844"/>
      <c r="AL42" s="2842"/>
      <c r="AM42" s="2843"/>
      <c r="AN42" s="2843"/>
      <c r="AO42" s="2844"/>
      <c r="AP42" s="2842"/>
      <c r="AQ42" s="2843"/>
      <c r="AR42" s="2843"/>
      <c r="AS42" s="2844"/>
      <c r="AT42" s="2704" t="s">
        <v>644</v>
      </c>
      <c r="AU42" s="2705"/>
      <c r="AV42" s="2704" t="s">
        <v>645</v>
      </c>
      <c r="AW42" s="2705"/>
      <c r="AX42" s="2806" t="s">
        <v>629</v>
      </c>
      <c r="AY42" s="2825"/>
      <c r="AZ42" s="2826"/>
      <c r="BA42" s="2790"/>
      <c r="BB42" s="2793"/>
      <c r="BC42" s="2639"/>
      <c r="BI42" s="1667">
        <v>34</v>
      </c>
    </row>
    <row customHeight="1" ht="14.699999999999998">
      <c r="Q43" s="803"/>
      <c r="R43" s="888"/>
      <c r="S43" s="2785"/>
      <c r="T43" s="2721"/>
      <c r="U43" s="1543"/>
      <c r="V43" s="2712"/>
      <c r="W43" s="2713"/>
      <c r="X43" s="2712"/>
      <c r="Y43" s="2713"/>
      <c r="Z43" s="2807"/>
      <c r="AA43" s="2827"/>
      <c r="AB43" s="2828"/>
      <c r="AC43" s="2790"/>
      <c r="AD43" s="2842"/>
      <c r="AE43" s="2843"/>
      <c r="AF43" s="2843"/>
      <c r="AG43" s="2844"/>
      <c r="AH43" s="2842"/>
      <c r="AI43" s="2843"/>
      <c r="AJ43" s="2843"/>
      <c r="AK43" s="2844"/>
      <c r="AL43" s="2842"/>
      <c r="AM43" s="2843"/>
      <c r="AN43" s="2843"/>
      <c r="AO43" s="2844"/>
      <c r="AP43" s="2842"/>
      <c r="AQ43" s="2843"/>
      <c r="AR43" s="2843"/>
      <c r="AS43" s="2844"/>
      <c r="AT43" s="2712"/>
      <c r="AU43" s="2713"/>
      <c r="AV43" s="2712"/>
      <c r="AW43" s="2713"/>
      <c r="AX43" s="2807"/>
      <c r="AY43" s="2827"/>
      <c r="AZ43" s="2828"/>
      <c r="BA43" s="2790"/>
      <c r="BB43" s="2793"/>
      <c r="BC43" s="2639"/>
      <c r="BI43" s="1667">
        <v>14</v>
      </c>
    </row>
    <row customHeight="1" ht="14.699999999999998">
      <c r="A44" s="1882"/>
      <c r="B44" s="1882" t="s">
        <v>191</v>
      </c>
      <c r="C44" s="1882" t="s">
        <v>192</v>
      </c>
      <c r="D44" s="1882" t="s">
        <v>193</v>
      </c>
      <c r="E44" s="1876" t="s">
        <v>553</v>
      </c>
      <c r="F44" s="1876" t="s">
        <v>554</v>
      </c>
      <c r="G44" s="1876" t="s">
        <v>555</v>
      </c>
      <c r="H44" s="1876" t="s">
        <v>556</v>
      </c>
      <c r="I44" s="1876" t="s">
        <v>557</v>
      </c>
      <c r="J44" s="1876" t="s">
        <v>558</v>
      </c>
      <c r="K44" s="1876" t="s">
        <v>559</v>
      </c>
      <c r="L44" s="1876" t="s">
        <v>534</v>
      </c>
      <c r="Q44" s="803"/>
      <c r="R44" s="888"/>
      <c r="S44" s="2785"/>
      <c r="T44" s="2721"/>
      <c r="U44" s="814"/>
      <c r="V44" s="1991" t="s">
        <v>593</v>
      </c>
      <c r="W44" s="1991" t="s">
        <v>594</v>
      </c>
      <c r="X44" s="1991" t="s">
        <v>593</v>
      </c>
      <c r="Y44" s="1991" t="s">
        <v>594</v>
      </c>
      <c r="Z44" s="2001" t="s">
        <v>562</v>
      </c>
      <c r="AA44" s="2782" t="s">
        <v>563</v>
      </c>
      <c r="AB44" s="2783"/>
      <c r="AC44" s="2791"/>
      <c r="AD44" s="2845"/>
      <c r="AE44" s="2846"/>
      <c r="AF44" s="2846"/>
      <c r="AG44" s="2847"/>
      <c r="AH44" s="2845"/>
      <c r="AI44" s="2846"/>
      <c r="AJ44" s="2846"/>
      <c r="AK44" s="2847"/>
      <c r="AL44" s="2845"/>
      <c r="AM44" s="2846"/>
      <c r="AN44" s="2846"/>
      <c r="AO44" s="2847"/>
      <c r="AP44" s="2845"/>
      <c r="AQ44" s="2846"/>
      <c r="AR44" s="2846"/>
      <c r="AS44" s="2847"/>
      <c r="AT44" s="1991" t="s">
        <v>593</v>
      </c>
      <c r="AU44" s="1991" t="s">
        <v>594</v>
      </c>
      <c r="AV44" s="1991" t="s">
        <v>593</v>
      </c>
      <c r="AW44" s="1991" t="s">
        <v>594</v>
      </c>
      <c r="AX44" s="2001" t="s">
        <v>562</v>
      </c>
      <c r="AY44" s="2782" t="s">
        <v>563</v>
      </c>
      <c r="AZ44" s="2783"/>
      <c r="BA44" s="2791"/>
      <c r="BB44" s="2794"/>
      <c r="BC44" s="2639"/>
      <c r="BI44" s="1667">
        <v>14</v>
      </c>
    </row>
    <row s="47496" customFormat="1" customHeight="1" ht="11.25" hidden="1">
      <c r="A45" s="1882"/>
      <c r="B45" s="1882"/>
      <c r="C45" s="1882"/>
      <c r="D45" s="1882"/>
      <c r="E45" s="1882"/>
      <c r="F45" s="1882"/>
      <c r="G45" s="1882"/>
      <c r="H45" s="1882"/>
      <c r="I45" s="1882"/>
      <c r="J45" s="1882"/>
      <c r="K45" s="1882"/>
      <c r="L45" s="1876"/>
      <c r="M45" s="1874"/>
      <c r="N45" s="1874"/>
      <c r="O45" s="1874"/>
      <c r="P45" s="1022"/>
      <c r="Q45" s="1766"/>
      <c r="R45" s="1766">
        <v>1</v>
      </c>
      <c r="S45" s="1789" t="s">
        <v>101</v>
      </c>
      <c r="T45" s="1767" t="s">
        <v>105</v>
      </c>
      <c r="U45" s="1757" t="str">
        <f>OFFSET(U45,0,-1)</f>
        <v>2</v>
      </c>
      <c r="V45" s="1994">
        <f>OFFSET(V45,0,-1)+1</f>
        <v>3</v>
      </c>
      <c r="W45" s="1994">
        <f>OFFSET(W45,0,-1)+1</f>
        <v>4</v>
      </c>
      <c r="X45" s="1994">
        <f>OFFSET(X45,0,-1)+1</f>
        <v>5</v>
      </c>
      <c r="Y45" s="1994">
        <f>OFFSET(Y45,0,-1)+1</f>
        <v>6</v>
      </c>
      <c r="Z45" s="1994">
        <f>OFFSET(Z45,0,-1)+1</f>
        <v>7</v>
      </c>
      <c r="AA45" s="2784">
        <f>OFFSET(AA45,0,-1)+1</f>
        <v>8</v>
      </c>
      <c r="AB45" s="2784"/>
      <c r="AC45" s="1994">
        <f>OFFSET(AC45,0,-2)+1</f>
        <v>9</v>
      </c>
      <c r="AD45" s="1994">
        <f>OFFSET(AD45,0,-1)+1</f>
        <v>10</v>
      </c>
      <c r="AE45" s="1994"/>
      <c r="AF45" s="1994"/>
      <c r="AG45" s="1994"/>
      <c r="AH45" s="1994"/>
      <c r="AI45" s="1994"/>
      <c r="AJ45" s="1994"/>
      <c r="AK45" s="1994"/>
      <c r="AL45" s="1994"/>
      <c r="AM45" s="1994"/>
      <c r="AN45" s="1994"/>
      <c r="AO45" s="1994"/>
      <c r="AP45" s="1994"/>
      <c r="AQ45" s="1994"/>
      <c r="AR45" s="1994"/>
      <c r="AS45" s="1994"/>
      <c r="AT45" s="1994"/>
      <c r="AU45" s="1994"/>
      <c r="AV45" s="1994"/>
      <c r="AW45" s="1994">
        <f>OFFSET(AW45,0,-1)+1</f>
        <v>1</v>
      </c>
      <c r="AX45" s="1994">
        <f>OFFSET(AX45,0,-1)+1</f>
        <v>2</v>
      </c>
      <c r="AY45" s="2784">
        <f>OFFSET(AY45,0,-1)+1</f>
        <v>3</v>
      </c>
      <c r="AZ45" s="2784"/>
      <c r="BA45" s="1994">
        <f>OFFSET(BA45,0,-2)+1</f>
        <v>4</v>
      </c>
      <c r="BB45" s="1757">
        <f>OFFSET(BB45,0,-1)</f>
        <v>4</v>
      </c>
      <c r="BC45" s="1994">
        <f>OFFSET(BC45,0,-1)+1</f>
        <v>5</v>
      </c>
      <c r="BD45" s="1023"/>
      <c r="BE45" s="1023"/>
      <c r="BF45" s="1023"/>
      <c r="BG45" s="1023"/>
      <c r="BH45" s="1023"/>
      <c r="BI45" s="1008">
        <v>0</v>
      </c>
    </row>
    <row customHeight="1" ht="22.049999999999997">
      <c r="A46" s="1875" t="s">
        <v>394</v>
      </c>
      <c r="B46" s="1875"/>
      <c r="C46" s="1875"/>
      <c r="D46" s="1875"/>
      <c r="E46" s="2770">
        <v>1</v>
      </c>
      <c r="F46" s="1875"/>
      <c r="G46" s="1875"/>
      <c r="H46" s="1875"/>
      <c r="I46" s="1875"/>
      <c r="J46" s="1875"/>
      <c r="K46" s="1875"/>
      <c r="L46" s="1876"/>
      <c r="M46" s="1877"/>
      <c r="N46" s="1877"/>
      <c r="O46" s="1877"/>
      <c r="P46" s="1921"/>
      <c r="Q46" s="1385"/>
      <c r="R46" s="867"/>
      <c r="S46" s="2005">
        <f>INDEX(PT_DIFFERENTIATION_NUM_NTAR,MATCH(A46,PT_DIFFERENTIATION_NTAR_ID,0))</f>
        <v>0</v>
      </c>
      <c r="T46" s="810" t="s">
        <v>179</v>
      </c>
      <c r="U46" s="812"/>
      <c r="V46" s="2755"/>
      <c r="W46" s="2755"/>
      <c r="X46" s="2755"/>
      <c r="Y46" s="2755"/>
      <c r="Z46" s="2755"/>
      <c r="AA46" s="2755"/>
      <c r="AB46" s="2755"/>
      <c r="AC46" s="2756"/>
      <c r="AD46" s="2754" t="str">
        <f>INDEX(PT_DIFFERENTIATION_NTAR,MATCH(A46,PT_DIFFERENTIATION_NTAR_ID,0))</f>
        <v/>
      </c>
      <c r="AE46" s="2755"/>
      <c r="AF46" s="2755"/>
      <c r="AG46" s="2755"/>
      <c r="AH46" s="2755"/>
      <c r="AI46" s="2755"/>
      <c r="AJ46" s="2755"/>
      <c r="AK46" s="2755"/>
      <c r="AL46" s="2755"/>
      <c r="AM46" s="2755"/>
      <c r="AN46" s="2755"/>
      <c r="AO46" s="2755"/>
      <c r="AP46" s="2755"/>
      <c r="AQ46" s="2755"/>
      <c r="AR46" s="2755"/>
      <c r="AS46" s="2755"/>
      <c r="AT46" s="2755"/>
      <c r="AU46" s="2755"/>
      <c r="AV46" s="2755"/>
      <c r="AW46" s="2755"/>
      <c r="AX46" s="2755"/>
      <c r="AY46" s="2755"/>
      <c r="AZ46" s="2755"/>
      <c r="BA46" s="2755"/>
      <c r="BB46" s="2756"/>
      <c r="BC46"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1012"/>
      <c r="BF46" s="1012" t="str">
        <f>IF(T46="","",T46)</f>
        <v>Наименование тарифа</v>
      </c>
      <c r="BG46" s="1012"/>
      <c r="BH46" s="1012"/>
      <c r="BI46" s="1667">
        <v>21</v>
      </c>
    </row>
    <row customHeight="1" ht="22.049999999999997">
      <c r="A47" s="1875" t="s">
        <v>394</v>
      </c>
      <c r="B47" s="1875" t="s">
        <v>395</v>
      </c>
      <c r="C47" s="1875"/>
      <c r="D47" s="1875"/>
      <c r="E47" s="2771"/>
      <c r="F47" s="2770">
        <v>1</v>
      </c>
      <c r="G47" s="1875"/>
      <c r="H47" s="1875"/>
      <c r="I47" s="1875"/>
      <c r="J47" s="1875"/>
      <c r="K47" s="1875"/>
      <c r="L47" s="1876"/>
      <c r="M47" s="1877"/>
      <c r="N47" s="1877"/>
      <c r="O47" s="1877"/>
      <c r="P47" s="1922"/>
      <c r="Q47" s="1923"/>
      <c r="R47" s="865"/>
      <c r="S47" s="2005" t="str">
        <f>INDEX(PT_DIFFERENTIATION_NUM_TER,MATCH(B47,PT_DIFFERENTIATION_TER_ID,0))</f>
        <v>.</v>
      </c>
      <c r="T47" s="820" t="s">
        <v>515</v>
      </c>
      <c r="U47" s="812"/>
      <c r="V47" s="2755"/>
      <c r="W47" s="2755"/>
      <c r="X47" s="2755"/>
      <c r="Y47" s="2755"/>
      <c r="Z47" s="2755"/>
      <c r="AA47" s="2755"/>
      <c r="AB47" s="2755"/>
      <c r="AC47" s="2756"/>
      <c r="AD47" s="2754" t="str">
        <f>INDEX(PT_DIFFERENTIATION_TER,MATCH(B47,PT_DIFFERENTIATION_TER_ID,0))</f>
        <v/>
      </c>
      <c r="AE47" s="2755"/>
      <c r="AF47" s="2755"/>
      <c r="AG47" s="2755"/>
      <c r="AH47" s="2755"/>
      <c r="AI47" s="2755"/>
      <c r="AJ47" s="2755"/>
      <c r="AK47" s="2755"/>
      <c r="AL47" s="2755"/>
      <c r="AM47" s="2755"/>
      <c r="AN47" s="2755"/>
      <c r="AO47" s="2755"/>
      <c r="AP47" s="2755"/>
      <c r="AQ47" s="2755"/>
      <c r="AR47" s="2755"/>
      <c r="AS47" s="2755"/>
      <c r="AT47" s="2755"/>
      <c r="AU47" s="2755"/>
      <c r="AV47" s="2755"/>
      <c r="AW47" s="2755"/>
      <c r="AX47" s="2755"/>
      <c r="AY47" s="2755"/>
      <c r="AZ47" s="2755"/>
      <c r="BA47" s="2755"/>
      <c r="BB47" s="2756"/>
      <c r="BC47" s="1770" t="s">
        <v>516</v>
      </c>
      <c r="BE47" s="1012"/>
      <c r="BF47" s="1012" t="str">
        <f>IF(T47="","",T47)</f>
        <v>Территория действия тарифа</v>
      </c>
      <c r="BG47" s="1012"/>
      <c r="BH47" s="1012"/>
      <c r="BI47" s="1667">
        <v>21</v>
      </c>
    </row>
    <row customHeight="1" ht="35.699999999999996">
      <c r="A48" s="1875" t="s">
        <v>394</v>
      </c>
      <c r="B48" s="1875" t="s">
        <v>395</v>
      </c>
      <c r="C48" s="1875" t="s">
        <v>396</v>
      </c>
      <c r="D48" s="1875"/>
      <c r="E48" s="2771"/>
      <c r="F48" s="2771"/>
      <c r="G48" s="2770">
        <v>1</v>
      </c>
      <c r="H48" s="1875"/>
      <c r="I48" s="1875"/>
      <c r="J48" s="1875"/>
      <c r="K48" s="1875"/>
      <c r="L48" s="1876"/>
      <c r="M48" s="1877"/>
      <c r="N48" s="1877"/>
      <c r="O48" s="1877"/>
      <c r="P48" s="1924"/>
      <c r="Q48" s="1923"/>
      <c r="R48" s="865"/>
      <c r="S48" s="2005" t="str">
        <f>INDEX(PT_DIFFERENTIATION_NUM_CS,MATCH(C48,PT_DIFFERENTIATION_CS_ID,0))</f>
        <v>..</v>
      </c>
      <c r="T48" s="821" t="s">
        <v>631</v>
      </c>
      <c r="U48" s="812"/>
      <c r="V48" s="2755"/>
      <c r="W48" s="2755"/>
      <c r="X48" s="2755"/>
      <c r="Y48" s="2755"/>
      <c r="Z48" s="2755"/>
      <c r="AA48" s="2755"/>
      <c r="AB48" s="2755"/>
      <c r="AC48" s="2756"/>
      <c r="AD48" s="2754" t="str">
        <f>INDEX(PT_DIFFERENTIATION_CS,MATCH(C48,PT_DIFFERENTIATION_CS_ID,0))</f>
        <v/>
      </c>
      <c r="AE48" s="2755"/>
      <c r="AF48" s="2755"/>
      <c r="AG48" s="2755"/>
      <c r="AH48" s="2755"/>
      <c r="AI48" s="2755"/>
      <c r="AJ48" s="2755"/>
      <c r="AK48" s="2755"/>
      <c r="AL48" s="2755"/>
      <c r="AM48" s="2755"/>
      <c r="AN48" s="2755"/>
      <c r="AO48" s="2755"/>
      <c r="AP48" s="2755"/>
      <c r="AQ48" s="2755"/>
      <c r="AR48" s="2755"/>
      <c r="AS48" s="2755"/>
      <c r="AT48" s="2755"/>
      <c r="AU48" s="2755"/>
      <c r="AV48" s="2755"/>
      <c r="AW48" s="2755"/>
      <c r="AX48" s="2755"/>
      <c r="AY48" s="2755"/>
      <c r="AZ48" s="2755"/>
      <c r="BA48" s="2755"/>
      <c r="BB48" s="2756"/>
      <c r="BC48" s="1770" t="s">
        <v>632</v>
      </c>
      <c r="BE48" s="1012"/>
      <c r="BF48" s="1012" t="str">
        <f>IF(T48="","",T48)</f>
        <v>Наименование централизованной системы водоотведения</v>
      </c>
      <c r="BG48" s="1012"/>
      <c r="BH48" s="1012"/>
      <c r="BI48" s="1667">
        <v>34</v>
      </c>
    </row>
    <row s="46890" customFormat="1" customHeight="1" ht="0">
      <c r="A49" s="1855" t="s">
        <v>394</v>
      </c>
      <c r="B49" s="1855" t="s">
        <v>395</v>
      </c>
      <c r="C49" s="1855" t="s">
        <v>396</v>
      </c>
      <c r="D49" s="1855" t="s">
        <v>646</v>
      </c>
      <c r="E49" s="2771"/>
      <c r="F49" s="2771"/>
      <c r="G49" s="2771"/>
      <c r="H49" s="2770">
        <v>1</v>
      </c>
      <c r="I49" s="1855"/>
      <c r="J49" s="1855"/>
      <c r="K49" s="1855"/>
      <c r="L49" s="1858"/>
      <c r="M49" s="1827"/>
      <c r="N49" s="1827"/>
      <c r="O49" s="1827"/>
      <c r="P49" s="2009"/>
      <c r="Q49" s="2010"/>
      <c r="R49" s="869"/>
      <c r="S49" s="1554"/>
      <c r="T49" s="2011"/>
      <c r="U49" s="1896"/>
      <c r="V49" s="2809"/>
      <c r="W49" s="2809"/>
      <c r="X49" s="2809"/>
      <c r="Y49" s="2809"/>
      <c r="Z49" s="2809"/>
      <c r="AA49" s="2809"/>
      <c r="AB49" s="2809"/>
      <c r="AC49" s="2810"/>
      <c r="AD49" s="2808"/>
      <c r="AE49" s="2809"/>
      <c r="AF49" s="2809"/>
      <c r="AG49" s="2809"/>
      <c r="AH49" s="2809"/>
      <c r="AI49" s="2809"/>
      <c r="AJ49" s="2809"/>
      <c r="AK49" s="2809"/>
      <c r="AL49" s="2809"/>
      <c r="AM49" s="2809"/>
      <c r="AN49" s="2809"/>
      <c r="AO49" s="2809"/>
      <c r="AP49" s="2809"/>
      <c r="AQ49" s="2809"/>
      <c r="AR49" s="2809"/>
      <c r="AS49" s="2809"/>
      <c r="AT49" s="2809"/>
      <c r="AU49" s="2809"/>
      <c r="AV49" s="2809"/>
      <c r="AW49" s="2809"/>
      <c r="AX49" s="2809"/>
      <c r="AY49" s="2809"/>
      <c r="AZ49" s="2809"/>
      <c r="BA49" s="2809"/>
      <c r="BB49" s="2810"/>
      <c r="BC49" s="1897" t="s">
        <v>520</v>
      </c>
      <c r="BE49" s="1012"/>
      <c r="BF49" s="1012" t="str">
        <f>IF(T49="","",T49)</f>
        <v/>
      </c>
      <c r="BG49" s="1012"/>
      <c r="BH49" s="1012"/>
      <c r="BI49" s="1023">
        <v>0</v>
      </c>
    </row>
    <row s="46890" customFormat="1" customHeight="1" ht="0">
      <c r="A50" s="1855" t="s">
        <v>394</v>
      </c>
      <c r="B50" s="1855" t="s">
        <v>395</v>
      </c>
      <c r="C50" s="1855" t="s">
        <v>396</v>
      </c>
      <c r="D50" s="1855" t="s">
        <v>646</v>
      </c>
      <c r="E50" s="2771"/>
      <c r="F50" s="2771"/>
      <c r="G50" s="2771"/>
      <c r="H50" s="2771"/>
      <c r="I50" s="2768" t="str">
        <f>S49&amp;".1"</f>
        <v>.1</v>
      </c>
      <c r="J50" s="1855"/>
      <c r="K50" s="1855"/>
      <c r="L50" s="1858" t="s">
        <v>521</v>
      </c>
      <c r="M50" s="1022"/>
      <c r="N50" s="1022"/>
      <c r="O50" s="1022"/>
      <c r="P50" s="2769">
        <v>1</v>
      </c>
      <c r="Q50" s="1993"/>
      <c r="R50" s="868"/>
      <c r="S50" s="1554"/>
      <c r="T50" s="1895"/>
      <c r="U50" s="1896"/>
      <c r="V50" s="2809"/>
      <c r="W50" s="2809"/>
      <c r="X50" s="2809"/>
      <c r="Y50" s="2809"/>
      <c r="Z50" s="2809"/>
      <c r="AA50" s="2809"/>
      <c r="AB50" s="2809"/>
      <c r="AC50" s="2810"/>
      <c r="AD50" s="2808"/>
      <c r="AE50" s="2809"/>
      <c r="AF50" s="2809"/>
      <c r="AG50" s="2809"/>
      <c r="AH50" s="2809"/>
      <c r="AI50" s="2809"/>
      <c r="AJ50" s="2809"/>
      <c r="AK50" s="2809"/>
      <c r="AL50" s="2809"/>
      <c r="AM50" s="2809"/>
      <c r="AN50" s="2809"/>
      <c r="AO50" s="2809"/>
      <c r="AP50" s="2809"/>
      <c r="AQ50" s="2809"/>
      <c r="AR50" s="2809"/>
      <c r="AS50" s="2809"/>
      <c r="AT50" s="2809"/>
      <c r="AU50" s="2809"/>
      <c r="AV50" s="2809"/>
      <c r="AW50" s="2809"/>
      <c r="AX50" s="2809"/>
      <c r="AY50" s="2809"/>
      <c r="AZ50" s="2809"/>
      <c r="BA50" s="2809"/>
      <c r="BB50" s="2810"/>
      <c r="BC50" s="1897"/>
      <c r="BE50" s="1012"/>
      <c r="BF50" s="1012" t="str">
        <f>IF(T50="","",T50)</f>
        <v/>
      </c>
      <c r="BG50" s="1012"/>
      <c r="BH50" s="1012"/>
      <c r="BI50" s="1023">
        <v>0</v>
      </c>
    </row>
    <row s="46890" customFormat="1" customHeight="1" ht="0">
      <c r="A51" s="1855" t="s">
        <v>394</v>
      </c>
      <c r="B51" s="1855" t="s">
        <v>395</v>
      </c>
      <c r="C51" s="1855" t="s">
        <v>396</v>
      </c>
      <c r="D51" s="1855" t="s">
        <v>646</v>
      </c>
      <c r="E51" s="2771"/>
      <c r="F51" s="2771"/>
      <c r="G51" s="2771"/>
      <c r="H51" s="2771"/>
      <c r="I51" s="2798"/>
      <c r="J51" s="2768" t="str">
        <f>S49&amp;".1"</f>
        <v>.1</v>
      </c>
      <c r="K51" s="1855"/>
      <c r="L51" s="1858"/>
      <c r="M51" s="1022"/>
      <c r="N51" s="1022"/>
      <c r="O51" s="1022"/>
      <c r="P51" s="2769"/>
      <c r="Q51" s="2769">
        <v>1</v>
      </c>
      <c r="R51" s="869"/>
      <c r="S51" s="1554"/>
      <c r="T51" s="1911"/>
      <c r="U51" s="1896"/>
      <c r="V51" s="2809"/>
      <c r="W51" s="2809"/>
      <c r="X51" s="2809"/>
      <c r="Y51" s="2809"/>
      <c r="Z51" s="2809"/>
      <c r="AA51" s="2809"/>
      <c r="AB51" s="2809"/>
      <c r="AC51" s="2810"/>
      <c r="AD51" s="2808"/>
      <c r="AE51" s="2809"/>
      <c r="AF51" s="2809"/>
      <c r="AG51" s="2809"/>
      <c r="AH51" s="2809"/>
      <c r="AI51" s="2809"/>
      <c r="AJ51" s="2809"/>
      <c r="AK51" s="2809"/>
      <c r="AL51" s="2809"/>
      <c r="AM51" s="2809"/>
      <c r="AN51" s="2876"/>
      <c r="AO51" s="2876"/>
      <c r="AP51" s="2809"/>
      <c r="AQ51" s="2809"/>
      <c r="AR51" s="2809"/>
      <c r="AS51" s="2809"/>
      <c r="AT51" s="2809"/>
      <c r="AU51" s="2809"/>
      <c r="AV51" s="2809"/>
      <c r="AW51" s="2809"/>
      <c r="AX51" s="2809"/>
      <c r="AY51" s="2809"/>
      <c r="AZ51" s="2809"/>
      <c r="BA51" s="2809"/>
      <c r="BB51" s="2810"/>
      <c r="BC51" s="1897"/>
      <c r="BE51" s="1012"/>
      <c r="BF51" s="1012" t="str">
        <f>IF(T51="","",T51)</f>
        <v/>
      </c>
      <c r="BG51" s="1012"/>
      <c r="BH51" s="1012"/>
      <c r="BI51" s="1023">
        <v>0</v>
      </c>
    </row>
    <row customHeight="1" ht="11.549999999999999">
      <c r="A52" s="1875" t="s">
        <v>394</v>
      </c>
      <c r="B52" s="1875" t="s">
        <v>395</v>
      </c>
      <c r="C52" s="1875" t="s">
        <v>396</v>
      </c>
      <c r="D52" s="1875" t="s">
        <v>646</v>
      </c>
      <c r="E52" s="2771"/>
      <c r="F52" s="2771"/>
      <c r="G52" s="2771"/>
      <c r="H52" s="2771"/>
      <c r="I52" s="2798"/>
      <c r="J52" s="2798"/>
      <c r="K52" s="2768" t="str">
        <f>S48&amp;".1"</f>
        <v>...1</v>
      </c>
      <c r="L52" s="1876"/>
      <c r="P52" s="2769"/>
      <c r="Q52" s="2769"/>
      <c r="R52" s="869">
        <v>1</v>
      </c>
      <c r="S52" s="2853" t="str">
        <f>$K52</f>
        <v>...1</v>
      </c>
      <c r="T52" s="2872"/>
      <c r="U52" s="812"/>
      <c r="V52" s="1263"/>
      <c r="W52" s="1769"/>
      <c r="X52" s="1263"/>
      <c r="Y52" s="1769"/>
      <c r="Z52" s="2246"/>
      <c r="AA52" s="1981" t="s">
        <v>63</v>
      </c>
      <c r="AB52" s="2246"/>
      <c r="AC52" s="1981" t="s">
        <v>63</v>
      </c>
      <c r="AD52" s="2697" t="s">
        <v>63</v>
      </c>
      <c r="AE52" s="2838"/>
      <c r="AF52" s="2717">
        <v>1</v>
      </c>
      <c r="AG52" s="2875"/>
      <c r="AH52" s="2619" t="s">
        <v>63</v>
      </c>
      <c r="AI52" s="2838"/>
      <c r="AJ52" s="2717">
        <v>1</v>
      </c>
      <c r="AK52" s="2839" t="s">
        <v>28</v>
      </c>
      <c r="AL52" s="2619" t="s">
        <v>63</v>
      </c>
      <c r="AM52" s="2704"/>
      <c r="AN52" s="2717">
        <v>1</v>
      </c>
      <c r="AO52" s="2869"/>
      <c r="AP52" s="2870" t="s">
        <v>63</v>
      </c>
      <c r="AQ52" s="823"/>
      <c r="AR52" s="1998">
        <v>1</v>
      </c>
      <c r="AS52" s="2004" t="s">
        <v>28</v>
      </c>
      <c r="AT52" s="1263"/>
      <c r="AU52" s="1769"/>
      <c r="AV52" s="1263"/>
      <c r="AW52" s="1769"/>
      <c r="AX52" s="2246"/>
      <c r="AY52" s="1981" t="s">
        <v>63</v>
      </c>
      <c r="AZ52" s="2246"/>
      <c r="BA52" s="1981" t="s">
        <v>63</v>
      </c>
      <c r="BB52" s="1860"/>
      <c r="BC52" s="2765" t="s">
        <v>616</v>
      </c>
      <c r="BE52" s="1012"/>
      <c r="BF52" s="1012" t="str">
        <f>IF(T52="","",T52)</f>
        <v/>
      </c>
      <c r="BG52" s="1012"/>
      <c r="BH52" s="1012"/>
      <c r="BI52" s="1667">
        <v>11</v>
      </c>
    </row>
    <row customHeight="1" ht="11.549999999999999">
      <c r="A53" s="1875"/>
      <c r="B53" s="1875"/>
      <c r="C53" s="1875"/>
      <c r="D53" s="1875"/>
      <c r="E53" s="2771"/>
      <c r="F53" s="2771"/>
      <c r="G53" s="2771"/>
      <c r="H53" s="2771"/>
      <c r="I53" s="2798"/>
      <c r="J53" s="2798"/>
      <c r="K53" s="2768"/>
      <c r="L53" s="1876"/>
      <c r="P53" s="2769"/>
      <c r="Q53" s="2769"/>
      <c r="R53" s="869"/>
      <c r="S53" s="2854"/>
      <c r="T53" s="2873"/>
      <c r="U53" s="812"/>
      <c r="V53" s="1905"/>
      <c r="W53" s="2008"/>
      <c r="X53" s="1905"/>
      <c r="Y53" s="2008"/>
      <c r="Z53" s="1905"/>
      <c r="AA53" s="1905"/>
      <c r="AB53" s="1905"/>
      <c r="AC53" s="1905"/>
      <c r="AD53" s="2698"/>
      <c r="AE53" s="2838"/>
      <c r="AF53" s="2717"/>
      <c r="AG53" s="2875"/>
      <c r="AH53" s="2619"/>
      <c r="AI53" s="2838"/>
      <c r="AJ53" s="2717"/>
      <c r="AK53" s="2839"/>
      <c r="AL53" s="2619"/>
      <c r="AM53" s="2712"/>
      <c r="AN53" s="2717"/>
      <c r="AO53" s="2869"/>
      <c r="AP53" s="2871"/>
      <c r="AQ53" s="828"/>
      <c r="AR53" s="928"/>
      <c r="AS53" s="928" t="s">
        <v>617</v>
      </c>
      <c r="AT53" s="1905"/>
      <c r="AU53" s="2008"/>
      <c r="AV53" s="1905"/>
      <c r="AW53" s="2008"/>
      <c r="AX53" s="1905"/>
      <c r="AY53" s="1905"/>
      <c r="AZ53" s="1905"/>
      <c r="BA53" s="1905"/>
      <c r="BB53" s="1909"/>
      <c r="BC53" s="2766"/>
      <c r="BE53" s="1012"/>
      <c r="BF53" s="1012"/>
      <c r="BG53" s="1012"/>
      <c r="BH53" s="1012"/>
      <c r="BI53" s="1667">
        <v>11</v>
      </c>
    </row>
    <row customHeight="1" ht="11.549999999999999">
      <c r="A54" s="1875" t="s">
        <v>394</v>
      </c>
      <c r="B54" s="1875"/>
      <c r="C54" s="1875"/>
      <c r="D54" s="1875"/>
      <c r="E54" s="2771"/>
      <c r="F54" s="2771"/>
      <c r="G54" s="2771"/>
      <c r="H54" s="2771"/>
      <c r="I54" s="2798"/>
      <c r="J54" s="2798"/>
      <c r="K54" s="2768"/>
      <c r="L54" s="1876"/>
      <c r="P54" s="2769"/>
      <c r="Q54" s="2769"/>
      <c r="R54" s="869"/>
      <c r="S54" s="2854"/>
      <c r="T54" s="2873"/>
      <c r="U54" s="812"/>
      <c r="V54" s="1905"/>
      <c r="W54" s="2008"/>
      <c r="X54" s="1905"/>
      <c r="Y54" s="2008"/>
      <c r="Z54" s="1905"/>
      <c r="AA54" s="1905"/>
      <c r="AB54" s="1905"/>
      <c r="AC54" s="1905"/>
      <c r="AD54" s="2698"/>
      <c r="AE54" s="2838"/>
      <c r="AF54" s="2717"/>
      <c r="AG54" s="2875"/>
      <c r="AH54" s="2619"/>
      <c r="AI54" s="2838"/>
      <c r="AJ54" s="2717"/>
      <c r="AK54" s="2839"/>
      <c r="AL54" s="2619"/>
      <c r="AM54" s="828"/>
      <c r="AN54" s="2012"/>
      <c r="AO54" s="2012" t="s">
        <v>639</v>
      </c>
      <c r="AP54" s="928"/>
      <c r="AQ54" s="928"/>
      <c r="AR54" s="928"/>
      <c r="AS54" s="1905"/>
      <c r="AT54" s="1905"/>
      <c r="AU54" s="2008"/>
      <c r="AV54" s="1905"/>
      <c r="AW54" s="2008"/>
      <c r="AX54" s="1905"/>
      <c r="AY54" s="1905"/>
      <c r="AZ54" s="1905"/>
      <c r="BA54" s="1905"/>
      <c r="BB54" s="1909"/>
      <c r="BC54" s="2766"/>
      <c r="BE54" s="1012"/>
      <c r="BF54" s="1012"/>
      <c r="BG54" s="1012"/>
      <c r="BH54" s="1012"/>
      <c r="BI54" s="1667">
        <v>11</v>
      </c>
    </row>
    <row customHeight="1" ht="11.549999999999999">
      <c r="A55" s="1875" t="s">
        <v>394</v>
      </c>
      <c r="B55" s="1875"/>
      <c r="C55" s="1875"/>
      <c r="D55" s="1875"/>
      <c r="E55" s="2771"/>
      <c r="F55" s="2771"/>
      <c r="G55" s="2771"/>
      <c r="H55" s="2771"/>
      <c r="I55" s="2798"/>
      <c r="J55" s="2798"/>
      <c r="K55" s="2768"/>
      <c r="L55" s="1876"/>
      <c r="P55" s="2769"/>
      <c r="Q55" s="2769"/>
      <c r="R55" s="869"/>
      <c r="S55" s="2854"/>
      <c r="T55" s="2873"/>
      <c r="U55" s="812"/>
      <c r="V55" s="1905"/>
      <c r="W55" s="2008"/>
      <c r="X55" s="1905"/>
      <c r="Y55" s="2008"/>
      <c r="Z55" s="1905"/>
      <c r="AA55" s="1905"/>
      <c r="AB55" s="1905"/>
      <c r="AC55" s="1905"/>
      <c r="AD55" s="2698"/>
      <c r="AE55" s="2838"/>
      <c r="AF55" s="2717"/>
      <c r="AG55" s="2875"/>
      <c r="AH55" s="2619"/>
      <c r="AI55" s="806"/>
      <c r="AJ55" s="927"/>
      <c r="AK55" s="825" t="s">
        <v>640</v>
      </c>
      <c r="AL55" s="1905"/>
      <c r="AM55" s="1905"/>
      <c r="AN55" s="1905"/>
      <c r="AO55" s="1905"/>
      <c r="AP55" s="1905"/>
      <c r="AQ55" s="1905"/>
      <c r="AR55" s="1905"/>
      <c r="AS55" s="1905"/>
      <c r="AT55" s="1905"/>
      <c r="AU55" s="2008"/>
      <c r="AV55" s="1905"/>
      <c r="AW55" s="2008"/>
      <c r="AX55" s="1905"/>
      <c r="AY55" s="1905"/>
      <c r="AZ55" s="1905"/>
      <c r="BA55" s="1905"/>
      <c r="BB55" s="1909"/>
      <c r="BC55" s="2766"/>
      <c r="BE55" s="1012"/>
      <c r="BF55" s="1012"/>
      <c r="BG55" s="1012"/>
      <c r="BH55" s="1012"/>
      <c r="BI55" s="1667">
        <v>11</v>
      </c>
    </row>
    <row customHeight="1" ht="11.549999999999999">
      <c r="A56" s="1875" t="s">
        <v>394</v>
      </c>
      <c r="B56" s="1875" t="s">
        <v>395</v>
      </c>
      <c r="C56" s="1875" t="s">
        <v>396</v>
      </c>
      <c r="D56" s="1875" t="s">
        <v>646</v>
      </c>
      <c r="E56" s="2771"/>
      <c r="F56" s="2771"/>
      <c r="G56" s="2771"/>
      <c r="H56" s="2771"/>
      <c r="I56" s="2798"/>
      <c r="J56" s="2798"/>
      <c r="K56" s="2768"/>
      <c r="L56" s="1876"/>
      <c r="P56" s="2769"/>
      <c r="Q56" s="2769"/>
      <c r="R56" s="869"/>
      <c r="S56" s="2855"/>
      <c r="T56" s="2874"/>
      <c r="U56" s="812"/>
      <c r="V56" s="1905"/>
      <c r="W56" s="1906" t="str">
        <f>Z52&amp;"-"&amp;AB52</f>
        <v>-</v>
      </c>
      <c r="X56" s="1905"/>
      <c r="Y56" s="1906" t="str">
        <f>AB52&amp;"-"&amp;AD52</f>
        <v>-да</v>
      </c>
      <c r="Z56" s="1905"/>
      <c r="AA56" s="1905"/>
      <c r="AB56" s="1905"/>
      <c r="AC56" s="1905"/>
      <c r="AD56" s="2624"/>
      <c r="AE56" s="824"/>
      <c r="AF56" s="826"/>
      <c r="AG56" s="928" t="s">
        <v>620</v>
      </c>
      <c r="AH56" s="1905"/>
      <c r="AI56" s="1905"/>
      <c r="AJ56" s="1905"/>
      <c r="AK56" s="1905"/>
      <c r="AL56" s="1905"/>
      <c r="AM56" s="1905"/>
      <c r="AN56" s="1905"/>
      <c r="AO56" s="1905"/>
      <c r="AP56" s="1905"/>
      <c r="AQ56" s="1905"/>
      <c r="AR56" s="1905"/>
      <c r="AS56" s="1905"/>
      <c r="AT56" s="1905"/>
      <c r="AU56" s="1906" t="str">
        <f>AX52&amp;"-"&amp;AZ52</f>
        <v>-</v>
      </c>
      <c r="AV56" s="1905"/>
      <c r="AW56" s="1906" t="str">
        <f>AZ52&amp;"-"&amp;BB52</f>
        <v>-</v>
      </c>
      <c r="AX56" s="1905"/>
      <c r="AY56" s="1905"/>
      <c r="AZ56" s="1905"/>
      <c r="BA56" s="1905"/>
      <c r="BB56" s="1908" t="str">
        <f>BE52&amp;"-"&amp;BG52</f>
        <v>-</v>
      </c>
      <c r="BC56" s="2766"/>
      <c r="BE56" s="1012"/>
      <c r="BF56" s="1012" t="str">
        <f>IF(T56="","",T56)</f>
        <v/>
      </c>
      <c r="BG56" s="1012"/>
      <c r="BH56" s="1012"/>
      <c r="BI56" s="1667">
        <v>11</v>
      </c>
    </row>
    <row customHeight="1" ht="11.549999999999999">
      <c r="A57" s="1875" t="s">
        <v>394</v>
      </c>
      <c r="B57" s="1875" t="s">
        <v>395</v>
      </c>
      <c r="C57" s="1875" t="s">
        <v>396</v>
      </c>
      <c r="D57" s="1875" t="s">
        <v>646</v>
      </c>
      <c r="E57" s="2771"/>
      <c r="F57" s="2771"/>
      <c r="G57" s="2771"/>
      <c r="H57" s="2771"/>
      <c r="I57" s="2798"/>
      <c r="J57" s="2768"/>
      <c r="K57" s="1875"/>
      <c r="L57" s="1876"/>
      <c r="P57" s="2769"/>
      <c r="Q57" s="2769"/>
      <c r="R57" s="868"/>
      <c r="S57" s="1790"/>
      <c r="T57" s="799" t="s">
        <v>583</v>
      </c>
      <c r="U57" s="879"/>
      <c r="V57" s="879"/>
      <c r="W57" s="879"/>
      <c r="X57" s="879"/>
      <c r="Y57" s="879"/>
      <c r="Z57" s="879"/>
      <c r="AA57" s="879"/>
      <c r="AB57" s="879"/>
      <c r="AC57" s="836"/>
      <c r="AD57" s="2017"/>
      <c r="AE57" s="879"/>
      <c r="AF57" s="879"/>
      <c r="AG57" s="879"/>
      <c r="AH57" s="879"/>
      <c r="AI57" s="879"/>
      <c r="AJ57" s="879"/>
      <c r="AK57" s="879"/>
      <c r="AL57" s="879"/>
      <c r="AM57" s="879"/>
      <c r="AN57" s="879"/>
      <c r="AO57" s="879"/>
      <c r="AP57" s="879"/>
      <c r="AQ57" s="879"/>
      <c r="AR57" s="879"/>
      <c r="AS57" s="879"/>
      <c r="AT57" s="879"/>
      <c r="AU57" s="879"/>
      <c r="AV57" s="879"/>
      <c r="AW57" s="879"/>
      <c r="AX57" s="879"/>
      <c r="AY57" s="879"/>
      <c r="AZ57" s="879"/>
      <c r="BA57" s="879"/>
      <c r="BB57" s="836"/>
      <c r="BC57" s="2767"/>
      <c r="BE57" s="1012"/>
      <c r="BF57" s="1012" t="str">
        <f>IF(T57="","",T57)</f>
        <v>Добавить строку</v>
      </c>
      <c r="BG57" s="1012"/>
      <c r="BH57" s="1012"/>
      <c r="BI57" s="1667">
        <v>11</v>
      </c>
    </row>
    <row s="46890" customFormat="1" customHeight="1" ht="0">
      <c r="A58" s="1855" t="s">
        <v>394</v>
      </c>
      <c r="B58" s="1855" t="s">
        <v>395</v>
      </c>
      <c r="C58" s="1855" t="s">
        <v>396</v>
      </c>
      <c r="D58" s="1855" t="s">
        <v>646</v>
      </c>
      <c r="E58" s="2771"/>
      <c r="F58" s="2771"/>
      <c r="G58" s="2771"/>
      <c r="H58" s="2771"/>
      <c r="I58" s="2768"/>
      <c r="J58" s="1855"/>
      <c r="K58" s="1855"/>
      <c r="L58" s="1858"/>
      <c r="M58" s="1022"/>
      <c r="N58" s="1022"/>
      <c r="O58" s="1022"/>
      <c r="P58" s="2769"/>
      <c r="Q58" s="1993"/>
      <c r="R58" s="868"/>
      <c r="S58" s="1898"/>
      <c r="T58" s="1899"/>
      <c r="U58" s="1900"/>
      <c r="V58" s="1900"/>
      <c r="W58" s="1900"/>
      <c r="X58" s="1900"/>
      <c r="Y58" s="1900"/>
      <c r="Z58" s="1900"/>
      <c r="AA58" s="1900"/>
      <c r="AB58" s="1900"/>
      <c r="AC58" s="1900"/>
      <c r="AD58" s="1900"/>
      <c r="AE58" s="1900"/>
      <c r="AF58" s="1900"/>
      <c r="AG58" s="1900"/>
      <c r="AH58" s="1900"/>
      <c r="AI58" s="1900"/>
      <c r="AJ58" s="1900"/>
      <c r="AK58" s="1900"/>
      <c r="AL58" s="1900"/>
      <c r="AM58" s="1900"/>
      <c r="AN58" s="1900"/>
      <c r="AO58" s="1900"/>
      <c r="AP58" s="1900"/>
      <c r="AQ58" s="1900"/>
      <c r="AR58" s="1900"/>
      <c r="AS58" s="1900"/>
      <c r="AT58" s="1900"/>
      <c r="AU58" s="1900"/>
      <c r="AV58" s="1900"/>
      <c r="AW58" s="1900"/>
      <c r="AX58" s="1900"/>
      <c r="AY58" s="1900"/>
      <c r="AZ58" s="1900"/>
      <c r="BA58" s="1900"/>
      <c r="BB58" s="1900"/>
      <c r="BC58" s="1901"/>
      <c r="BE58" s="1012"/>
      <c r="BF58" s="1012" t="str">
        <f>IF(T58="","",T58)</f>
        <v/>
      </c>
      <c r="BG58" s="1012"/>
      <c r="BH58" s="1012"/>
      <c r="BI58" s="1023">
        <v>0</v>
      </c>
    </row>
    <row s="46890" customFormat="1" customHeight="1" ht="0">
      <c r="A59" s="1855" t="s">
        <v>394</v>
      </c>
      <c r="B59" s="1855" t="s">
        <v>395</v>
      </c>
      <c r="C59" s="1855" t="s">
        <v>396</v>
      </c>
      <c r="D59" s="1855" t="s">
        <v>646</v>
      </c>
      <c r="E59" s="2771"/>
      <c r="F59" s="2771"/>
      <c r="G59" s="2771"/>
      <c r="H59" s="2770"/>
      <c r="I59" s="1855"/>
      <c r="J59" s="1855"/>
      <c r="K59" s="1855"/>
      <c r="L59" s="1858"/>
      <c r="M59" s="1827"/>
      <c r="N59" s="1827"/>
      <c r="O59" s="1030"/>
      <c r="P59" s="892"/>
      <c r="Q59" s="1856"/>
      <c r="R59" s="1913"/>
      <c r="S59" s="1898"/>
      <c r="T59" s="1899"/>
      <c r="U59" s="1900"/>
      <c r="V59" s="1900"/>
      <c r="W59" s="1900"/>
      <c r="X59" s="1900"/>
      <c r="Y59" s="1900"/>
      <c r="Z59" s="1900"/>
      <c r="AA59" s="1900"/>
      <c r="AB59" s="1900"/>
      <c r="AC59" s="1900"/>
      <c r="AD59" s="1900"/>
      <c r="AE59" s="1900"/>
      <c r="AF59" s="1900"/>
      <c r="AG59" s="1900"/>
      <c r="AH59" s="1900"/>
      <c r="AI59" s="1900"/>
      <c r="AJ59" s="1900"/>
      <c r="AK59" s="1900"/>
      <c r="AL59" s="1900"/>
      <c r="AM59" s="1900"/>
      <c r="AN59" s="1900"/>
      <c r="AO59" s="1900"/>
      <c r="AP59" s="1900"/>
      <c r="AQ59" s="1900"/>
      <c r="AR59" s="1900"/>
      <c r="AS59" s="1900"/>
      <c r="AT59" s="1900"/>
      <c r="AU59" s="1900"/>
      <c r="AV59" s="1900"/>
      <c r="AW59" s="1900"/>
      <c r="AX59" s="1900"/>
      <c r="AY59" s="1900"/>
      <c r="AZ59" s="1900"/>
      <c r="BA59" s="1900"/>
      <c r="BB59" s="1900"/>
      <c r="BC59" s="1901"/>
      <c r="BE59" s="1012"/>
      <c r="BF59" s="1012" t="str">
        <f>IF(T59="","",T59)</f>
        <v/>
      </c>
      <c r="BG59" s="1012"/>
      <c r="BH59" s="1012"/>
      <c r="BI59" s="1023">
        <v>0</v>
      </c>
    </row>
    <row s="46890" customFormat="1" customHeight="1" ht="0">
      <c r="A60" s="1855" t="s">
        <v>394</v>
      </c>
      <c r="B60" s="1855" t="s">
        <v>395</v>
      </c>
      <c r="C60" s="1855" t="s">
        <v>396</v>
      </c>
      <c r="D60" s="1826"/>
      <c r="E60" s="2771"/>
      <c r="F60" s="2771"/>
      <c r="G60" s="2770"/>
      <c r="H60" s="1826"/>
      <c r="I60" s="1826"/>
      <c r="J60" s="1826"/>
      <c r="K60" s="1826"/>
      <c r="L60" s="2006"/>
      <c r="M60" s="1827"/>
      <c r="N60" s="1827"/>
      <c r="P60" s="1828"/>
      <c r="Q60" s="1829"/>
      <c r="R60" s="1828"/>
      <c r="S60" s="1834"/>
      <c r="T60" s="1837"/>
      <c r="U60" s="1836"/>
      <c r="V60" s="1836"/>
      <c r="W60" s="1836"/>
      <c r="X60" s="1836"/>
      <c r="Y60" s="1836"/>
      <c r="Z60" s="1836"/>
      <c r="AA60" s="1836"/>
      <c r="AB60" s="1836"/>
      <c r="AC60" s="1836"/>
      <c r="AD60" s="1836"/>
      <c r="AE60" s="1836"/>
      <c r="AF60" s="1836"/>
      <c r="AG60" s="1836"/>
      <c r="AH60" s="1836"/>
      <c r="AI60" s="1836"/>
      <c r="AJ60" s="1836"/>
      <c r="AK60" s="1836"/>
      <c r="AL60" s="1836"/>
      <c r="AM60" s="1836"/>
      <c r="AN60" s="1836"/>
      <c r="AO60" s="1836"/>
      <c r="AP60" s="1836"/>
      <c r="AQ60" s="1836"/>
      <c r="AR60" s="1836"/>
      <c r="AS60" s="1836"/>
      <c r="AT60" s="1836"/>
      <c r="AU60" s="1836"/>
      <c r="AV60" s="1836"/>
      <c r="AW60" s="1836"/>
      <c r="AX60" s="1836"/>
      <c r="AY60" s="1836"/>
      <c r="AZ60" s="1836"/>
      <c r="BA60" s="1836"/>
      <c r="BB60" s="1836"/>
      <c r="BC60" s="1836"/>
      <c r="BE60" s="1301"/>
      <c r="BF60" s="1301" t="str">
        <f>IF(T60="","",T60)</f>
        <v/>
      </c>
      <c r="BG60" s="1301"/>
      <c r="BH60" s="1301"/>
      <c r="BI60" s="1030">
        <v>0</v>
      </c>
    </row>
    <row s="46890" customFormat="1" customHeight="1" ht="0">
      <c r="A61" s="1855" t="s">
        <v>394</v>
      </c>
      <c r="B61" s="1855" t="s">
        <v>395</v>
      </c>
      <c r="C61" s="1826"/>
      <c r="D61" s="1826"/>
      <c r="E61" s="2771"/>
      <c r="F61" s="2770"/>
      <c r="G61" s="1826"/>
      <c r="H61" s="1826"/>
      <c r="I61" s="1826"/>
      <c r="J61" s="1826"/>
      <c r="K61" s="1826"/>
      <c r="L61" s="2006"/>
      <c r="M61" s="1833"/>
      <c r="N61" s="1833"/>
      <c r="P61" s="1828"/>
      <c r="Q61" s="1829"/>
      <c r="R61" s="1828"/>
      <c r="S61" s="1834"/>
      <c r="T61" s="1837" t="s">
        <v>321</v>
      </c>
      <c r="U61" s="1836"/>
      <c r="V61" s="1836"/>
      <c r="W61" s="1836"/>
      <c r="X61" s="1836"/>
      <c r="Y61" s="1836"/>
      <c r="Z61" s="1836"/>
      <c r="AA61" s="1836"/>
      <c r="AB61" s="1836"/>
      <c r="AC61" s="1836"/>
      <c r="AD61" s="1836"/>
      <c r="AE61" s="1836"/>
      <c r="AF61" s="1836"/>
      <c r="AG61" s="1836"/>
      <c r="AH61" s="1836"/>
      <c r="AI61" s="1836"/>
      <c r="AJ61" s="1836"/>
      <c r="AK61" s="1836"/>
      <c r="AL61" s="1836"/>
      <c r="AM61" s="1836"/>
      <c r="AN61" s="1836"/>
      <c r="AO61" s="1836"/>
      <c r="AP61" s="1836"/>
      <c r="AQ61" s="1836"/>
      <c r="AR61" s="1836"/>
      <c r="AS61" s="1836"/>
      <c r="AT61" s="1836"/>
      <c r="AU61" s="1836"/>
      <c r="AV61" s="1836"/>
      <c r="AW61" s="1836"/>
      <c r="AX61" s="1836"/>
      <c r="AY61" s="1836"/>
      <c r="AZ61" s="1836"/>
      <c r="BA61" s="1836"/>
      <c r="BB61" s="1836"/>
      <c r="BC61" s="1836"/>
      <c r="BE61" s="1301"/>
      <c r="BF61" s="1301" t="str">
        <f>IF(T61="","",T61)</f>
        <v>Добавить централизованную систему для дифференциации</v>
      </c>
      <c r="BG61" s="1301"/>
      <c r="BH61" s="1301"/>
      <c r="BI61" s="1030">
        <v>0</v>
      </c>
    </row>
    <row s="46890" customFormat="1" customHeight="1" ht="0">
      <c r="A62" s="1855" t="s">
        <v>394</v>
      </c>
      <c r="B62" s="1855"/>
      <c r="C62" s="1855"/>
      <c r="D62" s="1855"/>
      <c r="E62" s="2770"/>
      <c r="F62" s="1855"/>
      <c r="G62" s="1855"/>
      <c r="H62" s="1855"/>
      <c r="I62" s="1855"/>
      <c r="J62" s="1855"/>
      <c r="K62" s="1855"/>
      <c r="L62" s="1858"/>
      <c r="M62" s="1833"/>
      <c r="N62" s="1833"/>
      <c r="O62" s="1030"/>
      <c r="P62" s="892"/>
      <c r="Q62" s="1856"/>
      <c r="R62" s="892"/>
      <c r="S62" s="1834"/>
      <c r="T62" s="1837" t="s">
        <v>385</v>
      </c>
      <c r="U62" s="1836"/>
      <c r="V62" s="1836"/>
      <c r="W62" s="1836"/>
      <c r="X62" s="1836"/>
      <c r="Y62" s="1836"/>
      <c r="Z62" s="1836"/>
      <c r="AA62" s="1836"/>
      <c r="AB62" s="1836"/>
      <c r="AC62" s="1836"/>
      <c r="AD62" s="1836"/>
      <c r="AE62" s="1836"/>
      <c r="AF62" s="1836"/>
      <c r="AG62" s="1836"/>
      <c r="AH62" s="1836"/>
      <c r="AI62" s="1836"/>
      <c r="AJ62" s="1836"/>
      <c r="AK62" s="1836"/>
      <c r="AL62" s="1836"/>
      <c r="AM62" s="1836"/>
      <c r="AN62" s="1836"/>
      <c r="AO62" s="1836"/>
      <c r="AP62" s="1836"/>
      <c r="AQ62" s="1836"/>
      <c r="AR62" s="1836"/>
      <c r="AS62" s="1836"/>
      <c r="AT62" s="1836"/>
      <c r="AU62" s="1836"/>
      <c r="AV62" s="1836"/>
      <c r="AW62" s="1836"/>
      <c r="AX62" s="1836"/>
      <c r="AY62" s="1836"/>
      <c r="AZ62" s="1836"/>
      <c r="BA62" s="1836"/>
      <c r="BB62" s="1836"/>
      <c r="BC62" s="1836"/>
      <c r="BE62" s="1012"/>
      <c r="BF62" s="1012" t="str">
        <f>IF(T62="","",T62)</f>
        <v>Добавить территорию для дифференциации</v>
      </c>
      <c r="BG62" s="1012"/>
      <c r="BH62" s="1012"/>
      <c r="BI62" s="1023">
        <v>0</v>
      </c>
    </row>
    <row s="46890" customFormat="1" customHeight="1" ht="0">
      <c r="A63" s="1826"/>
      <c r="B63" s="1826"/>
      <c r="C63" s="1826"/>
      <c r="D63" s="1826"/>
      <c r="E63" s="1855"/>
      <c r="F63" s="1826"/>
      <c r="G63" s="1826"/>
      <c r="H63" s="1826"/>
      <c r="I63" s="1826"/>
      <c r="J63" s="1826"/>
      <c r="K63" s="1826"/>
      <c r="L63" s="2006"/>
      <c r="M63" s="1833"/>
      <c r="N63" s="1833"/>
      <c r="P63" s="1828"/>
      <c r="Q63" s="1829"/>
      <c r="R63" s="1828"/>
      <c r="S63" s="1834"/>
      <c r="T63" s="1837" t="s">
        <v>386</v>
      </c>
      <c r="U63" s="1836"/>
      <c r="V63" s="1836"/>
      <c r="W63" s="1836"/>
      <c r="X63" s="1836"/>
      <c r="Y63" s="1836"/>
      <c r="Z63" s="1836"/>
      <c r="AA63" s="1836"/>
      <c r="AB63" s="1836"/>
      <c r="AC63" s="1836"/>
      <c r="AD63" s="1836"/>
      <c r="AE63" s="1836"/>
      <c r="AF63" s="1836"/>
      <c r="AG63" s="1836"/>
      <c r="AH63" s="1836"/>
      <c r="AI63" s="1836"/>
      <c r="AJ63" s="1836"/>
      <c r="AK63" s="1836"/>
      <c r="AL63" s="1836"/>
      <c r="AM63" s="1836"/>
      <c r="AN63" s="1836"/>
      <c r="AO63" s="1836"/>
      <c r="AP63" s="1836"/>
      <c r="AQ63" s="1836"/>
      <c r="AR63" s="1836"/>
      <c r="AS63" s="1836"/>
      <c r="AT63" s="1836"/>
      <c r="AU63" s="1836"/>
      <c r="AV63" s="1836"/>
      <c r="AW63" s="1836"/>
      <c r="AX63" s="1836"/>
      <c r="AY63" s="1836"/>
      <c r="AZ63" s="1836"/>
      <c r="BA63" s="1836"/>
      <c r="BB63" s="1836"/>
      <c r="BC63" s="1836"/>
      <c r="BE63" s="1301"/>
      <c r="BF63" s="1301" t="str">
        <f>IF(T63="","",T63)</f>
        <v>Добавить наименование тарифа</v>
      </c>
      <c r="BG63" s="1301"/>
      <c r="BH63" s="1301"/>
      <c r="BI63" s="1030">
        <v>0</v>
      </c>
    </row>
    <row customHeight="1" ht="11.549999999999999">
      <c r="M64" s="1672"/>
      <c r="N64" s="1672"/>
      <c r="O64" s="1049"/>
      <c r="P64" s="1672"/>
      <c r="Q64" s="1672"/>
      <c r="R64" s="1667"/>
      <c r="S64" s="1667"/>
      <c r="BD64" s="1667"/>
      <c r="BE64" s="1667"/>
      <c r="BF64" s="1667"/>
      <c r="BG64" s="1667"/>
      <c r="BH64" s="1667"/>
      <c r="BI64" s="1667">
        <v>11</v>
      </c>
    </row>
    <row customHeight="1" ht="14.699999999999998">
      <c r="O65" s="1049"/>
      <c r="S65" s="1765"/>
      <c r="T65" s="2797"/>
      <c r="U65" s="2797"/>
      <c r="V65" s="2797"/>
      <c r="W65" s="2797"/>
      <c r="X65" s="2797"/>
      <c r="Y65" s="2797"/>
      <c r="Z65" s="2797"/>
      <c r="AA65" s="2797"/>
      <c r="AB65" s="2797"/>
      <c r="AC65" s="2797"/>
      <c r="AD65" s="2797"/>
      <c r="AE65" s="2797"/>
      <c r="AF65" s="2797"/>
      <c r="AG65" s="2797"/>
      <c r="AH65" s="2797"/>
      <c r="AI65" s="2797"/>
      <c r="AJ65" s="2797"/>
      <c r="AK65" s="2797"/>
      <c r="AL65" s="2797"/>
      <c r="AM65" s="2797"/>
      <c r="AN65" s="2797"/>
      <c r="AO65" s="2797"/>
      <c r="AP65" s="2797"/>
      <c r="AQ65" s="2797"/>
      <c r="AR65" s="2797"/>
      <c r="AS65" s="2797"/>
      <c r="AT65" s="2797"/>
      <c r="AU65" s="2797"/>
      <c r="AV65" s="2797"/>
      <c r="AW65" s="2797"/>
      <c r="AX65" s="2797"/>
      <c r="AY65" s="2797"/>
      <c r="AZ65" s="2797"/>
      <c r="BA65" s="2797"/>
      <c r="BB65" s="2797"/>
      <c r="BC65" s="2797"/>
      <c r="BI65" s="1667">
        <v>14</v>
      </c>
    </row>
    <row customHeight="1" ht="14.699999999999998">
      <c r="O66" s="1049"/>
      <c r="T66" s="1992"/>
      <c r="U66" s="1992"/>
      <c r="V66" s="1992"/>
      <c r="W66" s="1992"/>
      <c r="X66" s="1992"/>
      <c r="Y66" s="1992"/>
      <c r="Z66" s="1992"/>
      <c r="AA66" s="1992"/>
      <c r="AB66" s="1992"/>
      <c r="AC66" s="1992"/>
      <c r="AD66" s="1992"/>
      <c r="AE66" s="1992"/>
      <c r="AF66" s="1992"/>
      <c r="AG66" s="1992"/>
      <c r="AH66" s="1992"/>
      <c r="AI66" s="1992"/>
      <c r="AJ66" s="1992"/>
      <c r="AK66" s="1992"/>
      <c r="AL66" s="1992"/>
      <c r="AM66" s="1992"/>
      <c r="AN66" s="1992"/>
      <c r="AO66" s="1992"/>
      <c r="AP66" s="1992"/>
      <c r="AQ66" s="1992"/>
      <c r="AR66" s="1992"/>
      <c r="AS66" s="1992"/>
      <c r="AT66" s="1992"/>
      <c r="AU66" s="1992"/>
      <c r="AV66" s="1992"/>
      <c r="AW66" s="1992"/>
      <c r="AX66" s="1992"/>
      <c r="AY66" s="1992"/>
      <c r="AZ66" s="1992"/>
      <c r="BA66" s="1992"/>
      <c r="BB66" s="1992"/>
      <c r="BC66" s="1992"/>
      <c r="BI66" s="1667">
        <v>14</v>
      </c>
    </row>
    <row customHeight="1" ht="14.699999999999998">
      <c r="O67" s="1049"/>
      <c r="S67" s="1765"/>
      <c r="T67" s="2797"/>
      <c r="U67" s="2797"/>
      <c r="V67" s="2797"/>
      <c r="W67" s="2797"/>
      <c r="X67" s="2797"/>
      <c r="Y67" s="2797"/>
      <c r="Z67" s="2797"/>
      <c r="AA67" s="2797"/>
      <c r="AB67" s="2797"/>
      <c r="AC67" s="2797"/>
      <c r="AD67" s="2797"/>
      <c r="AE67" s="2797"/>
      <c r="AF67" s="2797"/>
      <c r="AG67" s="2797"/>
      <c r="AH67" s="2797"/>
      <c r="AI67" s="2797"/>
      <c r="AJ67" s="2797"/>
      <c r="AK67" s="2797"/>
      <c r="AL67" s="2797"/>
      <c r="AM67" s="2797"/>
      <c r="AN67" s="2797"/>
      <c r="AO67" s="2797"/>
      <c r="AP67" s="2797"/>
      <c r="AQ67" s="2797"/>
      <c r="AR67" s="2797"/>
      <c r="AS67" s="2797"/>
      <c r="AT67" s="2797"/>
      <c r="AU67" s="2797"/>
      <c r="AV67" s="2797"/>
      <c r="AW67" s="2797"/>
      <c r="AX67" s="2797"/>
      <c r="AY67" s="2797"/>
      <c r="AZ67" s="2797"/>
      <c r="BA67" s="2797"/>
      <c r="BB67" s="2797"/>
      <c r="BC67" s="2797"/>
      <c r="BI67" s="1667">
        <v>14</v>
      </c>
    </row>
    <row customHeight="1" ht="14.699999999999998">
      <c r="O68" s="1049"/>
      <c r="BI68" s="1667">
        <v>14</v>
      </c>
    </row>
    <row customHeight="1" ht="14.25" hidden="1">
      <c r="A69" s="1672" t="s">
        <v>84</v>
      </c>
      <c r="B69" s="1672">
        <v>0</v>
      </c>
      <c r="C69" s="1672">
        <v>0</v>
      </c>
      <c r="D69" s="1672">
        <v>0</v>
      </c>
      <c r="E69" s="1672">
        <v>0</v>
      </c>
      <c r="F69" s="1672">
        <v>0</v>
      </c>
      <c r="G69" s="1672">
        <v>0</v>
      </c>
      <c r="H69" s="1672">
        <v>0</v>
      </c>
      <c r="I69" s="1672">
        <v>0</v>
      </c>
      <c r="J69" s="1672">
        <v>0</v>
      </c>
      <c r="K69" s="1672">
        <v>0</v>
      </c>
      <c r="L69" s="1990">
        <v>0</v>
      </c>
      <c r="M69" s="1874">
        <v>0</v>
      </c>
      <c r="N69" s="1874">
        <v>0</v>
      </c>
      <c r="O69" s="1874">
        <v>0</v>
      </c>
      <c r="P69" s="1874">
        <v>0</v>
      </c>
      <c r="Q69" s="1883">
        <v>0</v>
      </c>
      <c r="R69" s="856">
        <v>3</v>
      </c>
      <c r="S69" s="1093">
        <v>12</v>
      </c>
      <c r="T69" s="1667">
        <v>31</v>
      </c>
      <c r="U69" s="1667">
        <v>0</v>
      </c>
      <c r="V69" s="1667">
        <v>0</v>
      </c>
      <c r="W69" s="1667">
        <v>0</v>
      </c>
      <c r="X69" s="1667">
        <v>0</v>
      </c>
      <c r="Y69" s="1667">
        <v>0</v>
      </c>
      <c r="Z69" s="1667">
        <v>0</v>
      </c>
      <c r="AA69" s="1667">
        <v>0</v>
      </c>
      <c r="AB69" s="1667">
        <v>0</v>
      </c>
      <c r="AC69" s="1667">
        <v>0</v>
      </c>
      <c r="AD69" s="1667">
        <v>3</v>
      </c>
      <c r="AE69" s="1667">
        <v>3</v>
      </c>
      <c r="AF69" s="1667">
        <v>3</v>
      </c>
      <c r="AG69" s="1667">
        <v>24</v>
      </c>
      <c r="AH69" s="1667">
        <v>3</v>
      </c>
      <c r="AI69" s="1667">
        <v>3</v>
      </c>
      <c r="AJ69" s="1667">
        <v>3</v>
      </c>
      <c r="AK69" s="1667">
        <v>24</v>
      </c>
      <c r="AL69" s="1667">
        <v>3</v>
      </c>
      <c r="AM69" s="1667">
        <v>3</v>
      </c>
      <c r="AN69" s="1667">
        <v>3</v>
      </c>
      <c r="AO69" s="1667">
        <v>18</v>
      </c>
      <c r="AP69" s="1667">
        <v>3</v>
      </c>
      <c r="AQ69" s="1667">
        <v>3</v>
      </c>
      <c r="AR69" s="1667">
        <v>3</v>
      </c>
      <c r="AS69" s="1667">
        <v>18</v>
      </c>
      <c r="AT69" s="1667">
        <v>21</v>
      </c>
      <c r="AU69" s="1667">
        <v>21</v>
      </c>
      <c r="AV69" s="1667">
        <v>21</v>
      </c>
      <c r="AW69" s="1667">
        <v>21</v>
      </c>
      <c r="AX69" s="1667">
        <v>11</v>
      </c>
      <c r="AY69" s="1667">
        <v>3</v>
      </c>
      <c r="AZ69" s="1667">
        <v>11</v>
      </c>
      <c r="BA69" s="1667">
        <v>0</v>
      </c>
      <c r="BB69" s="1667">
        <v>4</v>
      </c>
      <c r="BC69" s="1667">
        <v>115</v>
      </c>
      <c r="BD69" s="1023">
        <v>10</v>
      </c>
      <c r="BE69" s="1023">
        <v>10</v>
      </c>
      <c r="BF69" s="1023">
        <v>10</v>
      </c>
      <c r="BG69" s="1023">
        <v>10</v>
      </c>
      <c r="BH69" s="1023">
        <v>10</v>
      </c>
      <c r="BI69" s="1667">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AF09B2C-C9EB-745C-5644-2E028DE96A85}" mc:Ignorable="x14ac xr xr2 xr3">
  <sheetPr>
    <tabColor rgb="FFCCCCFF"/>
    <pageSetUpPr fitToPage="1"/>
  </sheetPr>
  <dimension ref="A1:AC65"/>
  <sheetViews>
    <sheetView topLeftCell="A1" showGridLines="0" zoomScale="90" workbookViewId="0">
      <selection activeCell="G48" sqref="G48"/>
    </sheetView>
  </sheetViews>
  <sheetFormatPr defaultColWidth="9.140625" customHeight="1" defaultRowHeight="14.25"/>
  <cols>
    <col min="1" max="1" style="46808" width="8.00390625" hidden="1" customWidth="1"/>
    <col min="2" max="2" style="46889" width="6.00390625" hidden="1" customWidth="1"/>
    <col min="3" max="3" style="46808" width="3.00390625" customWidth="1"/>
    <col min="4" max="4" style="46988" width="3.00390625" customWidth="1"/>
    <col min="5" max="5" style="46808" width="6.00390625" customWidth="1"/>
    <col min="6" max="6" style="46808" width="2.7109375" hidden="1" customWidth="1"/>
    <col min="7" max="7" style="46808" width="46.7109375" customWidth="1"/>
    <col min="8" max="8" style="46808" width="42.00390625" customWidth="1"/>
    <col min="9" max="9" style="46808" width="14.00390625" customWidth="1"/>
    <col min="10" max="10" style="46989" width="3.00390625" customWidth="1"/>
    <col min="11" max="13" style="46989" width="9.140625" hidden="1"/>
    <col min="14" max="14" style="46989" width="25.7109375" hidden="1" customWidth="1"/>
    <col min="15" max="15" style="46989" width="14.421875" hidden="1" customWidth="1"/>
    <col min="16" max="19" style="46990" width="9.140625" hidden="1"/>
    <col min="20" max="27" style="46808" width="9.140625" hidden="1"/>
    <col min="28" max="28" style="46808" width="8.00390625" customWidth="1"/>
    <col min="29" max="29" style="46808" width="9.140625" hidden="1"/>
  </cols>
  <sheetData>
    <row s="46890" customFormat="1" customHeight="1" ht="5.25" hidden="1">
      <c r="A1" s="1008"/>
      <c r="B1" s="1023"/>
      <c r="C1" s="1023"/>
      <c r="D1" s="733"/>
      <c r="F1" s="1023"/>
      <c r="G1" s="759" t="s">
        <v>85</v>
      </c>
      <c r="H1" s="1006" t="s">
        <v>86</v>
      </c>
      <c r="I1" s="739" t="s">
        <v>87</v>
      </c>
      <c r="J1" s="759" t="s">
        <v>85</v>
      </c>
      <c r="K1" s="759"/>
      <c r="L1" s="759"/>
      <c r="M1" s="759"/>
      <c r="N1" s="760"/>
      <c r="O1" s="759"/>
      <c r="P1" s="759"/>
      <c r="Q1" s="759"/>
      <c r="R1" s="759"/>
      <c r="S1" s="759"/>
      <c r="T1" s="739"/>
      <c r="U1" s="739"/>
      <c r="V1" s="739"/>
      <c r="W1" s="739"/>
      <c r="X1" s="739"/>
      <c r="Y1" s="739"/>
      <c r="Z1" s="739"/>
      <c r="AA1" s="739"/>
      <c r="AB1" s="739"/>
      <c r="AC1" s="664" t="s">
        <v>14</v>
      </c>
    </row>
    <row s="46899" customFormat="1" customHeight="1" ht="11.25">
      <c r="A2" s="1343"/>
      <c r="B2" s="740"/>
      <c r="C2" s="740"/>
      <c r="D2" s="741"/>
      <c r="E2" s="740"/>
      <c r="F2" s="740"/>
      <c r="G2" s="740"/>
      <c r="H2" s="740"/>
      <c r="I2" s="740"/>
      <c r="J2" s="759"/>
      <c r="K2" s="759"/>
      <c r="L2" s="759"/>
      <c r="M2" s="759"/>
      <c r="N2" s="760"/>
      <c r="O2" s="759"/>
      <c r="P2" s="742"/>
      <c r="Q2" s="742"/>
      <c r="R2" s="742"/>
      <c r="S2" s="742"/>
      <c r="T2" s="741"/>
      <c r="U2" s="741"/>
      <c r="V2" s="741"/>
      <c r="W2" s="741"/>
      <c r="X2" s="741"/>
      <c r="Y2" s="741"/>
      <c r="Z2" s="741"/>
      <c r="AA2" s="741"/>
      <c r="AB2" s="741"/>
      <c r="AC2" s="743">
        <v>11</v>
      </c>
    </row>
    <row s="46905" customFormat="1" customHeight="1" ht="3">
      <c r="A3" s="1270"/>
      <c r="B3" s="929"/>
      <c r="C3" s="1270"/>
      <c r="D3" s="676"/>
      <c r="E3" s="615"/>
      <c r="F3" s="1021"/>
      <c r="G3" s="615"/>
      <c r="H3" s="615"/>
      <c r="I3" s="678"/>
      <c r="J3" s="759"/>
      <c r="K3" s="667"/>
      <c r="L3" s="667"/>
      <c r="M3" s="667"/>
      <c r="N3" s="738"/>
      <c r="O3" s="667"/>
      <c r="P3" s="737"/>
      <c r="Q3" s="737"/>
      <c r="R3" s="737"/>
      <c r="S3" s="737"/>
      <c r="AC3" s="628">
        <v>3</v>
      </c>
    </row>
    <row s="46905" customFormat="1" customHeight="1" ht="27.299999999999997">
      <c r="A4" s="1270"/>
      <c r="B4" s="929"/>
      <c r="C4" s="1270"/>
      <c r="D4" s="676"/>
      <c r="E4" s="2612" t="str">
        <f>NameTemplatesInListMO</f>
        <v>Перечень муниципальных районов и муниципальных образований (территорий действия тарифа)</v>
      </c>
      <c r="F4" s="2612"/>
      <c r="G4" s="2612"/>
      <c r="H4" s="2612"/>
      <c r="I4" s="2612"/>
      <c r="J4" s="759"/>
      <c r="K4" s="667"/>
      <c r="L4" s="667"/>
      <c r="M4" s="667"/>
      <c r="N4" s="738"/>
      <c r="O4" s="667"/>
      <c r="P4" s="737"/>
      <c r="Q4" s="737"/>
      <c r="R4" s="737"/>
      <c r="S4" s="737"/>
      <c r="AC4" s="628">
        <v>26</v>
      </c>
    </row>
    <row s="46905" customFormat="1" customHeight="1" ht="3">
      <c r="A5" s="1270"/>
      <c r="B5" s="929"/>
      <c r="C5" s="1270"/>
      <c r="D5" s="676"/>
      <c r="E5" s="615"/>
      <c r="F5" s="1021"/>
      <c r="G5" s="679"/>
      <c r="H5" s="679"/>
      <c r="I5" s="680"/>
      <c r="J5" s="667"/>
      <c r="K5" s="667"/>
      <c r="L5" s="667"/>
      <c r="M5" s="667"/>
      <c r="N5" s="738"/>
      <c r="O5" s="667"/>
      <c r="P5" s="737"/>
      <c r="Q5" s="737"/>
      <c r="R5" s="737"/>
      <c r="S5" s="737"/>
      <c r="AC5" s="628">
        <v>3</v>
      </c>
    </row>
    <row s="46905" customFormat="1" customHeight="1" ht="20.25" hidden="1">
      <c r="A6" s="1349"/>
      <c r="B6" s="1345"/>
      <c r="C6" s="681"/>
      <c r="D6" s="676"/>
      <c r="E6" s="1291"/>
      <c r="F6" s="1291"/>
      <c r="G6" s="679"/>
      <c r="H6" s="682"/>
      <c r="I6" s="682"/>
      <c r="J6" s="667"/>
      <c r="K6" s="667"/>
      <c r="L6" s="667"/>
      <c r="M6" s="667"/>
      <c r="N6" s="738"/>
      <c r="O6" s="667"/>
      <c r="P6" s="737"/>
      <c r="Q6" s="737"/>
      <c r="R6" s="737"/>
      <c r="S6" s="737"/>
      <c r="AC6" s="628">
        <v>0</v>
      </c>
    </row>
    <row customHeight="1" ht="25.5" hidden="1">
      <c r="AC7" s="595">
        <v>0</v>
      </c>
    </row>
    <row s="46905" customFormat="1" customHeight="1" ht="14.699999999999998">
      <c r="A8" s="1270"/>
      <c r="B8" s="929"/>
      <c r="C8" s="1270"/>
      <c r="D8" s="676"/>
      <c r="E8" s="2613" t="s">
        <v>88</v>
      </c>
      <c r="F8" s="2614"/>
      <c r="G8" s="2615"/>
      <c r="H8" s="2616" t="s">
        <v>89</v>
      </c>
      <c r="I8" s="2616"/>
      <c r="J8" s="667"/>
      <c r="K8" s="667"/>
      <c r="L8" s="667"/>
      <c r="M8" s="667"/>
      <c r="N8" s="738"/>
      <c r="O8" s="667"/>
      <c r="P8" s="737"/>
      <c r="Q8" s="737"/>
      <c r="R8" s="737"/>
      <c r="S8" s="737"/>
      <c r="AC8" s="628">
        <v>14</v>
      </c>
    </row>
    <row s="46905" customFormat="1" customHeight="1" ht="21">
      <c r="A9" s="1270"/>
      <c r="B9" s="929"/>
      <c r="C9" s="1270"/>
      <c r="D9" s="676"/>
      <c r="E9" s="1289" t="s">
        <v>90</v>
      </c>
      <c r="F9" s="1289"/>
      <c r="G9" s="684" t="s">
        <v>91</v>
      </c>
      <c r="H9" s="684" t="s">
        <v>91</v>
      </c>
      <c r="I9" s="684" t="s">
        <v>87</v>
      </c>
      <c r="J9" s="667"/>
      <c r="K9" s="667"/>
      <c r="L9" s="667"/>
      <c r="M9" s="667"/>
      <c r="N9" s="738"/>
      <c r="O9" s="667"/>
      <c r="P9" s="737"/>
      <c r="Q9" s="737"/>
      <c r="R9" s="737"/>
      <c r="S9" s="737"/>
      <c r="AC9" s="628">
        <v>20</v>
      </c>
    </row>
    <row customHeight="1" ht="11.549999999999999">
      <c r="D10" s="688"/>
      <c r="E10" s="1290" t="s">
        <v>92</v>
      </c>
      <c r="F10" s="1290"/>
      <c r="G10" s="735" t="s">
        <v>93</v>
      </c>
      <c r="H10" s="735" t="s">
        <v>94</v>
      </c>
      <c r="I10" s="735" t="s">
        <v>95</v>
      </c>
      <c r="J10" s="698"/>
      <c r="K10" s="698"/>
      <c r="L10" s="698"/>
      <c r="M10" s="698"/>
      <c r="N10" s="683"/>
      <c r="O10" s="698"/>
      <c r="P10" s="736"/>
      <c r="Q10" s="736"/>
      <c r="R10" s="736"/>
      <c r="S10" s="736"/>
      <c r="AC10" s="595">
        <v>11</v>
      </c>
    </row>
    <row s="46905" customFormat="1" customHeight="1" ht="1.05">
      <c r="A11" s="1270"/>
      <c r="B11" s="929"/>
      <c r="C11" s="1270"/>
      <c r="D11" s="676"/>
      <c r="E11" s="1302"/>
      <c r="F11" s="1302"/>
      <c r="G11" s="685"/>
      <c r="H11" s="685"/>
      <c r="I11" s="687"/>
      <c r="J11" s="761" t="s">
        <v>96</v>
      </c>
      <c r="K11" s="667"/>
      <c r="L11" s="667"/>
      <c r="M11" s="667" t="s">
        <v>97</v>
      </c>
      <c r="N11" s="738" t="s">
        <v>98</v>
      </c>
      <c r="O11" s="667" t="s">
        <v>99</v>
      </c>
      <c r="P11" s="737"/>
      <c r="Q11" s="737"/>
      <c r="R11" s="737"/>
      <c r="S11" s="737"/>
      <c r="AC11" s="628">
        <v>1</v>
      </c>
    </row>
    <row s="46905" customFormat="1" customHeight="1" ht="15">
      <c r="A12" s="2611">
        <v>1</v>
      </c>
      <c r="B12" s="929"/>
      <c r="C12" s="1270"/>
      <c r="D12" s="1294"/>
      <c r="E12" s="731">
        <f>A12</f>
        <v>1</v>
      </c>
      <c r="F12" s="1314" t="s">
        <v>100</v>
      </c>
      <c r="G12" s="1052" t="str">
        <f>"Территория "&amp;E12</f>
        <v>Территория 1</v>
      </c>
      <c r="H12" s="1304"/>
      <c r="I12" s="1304"/>
      <c r="J12" s="1301"/>
      <c r="K12" s="1012"/>
      <c r="L12" s="1012"/>
      <c r="M12" s="1012"/>
      <c r="N12" s="738"/>
      <c r="O12" s="1012"/>
      <c r="P12" s="737"/>
      <c r="Q12" s="737"/>
      <c r="R12" s="737"/>
      <c r="S12" s="737"/>
      <c r="AC12" s="1019">
        <v>14</v>
      </c>
    </row>
    <row s="46950" customFormat="1" customHeight="1" ht="15.75">
      <c r="A13" s="2611"/>
      <c r="B13" s="929">
        <v>1</v>
      </c>
      <c r="C13" s="929"/>
      <c r="D13" s="1312"/>
      <c r="E13" s="1292" t="str">
        <f>A12&amp;"."&amp;B13</f>
        <v>1.1</v>
      </c>
      <c r="F13" s="1307" t="s">
        <v>101</v>
      </c>
      <c r="G13" s="1305" t="s">
        <v>102</v>
      </c>
      <c r="H13" s="1305" t="s">
        <v>102</v>
      </c>
      <c r="I13" s="1303" t="s">
        <v>103</v>
      </c>
      <c r="J13" s="1012">
        <f>MERGEVALUE(G13)</f>
      </c>
      <c r="K13" s="1023"/>
      <c r="L13" s="1023"/>
      <c r="M13" s="1012" t="str">
        <f t="array" ref="M13:M13">IF(ISERROR(MATCH(MID(N13,1,250),MID(note_ter,1,250),0)),"n","y")</f>
        <v>n</v>
      </c>
      <c r="N13" s="1023"/>
      <c r="O13" s="1012" t="str">
        <f>H13&amp;"("&amp;I13&amp;")"</f>
        <v>Анучинский муниципальный округ(05502000)</v>
      </c>
      <c r="P13" s="929"/>
      <c r="Q13" s="929"/>
      <c r="R13" s="932"/>
      <c r="S13" s="929"/>
      <c r="T13" s="929"/>
      <c r="U13" s="929"/>
      <c r="V13" s="934"/>
      <c r="W13" s="934"/>
      <c r="X13" s="931"/>
      <c r="Y13" s="931"/>
      <c r="Z13" s="931"/>
      <c r="AA13" s="931"/>
      <c r="AB13" s="931"/>
      <c r="AC13" s="935">
        <v>15</v>
      </c>
    </row>
    <row s="46950" customFormat="1" customHeight="1" ht="15.75">
      <c r="A14" s="2611"/>
      <c r="B14" s="929"/>
      <c r="C14" s="924"/>
      <c r="D14" s="1313"/>
      <c r="E14" s="933"/>
      <c r="F14" s="689"/>
      <c r="G14" s="927" t="s">
        <v>104</v>
      </c>
      <c r="H14" s="699"/>
      <c r="I14" s="936"/>
      <c r="J14" s="1023"/>
      <c r="K14" s="1023"/>
      <c r="L14" s="1023"/>
      <c r="M14" s="1023"/>
      <c r="N14" s="1012"/>
      <c r="O14" s="1023"/>
      <c r="P14" s="929"/>
      <c r="Q14" s="929"/>
      <c r="R14" s="932"/>
      <c r="S14" s="929"/>
      <c r="T14" s="929"/>
      <c r="U14" s="929"/>
      <c r="V14" s="934"/>
      <c r="W14" s="934"/>
      <c r="X14" s="931"/>
      <c r="Y14" s="931"/>
      <c r="Z14" s="931"/>
      <c r="AA14" s="931"/>
      <c r="AB14" s="931"/>
      <c r="AC14" s="935">
        <v>15</v>
      </c>
    </row>
    <row customHeight="1" ht="15">
      <c r="A15" s="2729" t="s">
        <v>105</v>
      </c>
      <c r="B15" s="1672"/>
      <c r="C15" s="1313" t="s">
        <v>106</v>
      </c>
      <c r="D15" s="2330"/>
      <c r="E15" s="2317" t="str">
        <f>A15</f>
        <v>2</v>
      </c>
      <c r="F15" s="1316" t="s">
        <v>107</v>
      </c>
      <c r="G15" s="1052" t="str">
        <f>"Территория "&amp;E15</f>
        <v>Территория 2</v>
      </c>
      <c r="H15" s="1304"/>
      <c r="I15" s="1304"/>
      <c r="J15" s="1301"/>
      <c r="K15" s="2136"/>
      <c r="L15" s="2136"/>
      <c r="M15" s="2136"/>
      <c r="N15" s="738"/>
      <c r="O15" s="2136"/>
      <c r="P15" s="737"/>
      <c r="Q15" s="737"/>
      <c r="R15" s="737"/>
      <c r="S15" s="737"/>
      <c r="T15" s="12269"/>
      <c r="U15" s="12269"/>
      <c r="V15" s="12269"/>
      <c r="W15" s="12269"/>
      <c r="X15" s="12269"/>
      <c r="Y15" s="12269"/>
      <c r="Z15" s="12269"/>
      <c r="AA15" s="12269"/>
      <c r="AB15" s="12269"/>
      <c r="AC15" s="12269"/>
    </row>
    <row customHeight="1" ht="15">
      <c r="A16" s="2729"/>
      <c r="B16" s="1672">
        <v>1</v>
      </c>
      <c r="C16" s="1672"/>
      <c r="D16" s="1312"/>
      <c r="E16" s="2325" t="str">
        <f>A15&amp;"."&amp;B16</f>
        <v>2.1</v>
      </c>
      <c r="F16" s="1315" t="s">
        <v>108</v>
      </c>
      <c r="G16" s="1305" t="s">
        <v>109</v>
      </c>
      <c r="H16" s="1305" t="s">
        <v>110</v>
      </c>
      <c r="I16" s="1303" t="s">
        <v>111</v>
      </c>
      <c r="J16" s="2136"/>
      <c r="K16" s="2148"/>
      <c r="L16" s="2148"/>
      <c r="M16" s="2136" t="str">
        <f t="array" ref="M16:M16">IF(ISERROR(MATCH(MID(N16,1,250),MID(note_ter,1,250),0)),"n","y")</f>
        <v>n</v>
      </c>
      <c r="N16" s="2148"/>
      <c r="O16" s="2136" t="str">
        <f>H16&amp;"("&amp;I16&amp;")"</f>
        <v>Новошахтинское городское поселение(05620154)</v>
      </c>
      <c r="P16" s="1672"/>
      <c r="Q16" s="1672"/>
      <c r="R16" s="932"/>
      <c r="S16" s="1672"/>
      <c r="T16" s="1672"/>
      <c r="U16" s="1672"/>
      <c r="V16" s="934"/>
      <c r="W16" s="934"/>
      <c r="X16" s="931"/>
      <c r="Y16" s="931"/>
      <c r="Z16" s="931"/>
      <c r="AA16" s="931"/>
      <c r="AB16" s="931"/>
      <c r="AC16" s="931"/>
    </row>
    <row customHeight="1" ht="15">
      <c r="A17" s="2729"/>
      <c r="B17" s="1672"/>
      <c r="C17" s="924"/>
      <c r="D17" s="1313"/>
      <c r="E17" s="933"/>
      <c r="F17" s="689"/>
      <c r="G17" s="927" t="s">
        <v>104</v>
      </c>
      <c r="H17" s="699"/>
      <c r="I17" s="936"/>
      <c r="J17" s="2148"/>
      <c r="K17" s="2148"/>
      <c r="L17" s="2148"/>
      <c r="M17" s="2148"/>
      <c r="N17" s="2136"/>
      <c r="O17" s="2148"/>
      <c r="P17" s="1672"/>
      <c r="Q17" s="1672"/>
      <c r="R17" s="932"/>
      <c r="S17" s="1672"/>
      <c r="T17" s="1672"/>
      <c r="U17" s="1672"/>
      <c r="V17" s="934"/>
      <c r="W17" s="934"/>
      <c r="X17" s="931"/>
      <c r="Y17" s="931"/>
      <c r="Z17" s="931"/>
      <c r="AA17" s="931"/>
      <c r="AB17" s="931"/>
      <c r="AC17" s="931"/>
    </row>
    <row customHeight="1" ht="15">
      <c r="A18" s="2729" t="s">
        <v>92</v>
      </c>
      <c r="B18" s="1672"/>
      <c r="C18" s="1313" t="s">
        <v>106</v>
      </c>
      <c r="D18" s="2330"/>
      <c r="E18" s="2317" t="str">
        <f>A18</f>
        <v>3</v>
      </c>
      <c r="F18" s="1316" t="s">
        <v>112</v>
      </c>
      <c r="G18" s="1052" t="str">
        <f>"Территория "&amp;E18</f>
        <v>Территория 3</v>
      </c>
      <c r="H18" s="1304"/>
      <c r="I18" s="1304"/>
      <c r="J18" s="1301"/>
      <c r="K18" s="2136"/>
      <c r="L18" s="2136"/>
      <c r="M18" s="2136"/>
      <c r="N18" s="738"/>
      <c r="O18" s="2136"/>
      <c r="P18" s="737"/>
      <c r="Q18" s="737"/>
      <c r="R18" s="737"/>
      <c r="S18" s="737"/>
      <c r="T18" s="12269"/>
      <c r="U18" s="12269"/>
      <c r="V18" s="12269"/>
      <c r="W18" s="12269"/>
      <c r="X18" s="12269"/>
      <c r="Y18" s="12269"/>
      <c r="Z18" s="12269"/>
      <c r="AA18" s="12269"/>
      <c r="AB18" s="12269"/>
      <c r="AC18" s="12269"/>
    </row>
    <row customHeight="1" ht="15">
      <c r="A19" s="2729"/>
      <c r="B19" s="1672">
        <v>1</v>
      </c>
      <c r="C19" s="1672"/>
      <c r="D19" s="1312"/>
      <c r="E19" s="2325" t="str">
        <f>A18&amp;"."&amp;B19</f>
        <v>3.1</v>
      </c>
      <c r="F19" s="1315" t="s">
        <v>113</v>
      </c>
      <c r="G19" s="1305" t="s">
        <v>114</v>
      </c>
      <c r="H19" s="1305" t="s">
        <v>114</v>
      </c>
      <c r="I19" s="1303" t="s">
        <v>115</v>
      </c>
      <c r="J19" s="2136"/>
      <c r="K19" s="2148"/>
      <c r="L19" s="2148"/>
      <c r="M19" s="2136" t="str">
        <f t="array" ref="M19:M19">IF(ISERROR(MATCH(MID(N19,1,250),MID(note_ter,1,250),0)),"n","y")</f>
        <v>n</v>
      </c>
      <c r="N19" s="2148"/>
      <c r="O19" s="2136" t="str">
        <f>H19&amp;"("&amp;I19&amp;")"</f>
        <v>Кавалеровский муниципальный округ(05510000)</v>
      </c>
      <c r="P19" s="1672"/>
      <c r="Q19" s="1672"/>
      <c r="R19" s="932"/>
      <c r="S19" s="1672"/>
      <c r="T19" s="1672"/>
      <c r="U19" s="1672"/>
      <c r="V19" s="934"/>
      <c r="W19" s="934"/>
      <c r="X19" s="931"/>
      <c r="Y19" s="931"/>
      <c r="Z19" s="931"/>
      <c r="AA19" s="931"/>
      <c r="AB19" s="931"/>
      <c r="AC19" s="931"/>
    </row>
    <row customHeight="1" ht="15">
      <c r="A20" s="2729"/>
      <c r="B20" s="1672"/>
      <c r="C20" s="924"/>
      <c r="D20" s="1313"/>
      <c r="E20" s="933"/>
      <c r="F20" s="689"/>
      <c r="G20" s="927" t="s">
        <v>104</v>
      </c>
      <c r="H20" s="699"/>
      <c r="I20" s="936"/>
      <c r="J20" s="2148"/>
      <c r="K20" s="2148"/>
      <c r="L20" s="2148"/>
      <c r="M20" s="2148"/>
      <c r="N20" s="2136"/>
      <c r="O20" s="2148"/>
      <c r="P20" s="1672"/>
      <c r="Q20" s="1672"/>
      <c r="R20" s="932"/>
      <c r="S20" s="1672"/>
      <c r="T20" s="1672"/>
      <c r="U20" s="1672"/>
      <c r="V20" s="934"/>
      <c r="W20" s="934"/>
      <c r="X20" s="931"/>
      <c r="Y20" s="931"/>
      <c r="Z20" s="931"/>
      <c r="AA20" s="931"/>
      <c r="AB20" s="931"/>
      <c r="AC20" s="931"/>
    </row>
    <row customHeight="1" ht="15">
      <c r="A21" s="2729" t="s">
        <v>93</v>
      </c>
      <c r="B21" s="1672"/>
      <c r="C21" s="1313" t="s">
        <v>106</v>
      </c>
      <c r="D21" s="2330"/>
      <c r="E21" s="2317" t="str">
        <f>A21</f>
        <v>4</v>
      </c>
      <c r="F21" s="1316" t="s">
        <v>116</v>
      </c>
      <c r="G21" s="1052" t="str">
        <f>"Территория "&amp;E21</f>
        <v>Территория 4</v>
      </c>
      <c r="H21" s="1304"/>
      <c r="I21" s="1304"/>
      <c r="J21" s="1301"/>
      <c r="K21" s="2136"/>
      <c r="L21" s="2136"/>
      <c r="M21" s="2136"/>
      <c r="N21" s="738"/>
      <c r="O21" s="2136"/>
      <c r="P21" s="737"/>
      <c r="Q21" s="737"/>
      <c r="R21" s="737"/>
      <c r="S21" s="737"/>
      <c r="T21" s="12269"/>
      <c r="U21" s="12269"/>
      <c r="V21" s="12269"/>
      <c r="W21" s="12269"/>
      <c r="X21" s="12269"/>
      <c r="Y21" s="12269"/>
      <c r="Z21" s="12269"/>
      <c r="AA21" s="12269"/>
      <c r="AB21" s="12269"/>
      <c r="AC21" s="12269"/>
    </row>
    <row customHeight="1" ht="15">
      <c r="A22" s="2729"/>
      <c r="B22" s="1672">
        <v>1</v>
      </c>
      <c r="C22" s="1672"/>
      <c r="D22" s="1312"/>
      <c r="E22" s="2325" t="str">
        <f>A21&amp;"."&amp;B22</f>
        <v>4.1</v>
      </c>
      <c r="F22" s="1315" t="s">
        <v>117</v>
      </c>
      <c r="G22" s="1305" t="s">
        <v>118</v>
      </c>
      <c r="H22" s="1305" t="s">
        <v>118</v>
      </c>
      <c r="I22" s="1303" t="s">
        <v>119</v>
      </c>
      <c r="J22" s="2136"/>
      <c r="K22" s="2148"/>
      <c r="L22" s="2148"/>
      <c r="M22" s="2136" t="str">
        <f t="array" ref="M22:M22">IF(ISERROR(MATCH(MID(N22,1,250),MID(note_ter,1,250),0)),"n","y")</f>
        <v>n</v>
      </c>
      <c r="N22" s="2148"/>
      <c r="O22" s="2136" t="str">
        <f>H22&amp;"("&amp;I22&amp;")"</f>
        <v>Хасанский муниципальный округ(05548000)</v>
      </c>
      <c r="P22" s="1672"/>
      <c r="Q22" s="1672"/>
      <c r="R22" s="932"/>
      <c r="S22" s="1672"/>
      <c r="T22" s="1672"/>
      <c r="U22" s="1672"/>
      <c r="V22" s="934"/>
      <c r="W22" s="934"/>
      <c r="X22" s="931"/>
      <c r="Y22" s="931"/>
      <c r="Z22" s="931"/>
      <c r="AA22" s="931"/>
      <c r="AB22" s="931"/>
      <c r="AC22" s="931"/>
    </row>
    <row customHeight="1" ht="15">
      <c r="A23" s="2729"/>
      <c r="B23" s="1672"/>
      <c r="C23" s="924"/>
      <c r="D23" s="1313"/>
      <c r="E23" s="933"/>
      <c r="F23" s="689"/>
      <c r="G23" s="927" t="s">
        <v>104</v>
      </c>
      <c r="H23" s="699"/>
      <c r="I23" s="936"/>
      <c r="J23" s="2148"/>
      <c r="K23" s="2148"/>
      <c r="L23" s="2148"/>
      <c r="M23" s="2148"/>
      <c r="N23" s="2136"/>
      <c r="O23" s="2148"/>
      <c r="P23" s="1672"/>
      <c r="Q23" s="1672"/>
      <c r="R23" s="932"/>
      <c r="S23" s="1672"/>
      <c r="T23" s="1672"/>
      <c r="U23" s="1672"/>
      <c r="V23" s="934"/>
      <c r="W23" s="934"/>
      <c r="X23" s="931"/>
      <c r="Y23" s="931"/>
      <c r="Z23" s="931"/>
      <c r="AA23" s="931"/>
      <c r="AB23" s="931"/>
      <c r="AC23" s="931"/>
    </row>
    <row customHeight="1" ht="15">
      <c r="A24" s="2729" t="s">
        <v>120</v>
      </c>
      <c r="B24" s="1672"/>
      <c r="C24" s="1313" t="s">
        <v>106</v>
      </c>
      <c r="D24" s="2330"/>
      <c r="E24" s="2317" t="str">
        <f>A24</f>
        <v>5</v>
      </c>
      <c r="F24" s="1316" t="s">
        <v>121</v>
      </c>
      <c r="G24" s="1052" t="str">
        <f>"Территория "&amp;E24</f>
        <v>Территория 5</v>
      </c>
      <c r="H24" s="1304"/>
      <c r="I24" s="1304"/>
      <c r="J24" s="1301"/>
      <c r="K24" s="2136"/>
      <c r="L24" s="2136"/>
      <c r="M24" s="2136"/>
      <c r="N24" s="738"/>
      <c r="O24" s="2136"/>
      <c r="P24" s="737"/>
      <c r="Q24" s="737"/>
      <c r="R24" s="737"/>
      <c r="S24" s="737"/>
      <c r="T24" s="12269"/>
      <c r="U24" s="12269"/>
      <c r="V24" s="12269"/>
      <c r="W24" s="12269"/>
      <c r="X24" s="12269"/>
      <c r="Y24" s="12269"/>
      <c r="Z24" s="12269"/>
      <c r="AA24" s="12269"/>
      <c r="AB24" s="12269"/>
      <c r="AC24" s="12269"/>
    </row>
    <row customHeight="1" ht="15">
      <c r="A25" s="2729"/>
      <c r="B25" s="1672">
        <v>1</v>
      </c>
      <c r="C25" s="1672"/>
      <c r="D25" s="1312"/>
      <c r="E25" s="2325" t="str">
        <f>A24&amp;"."&amp;B25</f>
        <v>5.1</v>
      </c>
      <c r="F25" s="1315" t="s">
        <v>122</v>
      </c>
      <c r="G25" s="1305" t="s">
        <v>123</v>
      </c>
      <c r="H25" s="1305" t="s">
        <v>124</v>
      </c>
      <c r="I25" s="1303" t="s">
        <v>125</v>
      </c>
      <c r="J25" s="2136"/>
      <c r="K25" s="2148"/>
      <c r="L25" s="2148"/>
      <c r="M25" s="2136" t="str">
        <f t="array" ref="M25:M25">IF(ISERROR(MATCH(MID(N25,1,250),MID(note_ter,1,250),0)),"n","y")</f>
        <v>n</v>
      </c>
      <c r="N25" s="2148"/>
      <c r="O25" s="2136" t="str">
        <f>H25&amp;"("&amp;I25&amp;")"</f>
        <v>Дмитриевское сельское поселение(05653410)</v>
      </c>
      <c r="P25" s="1672"/>
      <c r="Q25" s="1672"/>
      <c r="R25" s="932"/>
      <c r="S25" s="1672"/>
      <c r="T25" s="1672"/>
      <c r="U25" s="1672"/>
      <c r="V25" s="934"/>
      <c r="W25" s="934"/>
      <c r="X25" s="931"/>
      <c r="Y25" s="931"/>
      <c r="Z25" s="931"/>
      <c r="AA25" s="931"/>
      <c r="AB25" s="931"/>
      <c r="AC25" s="931"/>
    </row>
    <row customHeight="1" ht="15">
      <c r="A26" s="2729"/>
      <c r="B26" s="1672"/>
      <c r="C26" s="924"/>
      <c r="D26" s="1313"/>
      <c r="E26" s="933"/>
      <c r="F26" s="689"/>
      <c r="G26" s="927" t="s">
        <v>104</v>
      </c>
      <c r="H26" s="699"/>
      <c r="I26" s="936"/>
      <c r="J26" s="2148"/>
      <c r="K26" s="2148"/>
      <c r="L26" s="2148"/>
      <c r="M26" s="2148"/>
      <c r="N26" s="2136"/>
      <c r="O26" s="2148"/>
      <c r="P26" s="1672"/>
      <c r="Q26" s="1672"/>
      <c r="R26" s="932"/>
      <c r="S26" s="1672"/>
      <c r="T26" s="1672"/>
      <c r="U26" s="1672"/>
      <c r="V26" s="934"/>
      <c r="W26" s="934"/>
      <c r="X26" s="931"/>
      <c r="Y26" s="931"/>
      <c r="Z26" s="931"/>
      <c r="AA26" s="931"/>
      <c r="AB26" s="931"/>
      <c r="AC26" s="931"/>
    </row>
    <row customHeight="1" ht="15">
      <c r="A27" s="2729" t="s">
        <v>94</v>
      </c>
      <c r="B27" s="1672"/>
      <c r="C27" s="1313" t="s">
        <v>106</v>
      </c>
      <c r="D27" s="2330"/>
      <c r="E27" s="2317" t="str">
        <f>A27</f>
        <v>6</v>
      </c>
      <c r="F27" s="1316" t="s">
        <v>126</v>
      </c>
      <c r="G27" s="1052" t="str">
        <f>"Территория "&amp;E27</f>
        <v>Территория 6</v>
      </c>
      <c r="H27" s="1304"/>
      <c r="I27" s="1304"/>
      <c r="J27" s="1301"/>
      <c r="K27" s="2136"/>
      <c r="L27" s="2136"/>
      <c r="M27" s="2136"/>
      <c r="N27" s="738"/>
      <c r="O27" s="2136"/>
      <c r="P27" s="737"/>
      <c r="Q27" s="737"/>
      <c r="R27" s="737"/>
      <c r="S27" s="737"/>
      <c r="T27" s="12269"/>
      <c r="U27" s="12269"/>
      <c r="V27" s="12269"/>
      <c r="W27" s="12269"/>
      <c r="X27" s="12269"/>
      <c r="Y27" s="12269"/>
      <c r="Z27" s="12269"/>
      <c r="AA27" s="12269"/>
      <c r="AB27" s="12269"/>
      <c r="AC27" s="12269"/>
    </row>
    <row customHeight="1" ht="15">
      <c r="A28" s="2729"/>
      <c r="B28" s="1672">
        <v>1</v>
      </c>
      <c r="C28" s="1672"/>
      <c r="D28" s="1312"/>
      <c r="E28" s="2325" t="str">
        <f>A27&amp;"."&amp;B28</f>
        <v>6.1</v>
      </c>
      <c r="F28" s="1315" t="s">
        <v>127</v>
      </c>
      <c r="G28" s="1305" t="s">
        <v>123</v>
      </c>
      <c r="H28" s="1305" t="s">
        <v>128</v>
      </c>
      <c r="I28" s="1303" t="s">
        <v>129</v>
      </c>
      <c r="J28" s="2136"/>
      <c r="K28" s="2148"/>
      <c r="L28" s="2148"/>
      <c r="M28" s="2136" t="str">
        <f t="array" ref="M28:M28">IF(ISERROR(MATCH(MID(N28,1,250),MID(note_ter,1,250),0)),"n","y")</f>
        <v>n</v>
      </c>
      <c r="N28" s="2148"/>
      <c r="O28" s="2136" t="str">
        <f>H28&amp;"("&amp;I28&amp;")"</f>
        <v>Реттиховское городское поселение(05653422)</v>
      </c>
      <c r="P28" s="1672"/>
      <c r="Q28" s="1672"/>
      <c r="R28" s="932"/>
      <c r="S28" s="1672"/>
      <c r="T28" s="1672"/>
      <c r="U28" s="1672"/>
      <c r="V28" s="934"/>
      <c r="W28" s="934"/>
      <c r="X28" s="931"/>
      <c r="Y28" s="931"/>
      <c r="Z28" s="931"/>
      <c r="AA28" s="931"/>
      <c r="AB28" s="931"/>
      <c r="AC28" s="931"/>
    </row>
    <row customHeight="1" ht="15">
      <c r="A29" s="2729"/>
      <c r="B29" s="1672"/>
      <c r="C29" s="924"/>
      <c r="D29" s="1313"/>
      <c r="E29" s="933"/>
      <c r="F29" s="689"/>
      <c r="G29" s="927" t="s">
        <v>104</v>
      </c>
      <c r="H29" s="699"/>
      <c r="I29" s="936"/>
      <c r="J29" s="2148"/>
      <c r="K29" s="2148"/>
      <c r="L29" s="2148"/>
      <c r="M29" s="2148"/>
      <c r="N29" s="2136"/>
      <c r="O29" s="2148"/>
      <c r="P29" s="1672"/>
      <c r="Q29" s="1672"/>
      <c r="R29" s="932"/>
      <c r="S29" s="1672"/>
      <c r="T29" s="1672"/>
      <c r="U29" s="1672"/>
      <c r="V29" s="934"/>
      <c r="W29" s="934"/>
      <c r="X29" s="931"/>
      <c r="Y29" s="931"/>
      <c r="Z29" s="931"/>
      <c r="AA29" s="931"/>
      <c r="AB29" s="931"/>
      <c r="AC29" s="931"/>
    </row>
    <row customHeight="1" ht="15">
      <c r="A30" s="2729" t="s">
        <v>95</v>
      </c>
      <c r="B30" s="1672"/>
      <c r="C30" s="1313" t="s">
        <v>106</v>
      </c>
      <c r="D30" s="2330"/>
      <c r="E30" s="2317" t="str">
        <f>A30</f>
        <v>7</v>
      </c>
      <c r="F30" s="1316" t="s">
        <v>130</v>
      </c>
      <c r="G30" s="1052" t="str">
        <f>"Территория "&amp;E30</f>
        <v>Территория 7</v>
      </c>
      <c r="H30" s="1304"/>
      <c r="I30" s="1304"/>
      <c r="J30" s="1301"/>
      <c r="K30" s="2136"/>
      <c r="L30" s="2136"/>
      <c r="M30" s="2136"/>
      <c r="N30" s="738"/>
      <c r="O30" s="2136"/>
      <c r="P30" s="737"/>
      <c r="Q30" s="737"/>
      <c r="R30" s="737"/>
      <c r="S30" s="737"/>
      <c r="T30" s="12269"/>
      <c r="U30" s="12269"/>
      <c r="V30" s="12269"/>
      <c r="W30" s="12269"/>
      <c r="X30" s="12269"/>
      <c r="Y30" s="12269"/>
      <c r="Z30" s="12269"/>
      <c r="AA30" s="12269"/>
      <c r="AB30" s="12269"/>
      <c r="AC30" s="12269"/>
    </row>
    <row customHeight="1" ht="15">
      <c r="A31" s="2729"/>
      <c r="B31" s="1672">
        <v>1</v>
      </c>
      <c r="C31" s="1672"/>
      <c r="D31" s="1312"/>
      <c r="E31" s="2325" t="str">
        <f>A30&amp;"."&amp;B31</f>
        <v>7.1</v>
      </c>
      <c r="F31" s="1315" t="s">
        <v>131</v>
      </c>
      <c r="G31" s="1305" t="s">
        <v>123</v>
      </c>
      <c r="H31" s="1305" t="s">
        <v>132</v>
      </c>
      <c r="I31" s="1303" t="s">
        <v>133</v>
      </c>
      <c r="J31" s="2136"/>
      <c r="K31" s="2148"/>
      <c r="L31" s="2148"/>
      <c r="M31" s="2136" t="str">
        <f t="array" ref="M31:M31">IF(ISERROR(MATCH(MID(N31,1,250),MID(note_ter,1,250),0)),"n","y")</f>
        <v>n</v>
      </c>
      <c r="N31" s="2148"/>
      <c r="O31" s="2136" t="str">
        <f>H31&amp;"("&amp;I31&amp;")"</f>
        <v>Снегуровское(05653419)</v>
      </c>
      <c r="P31" s="1672"/>
      <c r="Q31" s="1672"/>
      <c r="R31" s="932"/>
      <c r="S31" s="1672"/>
      <c r="T31" s="1672"/>
      <c r="U31" s="1672"/>
      <c r="V31" s="934"/>
      <c r="W31" s="934"/>
      <c r="X31" s="931"/>
      <c r="Y31" s="931"/>
      <c r="Z31" s="931"/>
      <c r="AA31" s="931"/>
      <c r="AB31" s="931"/>
      <c r="AC31" s="931"/>
    </row>
    <row customHeight="1" ht="15">
      <c r="A32" s="2729"/>
      <c r="B32" s="1672"/>
      <c r="C32" s="924"/>
      <c r="D32" s="1313"/>
      <c r="E32" s="933"/>
      <c r="F32" s="689"/>
      <c r="G32" s="927" t="s">
        <v>104</v>
      </c>
      <c r="H32" s="699"/>
      <c r="I32" s="936"/>
      <c r="J32" s="2148"/>
      <c r="K32" s="2148"/>
      <c r="L32" s="2148"/>
      <c r="M32" s="2148"/>
      <c r="N32" s="2136"/>
      <c r="O32" s="2148"/>
      <c r="P32" s="1672"/>
      <c r="Q32" s="1672"/>
      <c r="R32" s="932"/>
      <c r="S32" s="1672"/>
      <c r="T32" s="1672"/>
      <c r="U32" s="1672"/>
      <c r="V32" s="934"/>
      <c r="W32" s="934"/>
      <c r="X32" s="931"/>
      <c r="Y32" s="931"/>
      <c r="Z32" s="931"/>
      <c r="AA32" s="931"/>
      <c r="AB32" s="931"/>
      <c r="AC32" s="931"/>
    </row>
    <row customHeight="1" ht="15">
      <c r="A33" s="2729" t="s">
        <v>134</v>
      </c>
      <c r="B33" s="1672"/>
      <c r="C33" s="1313" t="s">
        <v>106</v>
      </c>
      <c r="D33" s="2330"/>
      <c r="E33" s="2317" t="str">
        <f>A33</f>
        <v>8</v>
      </c>
      <c r="F33" s="1316" t="s">
        <v>135</v>
      </c>
      <c r="G33" s="1052" t="str">
        <f>"Территория "&amp;E33</f>
        <v>Территория 8</v>
      </c>
      <c r="H33" s="1304"/>
      <c r="I33" s="1304"/>
      <c r="J33" s="1301"/>
      <c r="K33" s="2136"/>
      <c r="L33" s="2136"/>
      <c r="M33" s="2136"/>
      <c r="N33" s="738"/>
      <c r="O33" s="2136"/>
      <c r="P33" s="737"/>
      <c r="Q33" s="737"/>
      <c r="R33" s="737"/>
      <c r="S33" s="737"/>
      <c r="T33" s="12269"/>
      <c r="U33" s="12269"/>
      <c r="V33" s="12269"/>
      <c r="W33" s="12269"/>
      <c r="X33" s="12269"/>
      <c r="Y33" s="12269"/>
      <c r="Z33" s="12269"/>
      <c r="AA33" s="12269"/>
      <c r="AB33" s="12269"/>
      <c r="AC33" s="12269"/>
    </row>
    <row customHeight="1" ht="15">
      <c r="A34" s="2729"/>
      <c r="B34" s="1672">
        <v>1</v>
      </c>
      <c r="C34" s="1672"/>
      <c r="D34" s="1312"/>
      <c r="E34" s="2325" t="str">
        <f>A33&amp;"."&amp;B34</f>
        <v>8.1</v>
      </c>
      <c r="F34" s="1315" t="s">
        <v>136</v>
      </c>
      <c r="G34" s="1305" t="s">
        <v>137</v>
      </c>
      <c r="H34" s="1305" t="s">
        <v>137</v>
      </c>
      <c r="I34" s="1303" t="s">
        <v>138</v>
      </c>
      <c r="J34" s="2136"/>
      <c r="K34" s="2148"/>
      <c r="L34" s="2148"/>
      <c r="M34" s="2136" t="str">
        <f t="array" ref="M34:M34">IF(ISERROR(MATCH(MID(N34,1,250),MID(note_ter,1,250),0)),"n","y")</f>
        <v>n</v>
      </c>
      <c r="N34" s="2148"/>
      <c r="O34" s="2136" t="str">
        <f>H34&amp;"("&amp;I34&amp;")"</f>
        <v>Черниговский муниципальный округ(05553000)</v>
      </c>
      <c r="P34" s="1672"/>
      <c r="Q34" s="1672"/>
      <c r="R34" s="932"/>
      <c r="S34" s="1672"/>
      <c r="T34" s="1672"/>
      <c r="U34" s="1672"/>
      <c r="V34" s="934"/>
      <c r="W34" s="934"/>
      <c r="X34" s="931"/>
      <c r="Y34" s="931"/>
      <c r="Z34" s="931"/>
      <c r="AA34" s="931"/>
      <c r="AB34" s="931"/>
      <c r="AC34" s="931"/>
    </row>
    <row customHeight="1" ht="15">
      <c r="A35" s="2729"/>
      <c r="B35" s="1672"/>
      <c r="C35" s="924"/>
      <c r="D35" s="1313"/>
      <c r="E35" s="933"/>
      <c r="F35" s="689"/>
      <c r="G35" s="927" t="s">
        <v>104</v>
      </c>
      <c r="H35" s="699"/>
      <c r="I35" s="936"/>
      <c r="J35" s="2148"/>
      <c r="K35" s="2148"/>
      <c r="L35" s="2148"/>
      <c r="M35" s="2148"/>
      <c r="N35" s="2136"/>
      <c r="O35" s="2148"/>
      <c r="P35" s="1672"/>
      <c r="Q35" s="1672"/>
      <c r="R35" s="932"/>
      <c r="S35" s="1672"/>
      <c r="T35" s="1672"/>
      <c r="U35" s="1672"/>
      <c r="V35" s="934"/>
      <c r="W35" s="934"/>
      <c r="X35" s="931"/>
      <c r="Y35" s="931"/>
      <c r="Z35" s="931"/>
      <c r="AA35" s="931"/>
      <c r="AB35" s="931"/>
      <c r="AC35" s="931"/>
    </row>
    <row customHeight="1" ht="15">
      <c r="A36" s="2729" t="s">
        <v>139</v>
      </c>
      <c r="B36" s="1672"/>
      <c r="C36" s="1313" t="s">
        <v>106</v>
      </c>
      <c r="D36" s="2330"/>
      <c r="E36" s="2317" t="str">
        <f>A36</f>
        <v>9</v>
      </c>
      <c r="F36" s="1316" t="s">
        <v>140</v>
      </c>
      <c r="G36" s="1052" t="str">
        <f>"Территория "&amp;E36</f>
        <v>Территория 9</v>
      </c>
      <c r="H36" s="1304"/>
      <c r="I36" s="1304"/>
      <c r="J36" s="1301"/>
      <c r="K36" s="2136"/>
      <c r="L36" s="2136"/>
      <c r="M36" s="2136"/>
      <c r="N36" s="738"/>
      <c r="O36" s="2136"/>
      <c r="P36" s="737"/>
      <c r="Q36" s="737"/>
      <c r="R36" s="737"/>
      <c r="S36" s="737"/>
      <c r="T36" s="12269"/>
      <c r="U36" s="12269"/>
      <c r="V36" s="12269"/>
      <c r="W36" s="12269"/>
      <c r="X36" s="12269"/>
      <c r="Y36" s="12269"/>
      <c r="Z36" s="12269"/>
      <c r="AA36" s="12269"/>
      <c r="AB36" s="12269"/>
      <c r="AC36" s="12269"/>
    </row>
    <row customHeight="1" ht="15">
      <c r="A37" s="2729"/>
      <c r="B37" s="1672">
        <v>1</v>
      </c>
      <c r="C37" s="1672"/>
      <c r="D37" s="1312"/>
      <c r="E37" s="2325" t="str">
        <f>A36&amp;"."&amp;B37</f>
        <v>9.1</v>
      </c>
      <c r="F37" s="1315" t="s">
        <v>141</v>
      </c>
      <c r="G37" s="1305" t="s">
        <v>142</v>
      </c>
      <c r="H37" s="1305" t="s">
        <v>143</v>
      </c>
      <c r="I37" s="1303" t="s">
        <v>144</v>
      </c>
      <c r="J37" s="2136"/>
      <c r="K37" s="2148"/>
      <c r="L37" s="2148"/>
      <c r="M37" s="2136" t="str">
        <f t="array" ref="M37:M37">IF(ISERROR(MATCH(MID(N37,1,250),MID(note_ter,1,250),0)),"n","y")</f>
        <v>n</v>
      </c>
      <c r="N37" s="2148"/>
      <c r="O37" s="2136" t="str">
        <f>H37&amp;"("&amp;I37&amp;")"</f>
        <v>Романовское сельское поселение(05657425)</v>
      </c>
      <c r="P37" s="1672"/>
      <c r="Q37" s="1672"/>
      <c r="R37" s="932"/>
      <c r="S37" s="1672"/>
      <c r="T37" s="1672"/>
      <c r="U37" s="1672"/>
      <c r="V37" s="934"/>
      <c r="W37" s="934"/>
      <c r="X37" s="931"/>
      <c r="Y37" s="931"/>
      <c r="Z37" s="931"/>
      <c r="AA37" s="931"/>
      <c r="AB37" s="931"/>
      <c r="AC37" s="931"/>
    </row>
    <row customHeight="1" ht="15">
      <c r="A38" s="2729"/>
      <c r="B38" s="1672"/>
      <c r="C38" s="924"/>
      <c r="D38" s="1313"/>
      <c r="E38" s="933"/>
      <c r="F38" s="689"/>
      <c r="G38" s="927" t="s">
        <v>104</v>
      </c>
      <c r="H38" s="699"/>
      <c r="I38" s="936"/>
      <c r="J38" s="2148"/>
      <c r="K38" s="2148"/>
      <c r="L38" s="2148"/>
      <c r="M38" s="2148"/>
      <c r="N38" s="2136"/>
      <c r="O38" s="2148"/>
      <c r="P38" s="1672"/>
      <c r="Q38" s="1672"/>
      <c r="R38" s="932"/>
      <c r="S38" s="1672"/>
      <c r="T38" s="1672"/>
      <c r="U38" s="1672"/>
      <c r="V38" s="934"/>
      <c r="W38" s="934"/>
      <c r="X38" s="931"/>
      <c r="Y38" s="931"/>
      <c r="Z38" s="931"/>
      <c r="AA38" s="931"/>
      <c r="AB38" s="931"/>
      <c r="AC38" s="931"/>
    </row>
    <row customHeight="1" ht="15">
      <c r="A39" s="2729" t="s">
        <v>145</v>
      </c>
      <c r="B39" s="1672"/>
      <c r="C39" s="1313" t="s">
        <v>106</v>
      </c>
      <c r="D39" s="2330"/>
      <c r="E39" s="2317" t="str">
        <f>A39</f>
        <v>10</v>
      </c>
      <c r="F39" s="1316" t="s">
        <v>146</v>
      </c>
      <c r="G39" s="1052" t="str">
        <f>"Территория "&amp;E39</f>
        <v>Территория 10</v>
      </c>
      <c r="H39" s="1304"/>
      <c r="I39" s="1304"/>
      <c r="J39" s="1301"/>
      <c r="K39" s="2136"/>
      <c r="L39" s="2136"/>
      <c r="M39" s="2136"/>
      <c r="N39" s="738"/>
      <c r="O39" s="2136"/>
      <c r="P39" s="737"/>
      <c r="Q39" s="737"/>
      <c r="R39" s="737"/>
      <c r="S39" s="737"/>
      <c r="T39" s="12269"/>
      <c r="U39" s="12269"/>
      <c r="V39" s="12269"/>
      <c r="W39" s="12269"/>
      <c r="X39" s="12269"/>
      <c r="Y39" s="12269"/>
      <c r="Z39" s="12269"/>
      <c r="AA39" s="12269"/>
      <c r="AB39" s="12269"/>
      <c r="AC39" s="12269"/>
    </row>
    <row customHeight="1" ht="15">
      <c r="A40" s="2729"/>
      <c r="B40" s="1672">
        <v>1</v>
      </c>
      <c r="C40" s="1672"/>
      <c r="D40" s="1312"/>
      <c r="E40" s="2325" t="str">
        <f>A39&amp;"."&amp;B40</f>
        <v>10.1</v>
      </c>
      <c r="F40" s="1315" t="s">
        <v>147</v>
      </c>
      <c r="G40" s="1305" t="s">
        <v>148</v>
      </c>
      <c r="H40" s="1305" t="s">
        <v>148</v>
      </c>
      <c r="I40" s="1303" t="s">
        <v>149</v>
      </c>
      <c r="J40" s="2136"/>
      <c r="K40" s="2148"/>
      <c r="L40" s="2148"/>
      <c r="M40" s="2136" t="str">
        <f t="array" ref="M40:M40">IF(ISERROR(MATCH(MID(N40,1,250),MID(note_ter,1,250),0)),"n","y")</f>
        <v>n</v>
      </c>
      <c r="N40" s="2148"/>
      <c r="O40" s="2136" t="str">
        <f>H40&amp;"("&amp;I40&amp;")"</f>
        <v>Шкотовский муниципальный округ(05557000)</v>
      </c>
      <c r="P40" s="1672"/>
      <c r="Q40" s="1672"/>
      <c r="R40" s="932"/>
      <c r="S40" s="1672"/>
      <c r="T40" s="1672"/>
      <c r="U40" s="1672"/>
      <c r="V40" s="934"/>
      <c r="W40" s="934"/>
      <c r="X40" s="931"/>
      <c r="Y40" s="931"/>
      <c r="Z40" s="931"/>
      <c r="AA40" s="931"/>
      <c r="AB40" s="931"/>
      <c r="AC40" s="931"/>
    </row>
    <row customHeight="1" ht="15">
      <c r="A41" s="2729"/>
      <c r="B41" s="1672"/>
      <c r="C41" s="924"/>
      <c r="D41" s="1313"/>
      <c r="E41" s="933"/>
      <c r="F41" s="689"/>
      <c r="G41" s="927" t="s">
        <v>104</v>
      </c>
      <c r="H41" s="699"/>
      <c r="I41" s="936"/>
      <c r="J41" s="2148"/>
      <c r="K41" s="2148"/>
      <c r="L41" s="2148"/>
      <c r="M41" s="2148"/>
      <c r="N41" s="2136"/>
      <c r="O41" s="2148"/>
      <c r="P41" s="1672"/>
      <c r="Q41" s="1672"/>
      <c r="R41" s="932"/>
      <c r="S41" s="1672"/>
      <c r="T41" s="1672"/>
      <c r="U41" s="1672"/>
      <c r="V41" s="934"/>
      <c r="W41" s="934"/>
      <c r="X41" s="931"/>
      <c r="Y41" s="931"/>
      <c r="Z41" s="931"/>
      <c r="AA41" s="931"/>
      <c r="AB41" s="931"/>
      <c r="AC41" s="931"/>
    </row>
    <row customHeight="1" ht="15">
      <c r="A42" s="2729" t="s">
        <v>150</v>
      </c>
      <c r="B42" s="1672"/>
      <c r="C42" s="1313" t="s">
        <v>106</v>
      </c>
      <c r="D42" s="2330"/>
      <c r="E42" s="2317" t="str">
        <f>A42</f>
        <v>11</v>
      </c>
      <c r="F42" s="1316" t="s">
        <v>151</v>
      </c>
      <c r="G42" s="1052" t="str">
        <f>"Территория "&amp;E42</f>
        <v>Территория 11</v>
      </c>
      <c r="H42" s="1304"/>
      <c r="I42" s="1304"/>
      <c r="J42" s="1301"/>
      <c r="K42" s="2136"/>
      <c r="L42" s="2136"/>
      <c r="M42" s="2136"/>
      <c r="N42" s="738"/>
      <c r="O42" s="2136"/>
      <c r="P42" s="737"/>
      <c r="Q42" s="737"/>
      <c r="R42" s="737"/>
      <c r="S42" s="737"/>
      <c r="T42" s="12269"/>
      <c r="U42" s="12269"/>
      <c r="V42" s="12269"/>
      <c r="W42" s="12269"/>
      <c r="X42" s="12269"/>
      <c r="Y42" s="12269"/>
      <c r="Z42" s="12269"/>
      <c r="AA42" s="12269"/>
      <c r="AB42" s="12269"/>
      <c r="AC42" s="12269"/>
    </row>
    <row customHeight="1" ht="15">
      <c r="A43" s="2729"/>
      <c r="B43" s="1672">
        <v>1</v>
      </c>
      <c r="C43" s="1672"/>
      <c r="D43" s="1312"/>
      <c r="E43" s="2325" t="str">
        <f>A42&amp;"."&amp;B43</f>
        <v>11.1</v>
      </c>
      <c r="F43" s="1315" t="s">
        <v>94</v>
      </c>
      <c r="G43" s="1305" t="s">
        <v>152</v>
      </c>
      <c r="H43" s="1305" t="s">
        <v>152</v>
      </c>
      <c r="I43" s="1303" t="s">
        <v>153</v>
      </c>
      <c r="J43" s="2136"/>
      <c r="K43" s="2148"/>
      <c r="L43" s="2148"/>
      <c r="M43" s="2136" t="str">
        <f t="array" ref="M43:M43">IF(ISERROR(MATCH(MID(N43,1,250),MID(note_ter,1,250),0)),"n","y")</f>
        <v>n</v>
      </c>
      <c r="N43" s="2148"/>
      <c r="O43" s="2136" t="str">
        <f>H43&amp;"("&amp;I43&amp;")"</f>
        <v>Дальнегорский городской округ(05707000)</v>
      </c>
      <c r="P43" s="1672"/>
      <c r="Q43" s="1672"/>
      <c r="R43" s="932"/>
      <c r="S43" s="1672"/>
      <c r="T43" s="1672"/>
      <c r="U43" s="1672"/>
      <c r="V43" s="934"/>
      <c r="W43" s="934"/>
      <c r="X43" s="931"/>
      <c r="Y43" s="931"/>
      <c r="Z43" s="931"/>
      <c r="AA43" s="931"/>
      <c r="AB43" s="931"/>
      <c r="AC43" s="931"/>
    </row>
    <row customHeight="1" ht="15">
      <c r="A44" s="2729"/>
      <c r="B44" s="1672"/>
      <c r="C44" s="924"/>
      <c r="D44" s="1313"/>
      <c r="E44" s="933"/>
      <c r="F44" s="689"/>
      <c r="G44" s="927" t="s">
        <v>104</v>
      </c>
      <c r="H44" s="699"/>
      <c r="I44" s="936"/>
      <c r="J44" s="2148"/>
      <c r="K44" s="2148"/>
      <c r="L44" s="2148"/>
      <c r="M44" s="2148"/>
      <c r="N44" s="2136"/>
      <c r="O44" s="2148"/>
      <c r="P44" s="1672"/>
      <c r="Q44" s="1672"/>
      <c r="R44" s="932"/>
      <c r="S44" s="1672"/>
      <c r="T44" s="1672"/>
      <c r="U44" s="1672"/>
      <c r="V44" s="934"/>
      <c r="W44" s="934"/>
      <c r="X44" s="931"/>
      <c r="Y44" s="931"/>
      <c r="Z44" s="931"/>
      <c r="AA44" s="931"/>
      <c r="AB44" s="931"/>
      <c r="AC44" s="931"/>
    </row>
    <row customHeight="1" ht="15">
      <c r="A45" s="2729" t="s">
        <v>154</v>
      </c>
      <c r="B45" s="1672"/>
      <c r="C45" s="1313" t="s">
        <v>106</v>
      </c>
      <c r="D45" s="2330"/>
      <c r="E45" s="2317" t="str">
        <f>A45</f>
        <v>12</v>
      </c>
      <c r="F45" s="1316" t="s">
        <v>155</v>
      </c>
      <c r="G45" s="1052" t="str">
        <f>"Территория "&amp;E45</f>
        <v>Территория 12</v>
      </c>
      <c r="H45" s="1304"/>
      <c r="I45" s="1304"/>
      <c r="J45" s="1301"/>
      <c r="K45" s="2136"/>
      <c r="L45" s="2136"/>
      <c r="M45" s="2136"/>
      <c r="N45" s="738"/>
      <c r="O45" s="2136"/>
      <c r="P45" s="737"/>
      <c r="Q45" s="737"/>
      <c r="R45" s="737"/>
      <c r="S45" s="737"/>
      <c r="T45" s="12269"/>
      <c r="U45" s="12269"/>
      <c r="V45" s="12269"/>
      <c r="W45" s="12269"/>
      <c r="X45" s="12269"/>
      <c r="Y45" s="12269"/>
      <c r="Z45" s="12269"/>
      <c r="AA45" s="12269"/>
      <c r="AB45" s="12269"/>
      <c r="AC45" s="12269"/>
    </row>
    <row customHeight="1" ht="15">
      <c r="A46" s="2729"/>
      <c r="B46" s="1672">
        <v>1</v>
      </c>
      <c r="C46" s="1672"/>
      <c r="D46" s="1312"/>
      <c r="E46" s="2325" t="str">
        <f>A45&amp;"."&amp;B46</f>
        <v>12.1</v>
      </c>
      <c r="F46" s="1315" t="s">
        <v>120</v>
      </c>
      <c r="G46" s="1305" t="s">
        <v>156</v>
      </c>
      <c r="H46" s="1305" t="s">
        <v>156</v>
      </c>
      <c r="I46" s="1303" t="s">
        <v>157</v>
      </c>
      <c r="J46" s="2136"/>
      <c r="K46" s="2148"/>
      <c r="L46" s="2148"/>
      <c r="M46" s="2136" t="str">
        <f t="array" ref="M46:M46">IF(ISERROR(MATCH(MID(N46,1,250),MID(note_ter,1,250),0)),"n","y")</f>
        <v>n</v>
      </c>
      <c r="N46" s="2148"/>
      <c r="O46" s="2136" t="str">
        <f>H46&amp;"("&amp;I46&amp;")"</f>
        <v>Городской округ Спасск-Дальний(05720000)</v>
      </c>
      <c r="P46" s="1672"/>
      <c r="Q46" s="1672"/>
      <c r="R46" s="932"/>
      <c r="S46" s="1672"/>
      <c r="T46" s="1672"/>
      <c r="U46" s="1672"/>
      <c r="V46" s="934"/>
      <c r="W46" s="934"/>
      <c r="X46" s="931"/>
      <c r="Y46" s="931"/>
      <c r="Z46" s="931"/>
      <c r="AA46" s="931"/>
      <c r="AB46" s="931"/>
      <c r="AC46" s="931"/>
    </row>
    <row customHeight="1" ht="15">
      <c r="A47" s="2729"/>
      <c r="B47" s="1672"/>
      <c r="C47" s="924"/>
      <c r="D47" s="1313"/>
      <c r="E47" s="933"/>
      <c r="F47" s="689"/>
      <c r="G47" s="927" t="s">
        <v>104</v>
      </c>
      <c r="H47" s="699"/>
      <c r="I47" s="936"/>
      <c r="J47" s="2148"/>
      <c r="K47" s="2148"/>
      <c r="L47" s="2148"/>
      <c r="M47" s="2148"/>
      <c r="N47" s="2136"/>
      <c r="O47" s="2148"/>
      <c r="P47" s="1672"/>
      <c r="Q47" s="1672"/>
      <c r="R47" s="932"/>
      <c r="S47" s="1672"/>
      <c r="T47" s="1672"/>
      <c r="U47" s="1672"/>
      <c r="V47" s="934"/>
      <c r="W47" s="934"/>
      <c r="X47" s="931"/>
      <c r="Y47" s="931"/>
      <c r="Z47" s="931"/>
      <c r="AA47" s="931"/>
      <c r="AB47" s="931"/>
      <c r="AC47" s="931"/>
    </row>
    <row customHeight="1" ht="15">
      <c r="A48" s="2729" t="s">
        <v>158</v>
      </c>
      <c r="B48" s="1672"/>
      <c r="C48" s="1313" t="s">
        <v>106</v>
      </c>
      <c r="D48" s="2330"/>
      <c r="E48" s="2317" t="str">
        <f>A48</f>
        <v>13</v>
      </c>
      <c r="F48" s="1316" t="s">
        <v>159</v>
      </c>
      <c r="G48" s="1052" t="str">
        <f>"Территория "&amp;E48</f>
        <v>Территория 13</v>
      </c>
      <c r="H48" s="1304"/>
      <c r="I48" s="1304"/>
      <c r="J48" s="1301"/>
      <c r="K48" s="2136"/>
      <c r="L48" s="2136"/>
      <c r="M48" s="2136"/>
      <c r="N48" s="738"/>
      <c r="O48" s="2136"/>
      <c r="P48" s="737"/>
      <c r="Q48" s="737"/>
      <c r="R48" s="737"/>
      <c r="S48" s="737"/>
      <c r="T48" s="12269"/>
      <c r="U48" s="12269"/>
      <c r="V48" s="12269"/>
      <c r="W48" s="12269"/>
      <c r="X48" s="12269"/>
      <c r="Y48" s="12269"/>
      <c r="Z48" s="12269"/>
      <c r="AA48" s="12269"/>
      <c r="AB48" s="12269"/>
      <c r="AC48" s="12269"/>
    </row>
    <row customHeight="1" ht="15">
      <c r="A49" s="2729"/>
      <c r="B49" s="1672">
        <v>1</v>
      </c>
      <c r="C49" s="1672"/>
      <c r="D49" s="1312"/>
      <c r="E49" s="2325" t="str">
        <f>A48&amp;"."&amp;B49</f>
        <v>13.1</v>
      </c>
      <c r="F49" s="1315" t="s">
        <v>160</v>
      </c>
      <c r="G49" s="1305" t="s">
        <v>161</v>
      </c>
      <c r="H49" s="1305" t="s">
        <v>161</v>
      </c>
      <c r="I49" s="1303" t="s">
        <v>162</v>
      </c>
      <c r="J49" s="2136"/>
      <c r="K49" s="2148"/>
      <c r="L49" s="2148"/>
      <c r="M49" s="2136" t="str">
        <f t="array" ref="M49:M49">IF(ISERROR(MATCH(MID(N49,1,250),MID(note_ter,1,250),0)),"n","y")</f>
        <v>n</v>
      </c>
      <c r="N49" s="2148"/>
      <c r="O49" s="2136" t="str">
        <f>H49&amp;"("&amp;I49&amp;")"</f>
        <v>городской округ ЗАТО Фокино(05747000)</v>
      </c>
      <c r="P49" s="1672"/>
      <c r="Q49" s="1672"/>
      <c r="R49" s="932"/>
      <c r="S49" s="1672"/>
      <c r="T49" s="1672"/>
      <c r="U49" s="1672"/>
      <c r="V49" s="934"/>
      <c r="W49" s="934"/>
      <c r="X49" s="931"/>
      <c r="Y49" s="931"/>
      <c r="Z49" s="931"/>
      <c r="AA49" s="931"/>
      <c r="AB49" s="931"/>
      <c r="AC49" s="931"/>
    </row>
    <row customHeight="1" ht="15">
      <c r="A50" s="2729"/>
      <c r="B50" s="1672"/>
      <c r="C50" s="924"/>
      <c r="D50" s="1313"/>
      <c r="E50" s="933"/>
      <c r="F50" s="689"/>
      <c r="G50" s="927" t="s">
        <v>104</v>
      </c>
      <c r="H50" s="699"/>
      <c r="I50" s="936"/>
      <c r="J50" s="2148"/>
      <c r="K50" s="2148"/>
      <c r="L50" s="2148"/>
      <c r="M50" s="2148"/>
      <c r="N50" s="2136"/>
      <c r="O50" s="2148"/>
      <c r="P50" s="1672"/>
      <c r="Q50" s="1672"/>
      <c r="R50" s="932"/>
      <c r="S50" s="1672"/>
      <c r="T50" s="1672"/>
      <c r="U50" s="1672"/>
      <c r="V50" s="934"/>
      <c r="W50" s="934"/>
      <c r="X50" s="931"/>
      <c r="Y50" s="931"/>
      <c r="Z50" s="931"/>
      <c r="AA50" s="931"/>
      <c r="AB50" s="931"/>
      <c r="AC50" s="931"/>
    </row>
    <row s="46905" customFormat="1" customHeight="1" ht="14.699999999999998">
      <c r="A51" s="1270"/>
      <c r="B51" s="929"/>
      <c r="C51" s="1270"/>
      <c r="D51" s="1294"/>
      <c r="E51" s="1306"/>
      <c r="F51" s="690"/>
      <c r="G51" s="928" t="s">
        <v>163</v>
      </c>
      <c r="H51" s="690"/>
      <c r="I51" s="691"/>
      <c r="J51" s="761"/>
      <c r="K51" s="667"/>
      <c r="L51" s="667"/>
      <c r="M51" s="667"/>
      <c r="N51" s="738" t="s">
        <v>164</v>
      </c>
      <c r="O51" s="667"/>
      <c r="P51" s="737"/>
      <c r="Q51" s="737"/>
      <c r="R51" s="737"/>
      <c r="S51" s="737"/>
      <c r="AC51" s="628">
        <v>14</v>
      </c>
    </row>
    <row s="46905" customFormat="1" customHeight="1" ht="22.049999999999997">
      <c r="A52" s="1270"/>
      <c r="B52" s="929"/>
      <c r="C52" s="1270"/>
      <c r="D52" s="677"/>
      <c r="E52" s="692"/>
      <c r="F52" s="692"/>
      <c r="G52" s="692"/>
      <c r="H52" s="692"/>
      <c r="I52" s="692"/>
      <c r="J52" s="667"/>
      <c r="K52" s="667"/>
      <c r="L52" s="667"/>
      <c r="M52" s="667"/>
      <c r="N52" s="738"/>
      <c r="O52" s="667"/>
      <c r="P52" s="737"/>
      <c r="Q52" s="737"/>
      <c r="R52" s="737"/>
      <c r="S52" s="737"/>
      <c r="AC52" s="628">
        <v>21</v>
      </c>
    </row>
    <row s="46905" customFormat="1" customHeight="1" ht="14.699999999999998">
      <c r="A53" s="1270"/>
      <c r="B53" s="929"/>
      <c r="C53" s="1270"/>
      <c r="D53" s="677"/>
      <c r="E53" s="595"/>
      <c r="F53" s="1270"/>
      <c r="G53" s="595"/>
      <c r="H53" s="595"/>
      <c r="I53" s="595"/>
      <c r="J53" s="667"/>
      <c r="K53" s="667"/>
      <c r="L53" s="667"/>
      <c r="M53" s="667"/>
      <c r="N53" s="738"/>
      <c r="O53" s="667"/>
      <c r="P53" s="737"/>
      <c r="Q53" s="737"/>
      <c r="R53" s="737"/>
      <c r="S53" s="737"/>
      <c r="AC53" s="628">
        <v>14</v>
      </c>
    </row>
    <row s="46905" customFormat="1" customHeight="1" ht="1.05">
      <c r="A54" s="1270"/>
      <c r="B54" s="929"/>
      <c r="C54" s="1270"/>
      <c r="D54" s="677"/>
      <c r="E54" s="595"/>
      <c r="F54" s="1270"/>
      <c r="G54" s="595"/>
      <c r="H54" s="595"/>
      <c r="I54" s="595"/>
      <c r="J54" s="667"/>
      <c r="K54" s="667"/>
      <c r="L54" s="667"/>
      <c r="M54" s="667"/>
      <c r="N54" s="738"/>
      <c r="O54" s="667"/>
      <c r="P54" s="737"/>
      <c r="Q54" s="737"/>
      <c r="R54" s="737"/>
      <c r="S54" s="737"/>
      <c r="AC54" s="628">
        <v>1</v>
      </c>
    </row>
    <row s="46983" customFormat="1" customHeight="1" ht="10.5">
      <c r="B55" s="1346"/>
      <c r="D55" s="694"/>
      <c r="J55" s="667"/>
      <c r="K55" s="667"/>
      <c r="L55" s="667"/>
      <c r="M55" s="667"/>
      <c r="N55" s="738"/>
      <c r="O55" s="667"/>
      <c r="P55" s="737"/>
      <c r="Q55" s="737"/>
      <c r="R55" s="737"/>
      <c r="S55" s="737"/>
      <c r="AC55" s="693">
        <v>10</v>
      </c>
    </row>
    <row s="46983" customFormat="1" customHeight="1" ht="10.5">
      <c r="B56" s="1346"/>
      <c r="D56" s="694"/>
      <c r="J56" s="667"/>
      <c r="K56" s="667"/>
      <c r="L56" s="667"/>
      <c r="M56" s="667"/>
      <c r="N56" s="738"/>
      <c r="O56" s="667"/>
      <c r="P56" s="737"/>
      <c r="Q56" s="737"/>
      <c r="R56" s="737"/>
      <c r="S56" s="737"/>
      <c r="AC56" s="693">
        <v>10</v>
      </c>
    </row>
    <row customHeight="1" ht="14.699999999999998">
      <c r="AC57" s="595">
        <v>14</v>
      </c>
    </row>
    <row customHeight="1" ht="14.699999999999998">
      <c r="AC58" s="595">
        <v>14</v>
      </c>
    </row>
    <row customHeight="1" ht="14.699999999999998">
      <c r="AC59" s="595">
        <v>14</v>
      </c>
    </row>
    <row customHeight="1" ht="14.699999999999998">
      <c r="H60" s="574"/>
      <c r="AC60" s="595">
        <v>14</v>
      </c>
    </row>
    <row customHeight="1" ht="14.699999999999998">
      <c r="AC61" s="595">
        <v>14</v>
      </c>
    </row>
    <row customHeight="1" ht="14.699999999999998">
      <c r="AC62" s="595">
        <v>14</v>
      </c>
    </row>
    <row customHeight="1" ht="14.699999999999998">
      <c r="AC63" s="595">
        <v>14</v>
      </c>
    </row>
    <row customHeight="1" ht="14.699999999999998">
      <c r="J64" s="595"/>
      <c r="K64" s="595"/>
      <c r="L64" s="595"/>
      <c r="AC64" s="595">
        <v>14</v>
      </c>
    </row>
    <row customHeight="1" ht="22.5" hidden="1">
      <c r="A65" s="1270" t="s">
        <v>84</v>
      </c>
      <c r="B65" s="929">
        <v>0</v>
      </c>
      <c r="C65" s="1270">
        <v>3</v>
      </c>
      <c r="D65" s="677">
        <v>3</v>
      </c>
      <c r="E65" s="595">
        <v>6</v>
      </c>
      <c r="F65" s="1270">
        <v>0</v>
      </c>
      <c r="G65" s="595">
        <v>46</v>
      </c>
      <c r="H65" s="595">
        <v>42</v>
      </c>
      <c r="I65" s="595">
        <v>14</v>
      </c>
      <c r="J65" s="667">
        <v>3</v>
      </c>
      <c r="K65" s="667">
        <v>0</v>
      </c>
      <c r="L65" s="667">
        <v>0</v>
      </c>
      <c r="M65" s="667">
        <v>0</v>
      </c>
      <c r="N65" s="738">
        <v>0</v>
      </c>
      <c r="O65" s="667">
        <v>0</v>
      </c>
      <c r="P65" s="737">
        <v>0</v>
      </c>
      <c r="Q65" s="737">
        <v>0</v>
      </c>
      <c r="R65" s="737">
        <v>0</v>
      </c>
      <c r="S65" s="737">
        <v>0</v>
      </c>
      <c r="T65" s="595">
        <v>0</v>
      </c>
      <c r="U65" s="595">
        <v>0</v>
      </c>
      <c r="V65" s="595">
        <v>0</v>
      </c>
      <c r="W65" s="595">
        <v>0</v>
      </c>
      <c r="X65" s="595">
        <v>0</v>
      </c>
      <c r="Y65" s="595">
        <v>0</v>
      </c>
      <c r="Z65" s="595">
        <v>0</v>
      </c>
      <c r="AA65" s="595">
        <v>0</v>
      </c>
      <c r="AB65" s="595">
        <v>8</v>
      </c>
      <c r="AC65" s="595">
        <v>23</v>
      </c>
    </row>
  </sheetData>
  <sheetProtection formatColumns="0" formatRows="0" autoFilter="0" sort="0" insertRows="0" insertColumns="1" deleteRows="0" deleteColumns="0"/>
  <mergeCells count="16">
    <mergeCell ref="A12:A14"/>
    <mergeCell ref="E4:I4"/>
    <mergeCell ref="E8:G8"/>
    <mergeCell ref="H8:I8"/>
    <mergeCell ref="A15:A17"/>
    <mergeCell ref="A18:A20"/>
    <mergeCell ref="A21:A23"/>
    <mergeCell ref="A24:A26"/>
    <mergeCell ref="A27:A29"/>
    <mergeCell ref="A30:A32"/>
    <mergeCell ref="A33:A35"/>
    <mergeCell ref="A36:A38"/>
    <mergeCell ref="A39:A41"/>
    <mergeCell ref="A42:A44"/>
    <mergeCell ref="A45:A47"/>
    <mergeCell ref="A48:A50"/>
  </mergeCells>
  <dataValidations count="13">
    <dataValidation type="textLength" operator="lessThanOrEqual" allowBlank="1" showInputMessage="1" showErrorMessage="1" errorTitle="Ошибка" error="Допускается ввод не более 900 символов!" sqref="G48">
      <formula1>900</formula1>
    </dataValidation>
    <dataValidation type="textLength" operator="lessThanOrEqual" allowBlank="1" showInputMessage="1" showErrorMessage="1" errorTitle="Ошибка" error="Допускается ввод не более 900 символов!" sqref="G45">
      <formula1>900</formula1>
    </dataValidation>
    <dataValidation type="textLength" operator="lessThanOrEqual" allowBlank="1" showInputMessage="1" showErrorMessage="1" errorTitle="Ошибка" error="Допускается ввод не более 900 символов!" sqref="G42">
      <formula1>900</formula1>
    </dataValidation>
    <dataValidation type="textLength" operator="lessThanOrEqual" allowBlank="1" showInputMessage="1" showErrorMessage="1" errorTitle="Ошибка" error="Допускается ввод не более 900 символов!" sqref="G39">
      <formula1>900</formula1>
    </dataValidation>
    <dataValidation type="textLength" operator="lessThanOrEqual" allowBlank="1" showInputMessage="1" showErrorMessage="1" errorTitle="Ошибка" error="Допускается ввод не более 900 символов!" sqref="G36">
      <formula1>900</formula1>
    </dataValidation>
    <dataValidation type="textLength" operator="lessThanOrEqual" allowBlank="1" showInputMessage="1" showErrorMessage="1" errorTitle="Ошибка" error="Допускается ввод не более 900 символов!" sqref="G33">
      <formula1>900</formula1>
    </dataValidation>
    <dataValidation type="textLength" operator="lessThanOrEqual" allowBlank="1" showInputMessage="1" showErrorMessage="1" errorTitle="Ошибка" error="Допускается ввод не более 900 символов!" sqref="G30">
      <formula1>900</formula1>
    </dataValidation>
    <dataValidation type="textLength" operator="lessThanOrEqual" allowBlank="1" showInputMessage="1" showErrorMessage="1" errorTitle="Ошибка" error="Допускается ввод не более 900 символов!" sqref="G27">
      <formula1>900</formula1>
    </dataValidation>
    <dataValidation type="textLength" operator="lessThanOrEqual" allowBlank="1" showInputMessage="1" showErrorMessage="1" errorTitle="Ошибка" error="Допускается ввод не более 900 символов!" sqref="G24">
      <formula1>900</formula1>
    </dataValidation>
    <dataValidation type="textLength" operator="lessThanOrEqual" allowBlank="1" showInputMessage="1" showErrorMessage="1" errorTitle="Ошибка" error="Допускается ввод не более 900 символов!" sqref="G21">
      <formula1>900</formula1>
    </dataValidation>
    <dataValidation type="textLength" operator="lessThanOrEqual" allowBlank="1" showInputMessage="1" showErrorMessage="1" errorTitle="Ошибка" error="Допускается ввод не более 900 символов!" sqref="G18">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00" right="0.00" top="0.00" bottom="0.00" header="0.00" footer="0.79"/>
  <pageSetup paperSize="9" scale="93"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BB63E3D-F0C1-2957-CCA7-3C5F2E361BFD}" mc:Ignorable="x14ac xr xr2 xr3">
  <sheetPr>
    <tabColor theme="6" tint="0.4"/>
  </sheetPr>
  <dimension ref="A1:AY59"/>
  <sheetViews>
    <sheetView topLeftCell="A1" showGridLines="0" zoomScale="90" workbookViewId="0">
      <selection activeCell="A1" sqref="A1"/>
    </sheetView>
  </sheetViews>
  <sheetFormatPr defaultColWidth="10.57421875" customHeight="1" defaultRowHeight="14.25"/>
  <cols>
    <col min="1" max="1" style="46889" width="10.57421875" hidden="1"/>
    <col min="2" max="2" style="46889" width="11.00390625" hidden="1" customWidth="1"/>
    <col min="3" max="3" style="46889" width="10.57421875" hidden="1"/>
    <col min="4" max="4" style="46889" width="11.8515625" hidden="1" customWidth="1"/>
    <col min="5" max="5" style="46889" width="10.00390625" hidden="1" customWidth="1"/>
    <col min="6" max="6" style="46889" width="8.7109375" hidden="1" customWidth="1"/>
    <col min="7" max="7" style="46889" width="7.57421875" hidden="1" customWidth="1"/>
    <col min="8" max="8" style="46889" width="11.421875" hidden="1" customWidth="1"/>
    <col min="9" max="9" style="46889" width="14.140625" hidden="1" customWidth="1"/>
    <col min="10" max="10" style="46889" width="9.8515625" hidden="1" customWidth="1"/>
    <col min="11" max="11" style="46889" width="14.7109375" hidden="1" customWidth="1"/>
    <col min="12" max="12" style="47738" width="19.140625" hidden="1" customWidth="1"/>
    <col min="13" max="14" style="47739" width="12.28125" hidden="1" customWidth="1"/>
    <col min="15" max="15" style="47739" width="23.421875" hidden="1" customWidth="1"/>
    <col min="16" max="16" style="47740" width="3.00390625" customWidth="1"/>
    <col min="17" max="18" style="47741" width="3.00390625" customWidth="1"/>
    <col min="19" max="19" style="47742" width="12.00390625" customWidth="1"/>
    <col min="20" max="20" style="46808" width="35.00390625" customWidth="1"/>
    <col min="21" max="21" style="46808" width="0.140625" customWidth="1"/>
    <col min="22" max="28" style="46808" width="19.7109375" hidden="1" customWidth="1"/>
    <col min="29" max="29" style="46808" width="11.7109375" hidden="1" customWidth="1"/>
    <col min="30" max="30" style="46808" width="3.7109375" hidden="1" customWidth="1"/>
    <col min="31" max="31" style="46808" width="11.7109375" hidden="1" customWidth="1"/>
    <col min="32" max="32" style="46808" width="8.57421875" hidden="1" customWidth="1"/>
    <col min="33" max="33" style="46808" width="19.7109375" customWidth="1"/>
    <col min="34" max="39" style="46808" width="19.00390625" customWidth="1"/>
    <col min="40" max="40" style="46808" width="11.00390625" customWidth="1"/>
    <col min="41" max="41" style="46808" width="3.7109375" customWidth="1"/>
    <col min="42" max="42" style="46808" width="11.00390625" customWidth="1"/>
    <col min="43" max="43" style="46808" width="8.57421875" hidden="1" customWidth="1"/>
    <col min="44" max="44" style="46808" width="4.00390625" customWidth="1"/>
    <col min="45" max="45" style="46808" width="115.00390625" customWidth="1"/>
    <col min="46" max="50" style="46890" width="10.00390625" customWidth="1"/>
    <col min="51" max="51" style="46808" width="10.57421875" hidden="1"/>
  </cols>
  <sheetData>
    <row customHeight="1" ht="22.5" hidden="1">
      <c r="AC1" s="839"/>
      <c r="AN1" s="839"/>
      <c r="AY1" s="1667" t="s">
        <v>14</v>
      </c>
    </row>
    <row customHeight="1" ht="23.25" hidden="1">
      <c r="A2" s="1875"/>
      <c r="B2" s="1875"/>
      <c r="C2" s="1875"/>
      <c r="D2" s="1875"/>
      <c r="E2" s="2770">
        <v>1</v>
      </c>
      <c r="F2" s="1875"/>
      <c r="G2" s="1875"/>
      <c r="H2" s="1875"/>
      <c r="I2" s="1875"/>
      <c r="J2" s="1875"/>
      <c r="K2" s="1875"/>
      <c r="L2" s="1876"/>
      <c r="M2" s="1877"/>
      <c r="N2" s="1877"/>
      <c r="O2" s="1877"/>
      <c r="P2" s="873"/>
      <c r="Q2" s="872"/>
      <c r="R2" s="867"/>
      <c r="S2" s="2005">
        <f>INDEX(PT_DIFFERENTIATION_NUM_NTAR,MATCH(A2,PT_DIFFERENTIATION_NTAR_ID,0))</f>
      </c>
      <c r="T2" s="810" t="s">
        <v>179</v>
      </c>
      <c r="U2" s="812"/>
      <c r="V2" s="2754"/>
      <c r="W2" s="2755"/>
      <c r="X2" s="2755"/>
      <c r="Y2" s="2755"/>
      <c r="Z2" s="2755"/>
      <c r="AA2" s="2755"/>
      <c r="AB2" s="2755"/>
      <c r="AC2" s="2755"/>
      <c r="AD2" s="2755"/>
      <c r="AE2" s="2755"/>
      <c r="AF2" s="2756"/>
      <c r="AG2" s="2754">
        <f>INDEX(PT_DIFFERENTIATION_NTAR,MATCH(A2,PT_DIFFERENTIATION_NTAR_ID,0))</f>
      </c>
      <c r="AH2" s="2755"/>
      <c r="AI2" s="2755"/>
      <c r="AJ2" s="2755"/>
      <c r="AK2" s="2755"/>
      <c r="AL2" s="2755"/>
      <c r="AM2" s="2755"/>
      <c r="AN2" s="2755"/>
      <c r="AO2" s="2755"/>
      <c r="AP2" s="2755"/>
      <c r="AQ2" s="2755"/>
      <c r="AR2" s="2756"/>
      <c r="AS2"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1012"/>
      <c r="AV2" s="1012" t="str">
        <f>IF(T2="","",T2)</f>
        <v>Наименование тарифа</v>
      </c>
      <c r="AW2" s="1012"/>
      <c r="AX2" s="1012"/>
      <c r="AY2" s="1667">
        <v>0</v>
      </c>
    </row>
    <row customHeight="1" ht="23.25" hidden="1">
      <c r="A3" s="1875"/>
      <c r="B3" s="1875"/>
      <c r="C3" s="1875"/>
      <c r="D3" s="1875"/>
      <c r="E3" s="2771"/>
      <c r="F3" s="2770">
        <v>1</v>
      </c>
      <c r="G3" s="1875"/>
      <c r="H3" s="1875"/>
      <c r="I3" s="1875"/>
      <c r="J3" s="1875"/>
      <c r="K3" s="1875"/>
      <c r="L3" s="1876"/>
      <c r="M3" s="1877"/>
      <c r="N3" s="1877"/>
      <c r="O3" s="1877"/>
      <c r="P3" s="1999"/>
      <c r="Q3" s="864"/>
      <c r="R3" s="865"/>
      <c r="S3" s="2005">
        <f>INDEX(PT_DIFFERENTIATION_NUM_TER,MATCH(B3,PT_DIFFERENTIATION_TER_ID,0))</f>
      </c>
      <c r="T3" s="820" t="s">
        <v>515</v>
      </c>
      <c r="U3" s="812"/>
      <c r="V3" s="2754"/>
      <c r="W3" s="2755"/>
      <c r="X3" s="2755"/>
      <c r="Y3" s="2755"/>
      <c r="Z3" s="2755"/>
      <c r="AA3" s="2755"/>
      <c r="AB3" s="2755"/>
      <c r="AC3" s="2755"/>
      <c r="AD3" s="2755"/>
      <c r="AE3" s="2755"/>
      <c r="AF3" s="2756"/>
      <c r="AG3" s="2754">
        <f>INDEX(PT_DIFFERENTIATION_TER,MATCH(B3,PT_DIFFERENTIATION_TER_ID,0))</f>
      </c>
      <c r="AH3" s="2755"/>
      <c r="AI3" s="2755"/>
      <c r="AJ3" s="2755"/>
      <c r="AK3" s="2755"/>
      <c r="AL3" s="2755"/>
      <c r="AM3" s="2755"/>
      <c r="AN3" s="2755"/>
      <c r="AO3" s="2755"/>
      <c r="AP3" s="2755"/>
      <c r="AQ3" s="2755"/>
      <c r="AR3" s="2756"/>
      <c r="AS3" s="1770" t="s">
        <v>516</v>
      </c>
      <c r="AU3" s="1012"/>
      <c r="AV3" s="1012" t="str">
        <f>IF(T3="","",T3)</f>
        <v>Территория действия тарифа</v>
      </c>
      <c r="AW3" s="1012"/>
      <c r="AX3" s="1012"/>
      <c r="AY3" s="1667">
        <v>0</v>
      </c>
    </row>
    <row customHeight="1" ht="23.25" hidden="1">
      <c r="A4" s="1875"/>
      <c r="B4" s="1875"/>
      <c r="C4" s="1875"/>
      <c r="D4" s="1875"/>
      <c r="E4" s="2771"/>
      <c r="F4" s="2771"/>
      <c r="G4" s="2770">
        <v>1</v>
      </c>
      <c r="H4" s="1875"/>
      <c r="I4" s="1875"/>
      <c r="J4" s="1875"/>
      <c r="K4" s="1875"/>
      <c r="L4" s="1876"/>
      <c r="M4" s="1877"/>
      <c r="N4" s="1877"/>
      <c r="O4" s="1877"/>
      <c r="P4" s="866"/>
      <c r="Q4" s="864"/>
      <c r="R4" s="865"/>
      <c r="S4" s="2005">
        <f>INDEX(PT_DIFFERENTIATION_NUM_CS,MATCH(C4,PT_DIFFERENTIATION_CS_ID,0))</f>
      </c>
      <c r="T4" s="821" t="s">
        <v>647</v>
      </c>
      <c r="U4" s="812"/>
      <c r="V4" s="2754"/>
      <c r="W4" s="2755"/>
      <c r="X4" s="2755"/>
      <c r="Y4" s="2755"/>
      <c r="Z4" s="2755"/>
      <c r="AA4" s="2755"/>
      <c r="AB4" s="2755"/>
      <c r="AC4" s="2755"/>
      <c r="AD4" s="2755"/>
      <c r="AE4" s="2755"/>
      <c r="AF4" s="2756"/>
      <c r="AG4" s="2754">
        <f>INDEX(PT_DIFFERENTIATION_CS,MATCH(C4,PT_DIFFERENTIATION_CS_ID,0))</f>
      </c>
      <c r="AH4" s="2755"/>
      <c r="AI4" s="2755"/>
      <c r="AJ4" s="2755"/>
      <c r="AK4" s="2755"/>
      <c r="AL4" s="2755"/>
      <c r="AM4" s="2755"/>
      <c r="AN4" s="2755"/>
      <c r="AO4" s="2755"/>
      <c r="AP4" s="2755"/>
      <c r="AQ4" s="2755"/>
      <c r="AR4" s="2756"/>
      <c r="AS4" s="1770" t="s">
        <v>648</v>
      </c>
      <c r="AU4" s="1012"/>
      <c r="AV4" s="1012" t="str">
        <f>IF(T4="","",T4)</f>
        <v>Наименование централизованной системы горячего водоснабжения</v>
      </c>
      <c r="AW4" s="1012"/>
      <c r="AX4" s="1012"/>
      <c r="AY4" s="1667">
        <v>0</v>
      </c>
    </row>
    <row customHeight="1" ht="23.25" hidden="1">
      <c r="A5" s="1875"/>
      <c r="B5" s="1875"/>
      <c r="C5" s="1875"/>
      <c r="D5" s="1875"/>
      <c r="E5" s="2771"/>
      <c r="F5" s="2771"/>
      <c r="G5" s="2771"/>
      <c r="H5" s="2771"/>
      <c r="I5" s="2768">
        <f>S4&amp;".1"</f>
      </c>
      <c r="J5" s="1875"/>
      <c r="K5" s="1875"/>
      <c r="L5" s="1876"/>
      <c r="P5" s="2769">
        <v>1</v>
      </c>
      <c r="Q5" s="1993"/>
      <c r="R5" s="868"/>
      <c r="S5" s="2005">
        <f>$I5</f>
      </c>
      <c r="T5" s="797" t="s">
        <v>598</v>
      </c>
      <c r="U5" s="812"/>
      <c r="V5" s="2862"/>
      <c r="W5" s="2863"/>
      <c r="X5" s="2863"/>
      <c r="Y5" s="2863"/>
      <c r="Z5" s="2863"/>
      <c r="AA5" s="2863"/>
      <c r="AB5" s="2863"/>
      <c r="AC5" s="2863"/>
      <c r="AD5" s="2863"/>
      <c r="AE5" s="2863"/>
      <c r="AF5" s="2864"/>
      <c r="AG5" s="2865"/>
      <c r="AH5" s="2866"/>
      <c r="AI5" s="2866"/>
      <c r="AJ5" s="2866"/>
      <c r="AK5" s="2866"/>
      <c r="AL5" s="2866"/>
      <c r="AM5" s="2866"/>
      <c r="AN5" s="2866"/>
      <c r="AO5" s="2866"/>
      <c r="AP5" s="2866"/>
      <c r="AQ5" s="2866"/>
      <c r="AR5" s="2867"/>
      <c r="AS5" s="1770" t="s">
        <v>599</v>
      </c>
      <c r="AU5" s="1012"/>
      <c r="AV5" s="1012" t="str">
        <f>IF(T5="","",T5)</f>
        <v>Наименование признака дифференциации</v>
      </c>
      <c r="AW5" s="1012"/>
      <c r="AX5" s="1012"/>
      <c r="AY5" s="1667">
        <v>0</v>
      </c>
    </row>
    <row customHeight="1" ht="23.25" hidden="1">
      <c r="A6" s="1875"/>
      <c r="B6" s="1875"/>
      <c r="C6" s="1875"/>
      <c r="D6" s="1875"/>
      <c r="E6" s="2771"/>
      <c r="F6" s="2771"/>
      <c r="G6" s="2771"/>
      <c r="H6" s="2771"/>
      <c r="I6" s="2798"/>
      <c r="J6" s="2768">
        <f>I5&amp;".1"</f>
      </c>
      <c r="K6" s="1875"/>
      <c r="L6" s="1876" t="s">
        <v>524</v>
      </c>
      <c r="P6" s="2769"/>
      <c r="Q6" s="2769">
        <v>1</v>
      </c>
      <c r="R6" s="869"/>
      <c r="S6" s="2005">
        <f>$J6</f>
      </c>
      <c r="T6" s="798" t="s">
        <v>525</v>
      </c>
      <c r="U6" s="812"/>
      <c r="V6" s="2757"/>
      <c r="W6" s="2758"/>
      <c r="X6" s="2758"/>
      <c r="Y6" s="2758"/>
      <c r="Z6" s="2758"/>
      <c r="AA6" s="2758"/>
      <c r="AB6" s="2758"/>
      <c r="AC6" s="2758"/>
      <c r="AD6" s="2758"/>
      <c r="AE6" s="2758"/>
      <c r="AF6" s="2759"/>
      <c r="AG6" s="2757"/>
      <c r="AH6" s="2758"/>
      <c r="AI6" s="2758"/>
      <c r="AJ6" s="2758"/>
      <c r="AK6" s="2758"/>
      <c r="AL6" s="2758"/>
      <c r="AM6" s="2758"/>
      <c r="AN6" s="2758"/>
      <c r="AO6" s="2758"/>
      <c r="AP6" s="2758"/>
      <c r="AQ6" s="2758"/>
      <c r="AR6" s="2759"/>
      <c r="AS6" s="1819" t="s">
        <v>600</v>
      </c>
      <c r="AU6" s="1012"/>
      <c r="AV6" s="1012" t="str">
        <f>IF(T6="","",T6)</f>
        <v>Группа потребителей</v>
      </c>
      <c r="AW6" s="1012"/>
      <c r="AX6" s="1012"/>
      <c r="AY6" s="1667">
        <v>0</v>
      </c>
    </row>
    <row customHeight="1" ht="23.25" hidden="1">
      <c r="A7" s="1875"/>
      <c r="B7" s="1875"/>
      <c r="C7" s="1875"/>
      <c r="D7" s="1875"/>
      <c r="E7" s="2771"/>
      <c r="F7" s="2771"/>
      <c r="G7" s="2771"/>
      <c r="H7" s="2771"/>
      <c r="I7" s="2798"/>
      <c r="J7" s="2798"/>
      <c r="K7" s="2768">
        <f>J6&amp;".1"</f>
      </c>
      <c r="L7" s="1876"/>
      <c r="P7" s="2769"/>
      <c r="Q7" s="2769"/>
      <c r="R7" s="869">
        <v>1</v>
      </c>
      <c r="S7" s="2005">
        <f>$K7</f>
      </c>
      <c r="T7" s="1949"/>
      <c r="U7" s="812"/>
      <c r="V7" s="1263"/>
      <c r="W7" s="1263"/>
      <c r="X7" s="1263"/>
      <c r="Y7" s="1263"/>
      <c r="Z7" s="1263"/>
      <c r="AA7" s="1263"/>
      <c r="AB7" s="1263"/>
      <c r="AC7" s="2777"/>
      <c r="AD7" s="2619" t="s">
        <v>63</v>
      </c>
      <c r="AE7" s="2777"/>
      <c r="AF7" s="2619" t="s">
        <v>63</v>
      </c>
      <c r="AG7" s="1263"/>
      <c r="AH7" s="1263"/>
      <c r="AI7" s="1263"/>
      <c r="AJ7" s="1263"/>
      <c r="AK7" s="1263"/>
      <c r="AL7" s="1263"/>
      <c r="AM7" s="1263"/>
      <c r="AN7" s="2777"/>
      <c r="AO7" s="2619" t="s">
        <v>63</v>
      </c>
      <c r="AP7" s="2799"/>
      <c r="AQ7" s="2619" t="s">
        <v>63</v>
      </c>
      <c r="AR7" s="1950"/>
      <c r="AS7" s="28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1023">
        <f>STRCHECKDATE(V8:AR8)</f>
      </c>
      <c r="AU7" s="1012"/>
      <c r="AV7" s="1012" t="str">
        <f>IF(T7="","",T7)</f>
        <v/>
      </c>
      <c r="AW7" s="1012"/>
      <c r="AX7" s="1012"/>
      <c r="AY7" s="1667">
        <v>0</v>
      </c>
    </row>
    <row customHeight="1" ht="14.25" hidden="1">
      <c r="A8" s="1875"/>
      <c r="B8" s="1875"/>
      <c r="C8" s="1875"/>
      <c r="D8" s="1875"/>
      <c r="E8" s="2771"/>
      <c r="F8" s="2771"/>
      <c r="G8" s="2771"/>
      <c r="H8" s="2771"/>
      <c r="I8" s="2798"/>
      <c r="J8" s="2798"/>
      <c r="K8" s="2768"/>
      <c r="L8" s="1876"/>
      <c r="P8" s="2769"/>
      <c r="Q8" s="2769"/>
      <c r="R8" s="869"/>
      <c r="S8" s="2002"/>
      <c r="T8" s="812"/>
      <c r="U8" s="812"/>
      <c r="V8" s="837"/>
      <c r="W8" s="837"/>
      <c r="X8" s="837"/>
      <c r="Y8" s="837"/>
      <c r="Z8" s="837"/>
      <c r="AA8" s="837"/>
      <c r="AB8" s="837"/>
      <c r="AC8" s="2778"/>
      <c r="AD8" s="2619"/>
      <c r="AE8" s="2778"/>
      <c r="AF8" s="2619"/>
      <c r="AG8" s="837"/>
      <c r="AH8" s="837"/>
      <c r="AI8" s="837"/>
      <c r="AJ8" s="837"/>
      <c r="AK8" s="837"/>
      <c r="AL8" s="837"/>
      <c r="AM8" s="837"/>
      <c r="AN8" s="2778"/>
      <c r="AO8" s="2619"/>
      <c r="AP8" s="2800"/>
      <c r="AQ8" s="2619"/>
      <c r="AR8" s="1951"/>
      <c r="AS8" s="2861"/>
      <c r="AU8" s="1012"/>
      <c r="AV8" s="1012" t="str">
        <f>IF(T8="","",T8)</f>
        <v/>
      </c>
      <c r="AW8" s="1012"/>
      <c r="AX8" s="1012"/>
      <c r="AY8" s="1667">
        <v>0</v>
      </c>
    </row>
    <row customHeight="1" ht="21" hidden="1">
      <c r="A9" s="1875"/>
      <c r="B9" s="1875"/>
      <c r="C9" s="1875"/>
      <c r="D9" s="1875"/>
      <c r="E9" s="2771"/>
      <c r="F9" s="2771"/>
      <c r="G9" s="2771"/>
      <c r="H9" s="2771"/>
      <c r="I9" s="2798"/>
      <c r="J9" s="2768"/>
      <c r="K9" s="1875"/>
      <c r="L9" s="1876"/>
      <c r="P9" s="2769"/>
      <c r="Q9" s="2769"/>
      <c r="R9" s="868"/>
      <c r="S9" s="1790"/>
      <c r="T9" s="799" t="s">
        <v>601</v>
      </c>
      <c r="U9" s="879"/>
      <c r="V9" s="879"/>
      <c r="W9" s="1112"/>
      <c r="X9" s="1112"/>
      <c r="Y9" s="1112"/>
      <c r="Z9" s="1112"/>
      <c r="AA9" s="1112"/>
      <c r="AB9" s="1112"/>
      <c r="AC9" s="879"/>
      <c r="AD9" s="879"/>
      <c r="AE9" s="879"/>
      <c r="AF9" s="879"/>
      <c r="AG9" s="879"/>
      <c r="AH9" s="1112"/>
      <c r="AI9" s="1112"/>
      <c r="AJ9" s="1112"/>
      <c r="AK9" s="1112"/>
      <c r="AL9" s="1112"/>
      <c r="AM9" s="879"/>
      <c r="AN9" s="879"/>
      <c r="AO9" s="879"/>
      <c r="AP9" s="879"/>
      <c r="AQ9" s="879"/>
      <c r="AR9" s="879"/>
      <c r="AS9" s="1770" t="s">
        <v>602</v>
      </c>
      <c r="AU9" s="1012"/>
      <c r="AV9" s="1012" t="str">
        <f>IF(T9="","",T9)</f>
        <v>Добавить значение признака дифференциации</v>
      </c>
      <c r="AW9" s="1012"/>
      <c r="AX9" s="1012"/>
      <c r="AY9" s="1667">
        <v>0</v>
      </c>
    </row>
    <row customHeight="1" ht="21" hidden="1">
      <c r="A10" s="1875"/>
      <c r="B10" s="1875"/>
      <c r="C10" s="1875"/>
      <c r="D10" s="1875"/>
      <c r="E10" s="2771"/>
      <c r="F10" s="2771"/>
      <c r="G10" s="2771"/>
      <c r="H10" s="2771"/>
      <c r="I10" s="2768"/>
      <c r="J10" s="1875"/>
      <c r="K10" s="1875"/>
      <c r="L10" s="1876"/>
      <c r="P10" s="2769"/>
      <c r="Q10" s="1993"/>
      <c r="R10" s="868"/>
      <c r="S10" s="1790"/>
      <c r="T10" s="877" t="s">
        <v>530</v>
      </c>
      <c r="U10" s="879"/>
      <c r="V10" s="879"/>
      <c r="W10" s="1112"/>
      <c r="X10" s="1112"/>
      <c r="Y10" s="1112"/>
      <c r="Z10" s="1112"/>
      <c r="AA10" s="1112"/>
      <c r="AB10" s="1112"/>
      <c r="AC10" s="879"/>
      <c r="AD10" s="879"/>
      <c r="AE10" s="879"/>
      <c r="AF10" s="878"/>
      <c r="AG10" s="879"/>
      <c r="AH10" s="1112"/>
      <c r="AI10" s="1112"/>
      <c r="AJ10" s="1112"/>
      <c r="AK10" s="1112"/>
      <c r="AL10" s="1112"/>
      <c r="AM10" s="879"/>
      <c r="AN10" s="879"/>
      <c r="AO10" s="879"/>
      <c r="AP10" s="879"/>
      <c r="AQ10" s="878"/>
      <c r="AR10" s="879"/>
      <c r="AS10" s="1952"/>
      <c r="AU10" s="1012"/>
      <c r="AV10" s="1012" t="str">
        <f>IF(T10="","",T10)</f>
        <v>Добавить группу потребителей</v>
      </c>
      <c r="AW10" s="1012"/>
      <c r="AX10" s="1012"/>
      <c r="AY10" s="1667">
        <v>0</v>
      </c>
    </row>
    <row customHeight="1" ht="21" hidden="1">
      <c r="A11" s="1875"/>
      <c r="B11" s="1875"/>
      <c r="C11" s="1875"/>
      <c r="D11" s="1875"/>
      <c r="E11" s="2771"/>
      <c r="F11" s="2771"/>
      <c r="G11" s="2771"/>
      <c r="H11" s="2770"/>
      <c r="I11" s="1875"/>
      <c r="J11" s="1875"/>
      <c r="K11" s="1875"/>
      <c r="L11" s="1876"/>
      <c r="M11" s="1877"/>
      <c r="N11" s="1877"/>
      <c r="O11" s="1049"/>
      <c r="P11" s="872"/>
      <c r="Q11" s="887"/>
      <c r="R11" s="867"/>
      <c r="S11" s="1790"/>
      <c r="T11" s="884" t="s">
        <v>603</v>
      </c>
      <c r="U11" s="879"/>
      <c r="V11" s="879"/>
      <c r="W11" s="1112"/>
      <c r="X11" s="1112"/>
      <c r="Y11" s="1112"/>
      <c r="Z11" s="1112"/>
      <c r="AA11" s="1112"/>
      <c r="AB11" s="1112"/>
      <c r="AC11" s="879"/>
      <c r="AD11" s="879"/>
      <c r="AE11" s="879"/>
      <c r="AF11" s="878"/>
      <c r="AG11" s="879"/>
      <c r="AH11" s="1112"/>
      <c r="AI11" s="1112"/>
      <c r="AJ11" s="1112"/>
      <c r="AK11" s="1112"/>
      <c r="AL11" s="1112"/>
      <c r="AM11" s="879"/>
      <c r="AN11" s="879"/>
      <c r="AO11" s="879"/>
      <c r="AP11" s="879"/>
      <c r="AQ11" s="878"/>
      <c r="AR11" s="879"/>
      <c r="AS11" s="815"/>
      <c r="AU11" s="1012"/>
      <c r="AV11" s="1012" t="str">
        <f>IF(T11="","",T11)</f>
        <v>Добавить наименование признака дифференциации</v>
      </c>
      <c r="AW11" s="1012"/>
      <c r="AX11" s="1012"/>
      <c r="AY11" s="1667">
        <v>0</v>
      </c>
    </row>
    <row s="46890" customFormat="1" customHeight="1" ht="14.25" hidden="1">
      <c r="A12" s="1855"/>
      <c r="B12" s="1855"/>
      <c r="C12" s="1826"/>
      <c r="D12" s="1826"/>
      <c r="E12" s="2771"/>
      <c r="F12" s="2770"/>
      <c r="G12" s="1826"/>
      <c r="H12" s="1826"/>
      <c r="I12" s="1826"/>
      <c r="J12" s="1826"/>
      <c r="K12" s="1826"/>
      <c r="L12" s="2006"/>
      <c r="M12" s="1833"/>
      <c r="N12" s="1833"/>
      <c r="P12" s="1828"/>
      <c r="Q12" s="1829"/>
      <c r="R12" s="1828"/>
      <c r="S12" s="1834"/>
      <c r="T12" s="1837" t="s">
        <v>321</v>
      </c>
      <c r="U12" s="1836"/>
      <c r="V12" s="1836"/>
      <c r="W12" s="1836"/>
      <c r="X12" s="1836"/>
      <c r="Y12" s="1836"/>
      <c r="Z12" s="1836"/>
      <c r="AA12" s="1836"/>
      <c r="AB12" s="1836"/>
      <c r="AC12" s="1836"/>
      <c r="AD12" s="1836"/>
      <c r="AE12" s="1836"/>
      <c r="AF12" s="1836"/>
      <c r="AG12" s="1836"/>
      <c r="AH12" s="1836"/>
      <c r="AI12" s="1836"/>
      <c r="AJ12" s="1836"/>
      <c r="AK12" s="1836"/>
      <c r="AL12" s="1836"/>
      <c r="AM12" s="1836"/>
      <c r="AN12" s="1836"/>
      <c r="AO12" s="1836"/>
      <c r="AP12" s="1836"/>
      <c r="AQ12" s="1836"/>
      <c r="AR12" s="1836"/>
      <c r="AS12" s="1836"/>
      <c r="AU12" s="1301"/>
      <c r="AV12" s="1301" t="str">
        <f>IF(T12="","",T12)</f>
        <v>Добавить централизованную систему для дифференциации</v>
      </c>
      <c r="AW12" s="1301"/>
      <c r="AX12" s="1301"/>
      <c r="AY12" s="1030">
        <v>0</v>
      </c>
    </row>
    <row s="46890" customFormat="1" customHeight="1" ht="14.25" hidden="1">
      <c r="A13" s="1855"/>
      <c r="B13" s="1855"/>
      <c r="C13" s="1855"/>
      <c r="D13" s="1855"/>
      <c r="E13" s="2770"/>
      <c r="F13" s="1855"/>
      <c r="G13" s="1855"/>
      <c r="H13" s="1855"/>
      <c r="I13" s="1855"/>
      <c r="J13" s="1855"/>
      <c r="K13" s="1855"/>
      <c r="L13" s="1858"/>
      <c r="M13" s="1833"/>
      <c r="N13" s="1833"/>
      <c r="O13" s="1030"/>
      <c r="P13" s="892"/>
      <c r="Q13" s="1856"/>
      <c r="R13" s="892"/>
      <c r="S13" s="1834"/>
      <c r="T13" s="1837" t="s">
        <v>385</v>
      </c>
      <c r="U13" s="1836"/>
      <c r="V13" s="1836"/>
      <c r="W13" s="1836"/>
      <c r="X13" s="1836"/>
      <c r="Y13" s="1836"/>
      <c r="Z13" s="1836"/>
      <c r="AA13" s="1836"/>
      <c r="AB13" s="1836"/>
      <c r="AC13" s="1836"/>
      <c r="AD13" s="1836"/>
      <c r="AE13" s="1836"/>
      <c r="AF13" s="1836"/>
      <c r="AG13" s="1836"/>
      <c r="AH13" s="1836"/>
      <c r="AI13" s="1836"/>
      <c r="AJ13" s="1836"/>
      <c r="AK13" s="1836"/>
      <c r="AL13" s="1836"/>
      <c r="AM13" s="1836"/>
      <c r="AN13" s="1836"/>
      <c r="AO13" s="1836"/>
      <c r="AP13" s="1836"/>
      <c r="AQ13" s="1836"/>
      <c r="AR13" s="1836"/>
      <c r="AS13" s="1836"/>
      <c r="AU13" s="1012"/>
      <c r="AV13" s="1012" t="str">
        <f>IF(T13="","",T13)</f>
        <v>Добавить территорию для дифференциации</v>
      </c>
      <c r="AW13" s="1012"/>
      <c r="AX13" s="1012"/>
      <c r="AY13" s="1023">
        <v>0</v>
      </c>
    </row>
    <row customHeight="1" ht="14.25" hidden="1">
      <c r="AF14" s="839"/>
      <c r="AQ14" s="839"/>
      <c r="AY14" s="1667">
        <v>0</v>
      </c>
    </row>
    <row customHeight="1" ht="14.25" hidden="1">
      <c r="AG15" s="1872"/>
      <c r="AH15" s="1872"/>
      <c r="AI15" s="1872"/>
      <c r="AJ15" s="1872"/>
      <c r="AK15" s="1872"/>
      <c r="AL15" s="1872"/>
      <c r="AM15" s="1872"/>
      <c r="AN15" s="2779"/>
      <c r="AO15" s="2780" t="s">
        <v>63</v>
      </c>
      <c r="AP15" s="2779"/>
      <c r="AQ15" s="2780" t="s">
        <v>63</v>
      </c>
      <c r="AY15" s="1667">
        <v>0</v>
      </c>
    </row>
    <row customHeight="1" ht="14.25" hidden="1">
      <c r="AG16" s="1872"/>
      <c r="AH16" s="1872"/>
      <c r="AI16" s="1872"/>
      <c r="AJ16" s="1872"/>
      <c r="AK16" s="1872"/>
      <c r="AL16" s="1872"/>
      <c r="AM16" s="1872"/>
      <c r="AN16" s="2780"/>
      <c r="AO16" s="2780"/>
      <c r="AP16" s="2780"/>
      <c r="AQ16" s="2780"/>
      <c r="AY16" s="1667">
        <v>0</v>
      </c>
    </row>
    <row customHeight="1" ht="14.25" hidden="1">
      <c r="AQ17" s="839"/>
      <c r="AY17" s="1667">
        <v>0</v>
      </c>
    </row>
    <row s="46889" customFormat="1" customHeight="1" ht="22.5" hidden="1">
      <c r="L18" s="1990"/>
      <c r="M18" s="1874"/>
      <c r="N18" s="1874"/>
      <c r="O18" s="1879" t="s">
        <v>533</v>
      </c>
      <c r="P18" s="1874"/>
      <c r="Q18" s="1883"/>
      <c r="R18" s="1883"/>
      <c r="S18" s="1241"/>
      <c r="W18" s="1878"/>
      <c r="X18" s="1878"/>
      <c r="Y18" s="1878"/>
      <c r="Z18" s="1878"/>
      <c r="AA18" s="1878"/>
      <c r="AB18" s="1878"/>
      <c r="AC18" s="1879"/>
      <c r="AE18" s="1879"/>
      <c r="AF18" s="1878"/>
      <c r="AH18" s="1878"/>
      <c r="AI18" s="1878"/>
      <c r="AJ18" s="1878"/>
      <c r="AK18" s="1878"/>
      <c r="AL18" s="1878"/>
      <c r="AN18" s="1879"/>
      <c r="AP18" s="1879"/>
      <c r="AQ18" s="1878"/>
      <c r="AT18" s="1023"/>
      <c r="AU18" s="1023"/>
      <c r="AV18" s="1023"/>
      <c r="AW18" s="1023"/>
      <c r="AX18" s="1023"/>
      <c r="AY18" s="1672">
        <v>0</v>
      </c>
    </row>
    <row s="46889" customFormat="1" customHeight="1" ht="14.25" hidden="1">
      <c r="L19" s="1990"/>
      <c r="M19" s="1874"/>
      <c r="N19" s="1874"/>
      <c r="O19" s="1874"/>
      <c r="P19" s="1874"/>
      <c r="Q19" s="1883"/>
      <c r="R19" s="1883"/>
      <c r="S19" s="1241"/>
      <c r="W19" s="1878"/>
      <c r="X19" s="1878"/>
      <c r="Y19" s="1878"/>
      <c r="Z19" s="1878"/>
      <c r="AA19" s="1878"/>
      <c r="AB19" s="1878"/>
      <c r="AF19" s="1878"/>
      <c r="AH19" s="1878"/>
      <c r="AI19" s="1878"/>
      <c r="AJ19" s="1878"/>
      <c r="AK19" s="1878"/>
      <c r="AL19" s="1878"/>
      <c r="AQ19" s="1878"/>
      <c r="AT19" s="1023"/>
      <c r="AU19" s="1023"/>
      <c r="AV19" s="1023"/>
      <c r="AW19" s="1023"/>
      <c r="AX19" s="1023"/>
      <c r="AY19" s="1672">
        <v>0</v>
      </c>
    </row>
    <row s="46889" customFormat="1" customHeight="1" ht="12" hidden="1">
      <c r="L20" s="1990"/>
      <c r="M20" s="1874"/>
      <c r="N20" s="1874"/>
      <c r="O20" s="1876" t="s">
        <v>534</v>
      </c>
      <c r="P20" s="1874"/>
      <c r="Q20" s="1954"/>
      <c r="R20" s="1954"/>
      <c r="S20" s="1241"/>
      <c r="T20" s="1672" t="s">
        <v>535</v>
      </c>
      <c r="W20" s="1878"/>
      <c r="X20" s="1878"/>
      <c r="Y20" s="1878"/>
      <c r="Z20" s="1878"/>
      <c r="AA20" s="1878"/>
      <c r="AB20" s="1878"/>
      <c r="AD20" s="698" t="s">
        <v>536</v>
      </c>
      <c r="AF20" s="698" t="s">
        <v>537</v>
      </c>
      <c r="AG20" s="1672" t="s">
        <v>535</v>
      </c>
      <c r="AH20" s="1878"/>
      <c r="AI20" s="1878"/>
      <c r="AJ20" s="1878"/>
      <c r="AK20" s="1878"/>
      <c r="AL20" s="1878"/>
      <c r="AO20" s="698" t="s">
        <v>538</v>
      </c>
      <c r="AQ20" s="698" t="s">
        <v>537</v>
      </c>
      <c r="AY20" s="1672">
        <v>0</v>
      </c>
    </row>
    <row customHeight="1" ht="14.25" hidden="1">
      <c r="O21" s="1876"/>
      <c r="AY21" s="1667">
        <v>0</v>
      </c>
    </row>
    <row customHeight="1" ht="14.25" hidden="1">
      <c r="O22" s="1876"/>
      <c r="AY22" s="1667">
        <v>0</v>
      </c>
    </row>
    <row customHeight="1" ht="14.699999999999998">
      <c r="Q23" s="888"/>
      <c r="R23" s="888"/>
      <c r="S23" s="1787"/>
      <c r="T23" s="875"/>
      <c r="U23" s="875"/>
      <c r="V23" s="1021"/>
      <c r="W23" s="2147"/>
      <c r="X23" s="2147"/>
      <c r="Y23" s="2147"/>
      <c r="Z23" s="2147"/>
      <c r="AA23" s="2147"/>
      <c r="AB23" s="2147"/>
      <c r="AC23" s="1021"/>
      <c r="AD23" s="1021"/>
      <c r="AE23" s="1021"/>
      <c r="AF23" s="1021"/>
      <c r="AG23" s="1021"/>
      <c r="AH23" s="2147"/>
      <c r="AI23" s="2147"/>
      <c r="AJ23" s="2147"/>
      <c r="AK23" s="2147"/>
      <c r="AL23" s="2147"/>
      <c r="AM23" s="1021"/>
      <c r="AN23" s="1021"/>
      <c r="AO23" s="1021"/>
      <c r="AP23" s="1021"/>
      <c r="AQ23" s="1021"/>
      <c r="AY23" s="1667">
        <v>14</v>
      </c>
    </row>
    <row customHeight="1" ht="26.25">
      <c r="Q24" s="888"/>
      <c r="R24" s="888"/>
      <c r="S24" s="2760"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760"/>
      <c r="U24" s="2760"/>
      <c r="V24" s="2760"/>
      <c r="W24" s="2760"/>
      <c r="X24" s="2760"/>
      <c r="Y24" s="2760"/>
      <c r="Z24" s="2760"/>
      <c r="AA24" s="2760"/>
      <c r="AB24" s="2760"/>
      <c r="AC24" s="2760"/>
      <c r="AD24" s="2760"/>
      <c r="AE24" s="2760"/>
      <c r="AF24" s="2760"/>
      <c r="AG24" s="2760"/>
      <c r="AH24" s="2760"/>
      <c r="AI24" s="2760"/>
      <c r="AJ24" s="2760"/>
      <c r="AK24" s="2760"/>
      <c r="AL24" s="2760"/>
      <c r="AM24" s="2760"/>
      <c r="AN24" s="2760"/>
      <c r="AO24" s="2760"/>
      <c r="AP24" s="2760"/>
      <c r="AQ24" s="1755"/>
      <c r="AY24" s="1667">
        <v>25</v>
      </c>
    </row>
    <row customHeight="1" ht="14.699999999999998">
      <c r="Q25" s="888"/>
      <c r="R25" s="888"/>
      <c r="S25" s="2761" t="str">
        <f>IF(org=0,"Не определено",org)</f>
        <v>КГУП "Примтеплоэнерго"</v>
      </c>
      <c r="T25" s="2761"/>
      <c r="U25" s="2761"/>
      <c r="V25" s="2761"/>
      <c r="W25" s="2761"/>
      <c r="X25" s="2761"/>
      <c r="Y25" s="2761"/>
      <c r="Z25" s="2761"/>
      <c r="AA25" s="2761"/>
      <c r="AB25" s="2761"/>
      <c r="AC25" s="2761"/>
      <c r="AD25" s="2761"/>
      <c r="AE25" s="2761"/>
      <c r="AF25" s="2761"/>
      <c r="AG25" s="2761"/>
      <c r="AH25" s="2761"/>
      <c r="AI25" s="2761"/>
      <c r="AJ25" s="2761"/>
      <c r="AK25" s="2761"/>
      <c r="AL25" s="2761"/>
      <c r="AM25" s="2761"/>
      <c r="AN25" s="2761"/>
      <c r="AO25" s="2761"/>
      <c r="AP25" s="2761"/>
      <c r="AQ25" s="1755"/>
      <c r="AY25" s="1667">
        <v>14</v>
      </c>
    </row>
    <row customHeight="1" ht="14.25">
      <c r="Q26" s="888"/>
      <c r="R26" s="888"/>
      <c r="S26" s="1787"/>
      <c r="T26" s="875"/>
      <c r="U26" s="875"/>
      <c r="V26" s="834"/>
      <c r="W26" s="834"/>
      <c r="X26" s="834"/>
      <c r="Y26" s="834"/>
      <c r="Z26" s="834"/>
      <c r="AA26" s="834"/>
      <c r="AB26" s="834"/>
      <c r="AC26" s="834"/>
      <c r="AD26" s="834"/>
      <c r="AE26" s="834"/>
      <c r="AF26" s="834"/>
      <c r="AG26" s="834"/>
      <c r="AH26" s="834"/>
      <c r="AI26" s="834"/>
      <c r="AJ26" s="834"/>
      <c r="AK26" s="834"/>
      <c r="AL26" s="834"/>
      <c r="AM26" s="834"/>
      <c r="AN26" s="834"/>
      <c r="AO26" s="834"/>
      <c r="AP26" s="834"/>
      <c r="AQ26" s="834"/>
      <c r="AR26" s="1021"/>
      <c r="AY26" s="1667">
        <v>0</v>
      </c>
    </row>
    <row s="47026" customFormat="1" customHeight="1" ht="25.5">
      <c r="A27" s="1880"/>
      <c r="B27" s="1880"/>
      <c r="C27" s="1880"/>
      <c r="D27" s="1880"/>
      <c r="E27" s="1880"/>
      <c r="F27" s="1880"/>
      <c r="G27" s="1880"/>
      <c r="H27" s="1880"/>
      <c r="I27" s="1880"/>
      <c r="J27" s="1880"/>
      <c r="K27" s="1880"/>
      <c r="L27" s="1881"/>
      <c r="M27" s="1880"/>
      <c r="N27" s="1880"/>
      <c r="O27" s="1880"/>
      <c r="S27" s="2762" t="s">
        <v>42</v>
      </c>
      <c r="T27" s="2762"/>
      <c r="U27" s="1884"/>
      <c r="V27" s="2763" t="str">
        <f>IF(TITLE_NAME_OR_PR_CHANGE="",IF(TITLE_NAME_OR_PR="","",TITLE_NAME_OR_PR),TITLE_NAME_OR_PR_CHANGE)</f>
        <v>Агентство по тарифам Приморского края</v>
      </c>
      <c r="W27" s="2763"/>
      <c r="X27" s="2763"/>
      <c r="Y27" s="2763"/>
      <c r="Z27" s="2763"/>
      <c r="AA27" s="2763"/>
      <c r="AB27" s="2763"/>
      <c r="AC27" s="2763"/>
      <c r="AD27" s="2763"/>
      <c r="AE27" s="2763"/>
      <c r="AF27" s="838"/>
      <c r="AG27" s="2763" t="str">
        <f>IF(TITLE_NAME_OR_PR_CHANGE="",IF(TITLE_NAME_OR_PR="","",TITLE_NAME_OR_PR),TITLE_NAME_OR_PR_CHANGE)</f>
        <v>Агентство по тарифам Приморского края</v>
      </c>
      <c r="AH27" s="2763"/>
      <c r="AI27" s="2763"/>
      <c r="AJ27" s="2763"/>
      <c r="AK27" s="2763"/>
      <c r="AL27" s="2763"/>
      <c r="AM27" s="2763"/>
      <c r="AN27" s="2763"/>
      <c r="AO27" s="2763"/>
      <c r="AP27" s="2763"/>
      <c r="AQ27" s="838"/>
      <c r="AR27" s="838"/>
      <c r="AS27" s="792"/>
      <c r="AT27" s="880"/>
      <c r="AU27" s="880"/>
      <c r="AV27" s="880"/>
      <c r="AW27" s="880"/>
      <c r="AX27" s="880"/>
      <c r="AY27" s="930">
        <v>0</v>
      </c>
    </row>
    <row s="47026" customFormat="1" customHeight="1" ht="18.75">
      <c r="A28" s="1880"/>
      <c r="B28" s="1880"/>
      <c r="C28" s="1880"/>
      <c r="D28" s="1880"/>
      <c r="E28" s="1880"/>
      <c r="F28" s="1880"/>
      <c r="G28" s="1880"/>
      <c r="H28" s="1880"/>
      <c r="I28" s="1880"/>
      <c r="J28" s="1880"/>
      <c r="K28" s="1880"/>
      <c r="L28" s="1881"/>
      <c r="M28" s="1880"/>
      <c r="N28" s="1880"/>
      <c r="O28" s="1880"/>
      <c r="S28" s="2762" t="s">
        <v>539</v>
      </c>
      <c r="T28" s="2762"/>
      <c r="U28" s="1884"/>
      <c r="V28" s="2776" t="str">
        <f>IF(TITLE_DATE_PR_CHANGE="",IF(TITLE_DATE_PR="","",TITLE_DATE_PR),TITLE_DATE_PR_CHANGE)</f>
        <v>45631.495844907404</v>
      </c>
      <c r="W28" s="2776"/>
      <c r="X28" s="2776"/>
      <c r="Y28" s="2776"/>
      <c r="Z28" s="2776"/>
      <c r="AA28" s="2776"/>
      <c r="AB28" s="2776"/>
      <c r="AC28" s="2776"/>
      <c r="AD28" s="2776"/>
      <c r="AE28" s="2776"/>
      <c r="AF28" s="838"/>
      <c r="AG28" s="2776" t="str">
        <f>IF(TITLE_DATE_PR_CHANGE="",IF(TITLE_DATE_PR="","",TITLE_DATE_PR),TITLE_DATE_PR_CHANGE)</f>
        <v>45631.495844907404</v>
      </c>
      <c r="AH28" s="2776"/>
      <c r="AI28" s="2776"/>
      <c r="AJ28" s="2776"/>
      <c r="AK28" s="2776"/>
      <c r="AL28" s="2776"/>
      <c r="AM28" s="2776"/>
      <c r="AN28" s="2776"/>
      <c r="AO28" s="2776"/>
      <c r="AP28" s="2776"/>
      <c r="AQ28" s="838"/>
      <c r="AR28" s="838"/>
      <c r="AS28" s="792"/>
      <c r="AT28" s="880"/>
      <c r="AU28" s="880"/>
      <c r="AV28" s="880"/>
      <c r="AW28" s="880"/>
      <c r="AX28" s="880"/>
      <c r="AY28" s="930">
        <v>0</v>
      </c>
    </row>
    <row s="47026" customFormat="1" customHeight="1" ht="18.75">
      <c r="A29" s="1880"/>
      <c r="B29" s="1880"/>
      <c r="C29" s="1880"/>
      <c r="D29" s="1880"/>
      <c r="E29" s="1880"/>
      <c r="F29" s="1880"/>
      <c r="G29" s="1880"/>
      <c r="H29" s="1880"/>
      <c r="I29" s="1880"/>
      <c r="J29" s="1880"/>
      <c r="K29" s="1880"/>
      <c r="L29" s="1881"/>
      <c r="M29" s="1880"/>
      <c r="N29" s="1880"/>
      <c r="O29" s="1880"/>
      <c r="S29" s="2762" t="s">
        <v>540</v>
      </c>
      <c r="T29" s="2762"/>
      <c r="U29" s="1884"/>
      <c r="V29" s="2763" t="str">
        <f>IF(TITLE_NUMBER_PR_CHANGE="",IF(TITLE_NUMBER_PR="","",TITLE_NUMBER_PR),TITLE_NUMBER_PR_CHANGE)</f>
        <v>53/9</v>
      </c>
      <c r="W29" s="2763"/>
      <c r="X29" s="2763"/>
      <c r="Y29" s="2763"/>
      <c r="Z29" s="2763"/>
      <c r="AA29" s="2763"/>
      <c r="AB29" s="2763"/>
      <c r="AC29" s="2763"/>
      <c r="AD29" s="2763"/>
      <c r="AE29" s="2763"/>
      <c r="AF29" s="838"/>
      <c r="AG29" s="2763" t="str">
        <f>IF(TITLE_NUMBER_PR_CHANGE="",IF(TITLE_NUMBER_PR="","",TITLE_NUMBER_PR),TITLE_NUMBER_PR_CHANGE)</f>
        <v>53/9</v>
      </c>
      <c r="AH29" s="2763"/>
      <c r="AI29" s="2763"/>
      <c r="AJ29" s="2763"/>
      <c r="AK29" s="2763"/>
      <c r="AL29" s="2763"/>
      <c r="AM29" s="2763"/>
      <c r="AN29" s="2763"/>
      <c r="AO29" s="2763"/>
      <c r="AP29" s="2763"/>
      <c r="AQ29" s="838"/>
      <c r="AR29" s="838"/>
      <c r="AS29" s="792"/>
      <c r="AT29" s="880"/>
      <c r="AU29" s="880"/>
      <c r="AV29" s="880"/>
      <c r="AW29" s="880"/>
      <c r="AX29" s="880"/>
      <c r="AY29" s="930">
        <v>0</v>
      </c>
    </row>
    <row s="47026" customFormat="1" customHeight="1" ht="18.75">
      <c r="A30" s="1880"/>
      <c r="B30" s="1880"/>
      <c r="C30" s="1880"/>
      <c r="D30" s="1880"/>
      <c r="E30" s="1880"/>
      <c r="F30" s="1880"/>
      <c r="G30" s="1880"/>
      <c r="H30" s="1880"/>
      <c r="I30" s="1880"/>
      <c r="J30" s="1880"/>
      <c r="K30" s="1880"/>
      <c r="L30" s="1881"/>
      <c r="M30" s="1880"/>
      <c r="N30" s="1880"/>
      <c r="O30" s="1880"/>
      <c r="S30" s="2762" t="s">
        <v>44</v>
      </c>
      <c r="T30" s="2762"/>
      <c r="U30" s="1884"/>
      <c r="V30" s="2763" t="str">
        <f>IF(TITLE_IST_PUB_CHANGE="",IF(TITLE_IST_PUB="","",TITLE_IST_PUB),TITLE_IST_PUB_CHANGE)</f>
        <v>http://pravo.gov.ru</v>
      </c>
      <c r="W30" s="2763"/>
      <c r="X30" s="2763"/>
      <c r="Y30" s="2763"/>
      <c r="Z30" s="2763"/>
      <c r="AA30" s="2763"/>
      <c r="AB30" s="2763"/>
      <c r="AC30" s="2763"/>
      <c r="AD30" s="2763"/>
      <c r="AE30" s="2763"/>
      <c r="AF30" s="838"/>
      <c r="AG30" s="2763" t="str">
        <f>IF(TITLE_IST_PUB_CHANGE="",IF(TITLE_IST_PUB="","",TITLE_IST_PUB),TITLE_IST_PUB_CHANGE)</f>
        <v>http://pravo.gov.ru</v>
      </c>
      <c r="AH30" s="2763"/>
      <c r="AI30" s="2763"/>
      <c r="AJ30" s="2763"/>
      <c r="AK30" s="2763"/>
      <c r="AL30" s="2763"/>
      <c r="AM30" s="2763"/>
      <c r="AN30" s="2763"/>
      <c r="AO30" s="2763"/>
      <c r="AP30" s="2763"/>
      <c r="AQ30" s="838"/>
      <c r="AR30" s="838"/>
      <c r="AS30" s="792"/>
      <c r="AT30" s="880"/>
      <c r="AU30" s="880"/>
      <c r="AV30" s="880"/>
      <c r="AW30" s="880"/>
      <c r="AX30" s="880"/>
      <c r="AY30" s="930">
        <v>0</v>
      </c>
    </row>
    <row customHeight="1" ht="14.25" hidden="1">
      <c r="Q31" s="888"/>
      <c r="R31" s="888"/>
      <c r="S31" s="1787"/>
      <c r="T31" s="875"/>
      <c r="U31" s="875"/>
      <c r="V31" s="834"/>
      <c r="W31" s="834"/>
      <c r="X31" s="834"/>
      <c r="Y31" s="834"/>
      <c r="Z31" s="834"/>
      <c r="AA31" s="834"/>
      <c r="AB31" s="834"/>
      <c r="AC31" s="834"/>
      <c r="AD31" s="834"/>
      <c r="AE31" s="834"/>
      <c r="AF31" s="834"/>
      <c r="AG31" s="834"/>
      <c r="AH31" s="834"/>
      <c r="AI31" s="834"/>
      <c r="AJ31" s="834"/>
      <c r="AK31" s="834"/>
      <c r="AL31" s="834"/>
      <c r="AM31" s="834"/>
      <c r="AN31" s="834"/>
      <c r="AO31" s="834"/>
      <c r="AP31" s="834"/>
      <c r="AQ31" s="834"/>
      <c r="AR31" s="1021"/>
      <c r="AY31" s="1667">
        <v>0</v>
      </c>
    </row>
    <row s="47026" customFormat="1" customHeight="1" ht="18.75" hidden="1">
      <c r="A32" s="1880"/>
      <c r="B32" s="1880"/>
      <c r="C32" s="1880"/>
      <c r="D32" s="1880"/>
      <c r="E32" s="1880"/>
      <c r="F32" s="1880"/>
      <c r="G32" s="1880"/>
      <c r="H32" s="1880"/>
      <c r="I32" s="1880"/>
      <c r="J32" s="1880"/>
      <c r="K32" s="1880"/>
      <c r="L32" s="1881"/>
      <c r="M32" s="1880"/>
      <c r="N32" s="1880"/>
      <c r="O32" s="1880"/>
      <c r="S32" s="2762" t="s">
        <v>541</v>
      </c>
      <c r="T32" s="2762"/>
      <c r="U32" s="1884"/>
      <c r="V32" s="2776" t="str">
        <f>IF(TITLE_DATE_PR_CHANGE="",IF(TITLE_DATE_PR="","",TITLE_DATE_PR),TITLE_DATE_PR_CHANGE)</f>
        <v>45631.495844907404</v>
      </c>
      <c r="W32" s="2776"/>
      <c r="X32" s="2776"/>
      <c r="Y32" s="2776"/>
      <c r="Z32" s="2776"/>
      <c r="AA32" s="2776"/>
      <c r="AB32" s="2776"/>
      <c r="AC32" s="2776"/>
      <c r="AD32" s="2776"/>
      <c r="AE32" s="2776"/>
      <c r="AF32" s="838"/>
      <c r="AG32" s="2776" t="str">
        <f>IF(TITLE_DATE_PR_CHANGE="",IF(TITLE_DATE_PR="","",TITLE_DATE_PR),TITLE_DATE_PR_CHANGE)</f>
        <v>45631.495844907404</v>
      </c>
      <c r="AH32" s="2776"/>
      <c r="AI32" s="2776"/>
      <c r="AJ32" s="2776"/>
      <c r="AK32" s="2776"/>
      <c r="AL32" s="2776"/>
      <c r="AM32" s="2776"/>
      <c r="AN32" s="2776"/>
      <c r="AO32" s="2776"/>
      <c r="AP32" s="2776"/>
      <c r="AQ32" s="838"/>
      <c r="AR32" s="838"/>
      <c r="AS32" s="792"/>
      <c r="AT32" s="880"/>
      <c r="AU32" s="880"/>
      <c r="AV32" s="880"/>
      <c r="AW32" s="880"/>
      <c r="AX32" s="880"/>
      <c r="AY32" s="930">
        <v>0</v>
      </c>
    </row>
    <row s="47026" customFormat="1" customHeight="1" ht="18.75" hidden="1">
      <c r="A33" s="1880"/>
      <c r="B33" s="1880"/>
      <c r="C33" s="1880"/>
      <c r="D33" s="1880"/>
      <c r="E33" s="1880"/>
      <c r="F33" s="1880"/>
      <c r="G33" s="1880"/>
      <c r="H33" s="1880"/>
      <c r="I33" s="1880"/>
      <c r="J33" s="1880"/>
      <c r="K33" s="1880"/>
      <c r="L33" s="1881"/>
      <c r="M33" s="1880"/>
      <c r="N33" s="1880"/>
      <c r="O33" s="1880"/>
      <c r="S33" s="2762" t="s">
        <v>542</v>
      </c>
      <c r="T33" s="2762"/>
      <c r="U33" s="1884"/>
      <c r="V33" s="2763" t="str">
        <f>IF(TITLE_NUMBER_PR_CHANGE="",IF(TITLE_NUMBER_PR="","",TITLE_NUMBER_PR),TITLE_NUMBER_PR_CHANGE)</f>
        <v>53/9</v>
      </c>
      <c r="W33" s="2763"/>
      <c r="X33" s="2763"/>
      <c r="Y33" s="2763"/>
      <c r="Z33" s="2763"/>
      <c r="AA33" s="2763"/>
      <c r="AB33" s="2763"/>
      <c r="AC33" s="2763"/>
      <c r="AD33" s="2763"/>
      <c r="AE33" s="2763"/>
      <c r="AF33" s="838"/>
      <c r="AG33" s="2763" t="str">
        <f>IF(TITLE_NUMBER_PR_CHANGE="",IF(TITLE_NUMBER_PR="","",TITLE_NUMBER_PR),TITLE_NUMBER_PR_CHANGE)</f>
        <v>53/9</v>
      </c>
      <c r="AH33" s="2763"/>
      <c r="AI33" s="2763"/>
      <c r="AJ33" s="2763"/>
      <c r="AK33" s="2763"/>
      <c r="AL33" s="2763"/>
      <c r="AM33" s="2763"/>
      <c r="AN33" s="2763"/>
      <c r="AO33" s="2763"/>
      <c r="AP33" s="2763"/>
      <c r="AQ33" s="838"/>
      <c r="AR33" s="838"/>
      <c r="AS33" s="792"/>
      <c r="AT33" s="880"/>
      <c r="AU33" s="880"/>
      <c r="AV33" s="880"/>
      <c r="AW33" s="880"/>
      <c r="AX33" s="880"/>
      <c r="AY33" s="930">
        <v>0</v>
      </c>
    </row>
    <row s="47026" customFormat="1" customHeight="1" ht="1.05">
      <c r="A34" s="1880"/>
      <c r="B34" s="1880"/>
      <c r="C34" s="1880"/>
      <c r="D34" s="1880"/>
      <c r="E34" s="1880"/>
      <c r="F34" s="1880"/>
      <c r="G34" s="1880"/>
      <c r="H34" s="1880"/>
      <c r="I34" s="1880"/>
      <c r="J34" s="1880"/>
      <c r="K34" s="1880"/>
      <c r="L34" s="1881"/>
      <c r="M34" s="1880"/>
      <c r="N34" s="1880"/>
      <c r="O34" s="1880"/>
      <c r="S34" s="835"/>
      <c r="T34" s="835"/>
      <c r="U34" s="2000"/>
      <c r="V34" s="838"/>
      <c r="W34" s="2147"/>
      <c r="X34" s="2147"/>
      <c r="Y34" s="2147"/>
      <c r="Z34" s="2147"/>
      <c r="AA34" s="2147"/>
      <c r="AB34" s="2147"/>
      <c r="AC34" s="838"/>
      <c r="AD34" s="838"/>
      <c r="AE34" s="838"/>
      <c r="AF34" s="790" t="s">
        <v>543</v>
      </c>
      <c r="AG34" s="838"/>
      <c r="AH34" s="2147"/>
      <c r="AI34" s="2147"/>
      <c r="AJ34" s="2147"/>
      <c r="AK34" s="2147"/>
      <c r="AL34" s="2147"/>
      <c r="AM34" s="838"/>
      <c r="AN34" s="838"/>
      <c r="AO34" s="838"/>
      <c r="AP34" s="838"/>
      <c r="AQ34" s="790" t="s">
        <v>543</v>
      </c>
      <c r="AT34" s="880"/>
      <c r="AU34" s="880"/>
      <c r="AV34" s="880"/>
      <c r="AW34" s="880"/>
      <c r="AX34" s="880"/>
      <c r="AY34" s="930">
        <v>1</v>
      </c>
    </row>
    <row customHeight="1" ht="14.699999999999998">
      <c r="Q35" s="888"/>
      <c r="R35" s="888"/>
      <c r="S35" s="1787"/>
      <c r="T35" s="875"/>
      <c r="U35" s="1756"/>
      <c r="V35" s="2764"/>
      <c r="W35" s="2764"/>
      <c r="X35" s="2764"/>
      <c r="Y35" s="2764"/>
      <c r="Z35" s="2764"/>
      <c r="AA35" s="2764"/>
      <c r="AB35" s="2764"/>
      <c r="AC35" s="2764"/>
      <c r="AD35" s="2764"/>
      <c r="AE35" s="2764"/>
      <c r="AF35" s="2764"/>
      <c r="AG35" s="2764"/>
      <c r="AH35" s="2764"/>
      <c r="AI35" s="2764"/>
      <c r="AJ35" s="2764"/>
      <c r="AK35" s="2764"/>
      <c r="AL35" s="2764"/>
      <c r="AM35" s="2764"/>
      <c r="AN35" s="2764"/>
      <c r="AO35" s="2764"/>
      <c r="AP35" s="2764"/>
      <c r="AQ35" s="2764"/>
      <c r="AY35" s="1667">
        <v>14</v>
      </c>
    </row>
    <row customHeight="1" ht="14.699999999999998">
      <c r="Q36" s="888"/>
      <c r="R36" s="888"/>
      <c r="S36" s="2639" t="s">
        <v>418</v>
      </c>
      <c r="T36" s="2639"/>
      <c r="U36" s="2639"/>
      <c r="V36" s="2639"/>
      <c r="W36" s="2639"/>
      <c r="X36" s="2639"/>
      <c r="Y36" s="2639"/>
      <c r="Z36" s="2639"/>
      <c r="AA36" s="2639"/>
      <c r="AB36" s="2639"/>
      <c r="AC36" s="2639"/>
      <c r="AD36" s="2639"/>
      <c r="AE36" s="2639"/>
      <c r="AF36" s="2639"/>
      <c r="AG36" s="2639"/>
      <c r="AH36" s="2639"/>
      <c r="AI36" s="2639"/>
      <c r="AJ36" s="2639"/>
      <c r="AK36" s="2639"/>
      <c r="AL36" s="2639"/>
      <c r="AM36" s="2639"/>
      <c r="AN36" s="2639"/>
      <c r="AO36" s="2639"/>
      <c r="AP36" s="2639"/>
      <c r="AQ36" s="2639"/>
      <c r="AR36" s="2639"/>
      <c r="AS36" s="2639" t="s">
        <v>419</v>
      </c>
      <c r="AY36" s="1667">
        <v>14</v>
      </c>
    </row>
    <row customHeight="1" ht="14.699999999999998">
      <c r="Q37" s="888"/>
      <c r="R37" s="888"/>
      <c r="S37" s="2785" t="s">
        <v>90</v>
      </c>
      <c r="T37" s="2721" t="s">
        <v>544</v>
      </c>
      <c r="U37" s="813"/>
      <c r="V37" s="2786" t="s">
        <v>545</v>
      </c>
      <c r="W37" s="2803"/>
      <c r="X37" s="2803"/>
      <c r="Y37" s="2803"/>
      <c r="Z37" s="2803"/>
      <c r="AA37" s="2803"/>
      <c r="AB37" s="2803"/>
      <c r="AC37" s="2787"/>
      <c r="AD37" s="2787"/>
      <c r="AE37" s="2788"/>
      <c r="AF37" s="2789" t="s">
        <v>546</v>
      </c>
      <c r="AG37" s="2786" t="s">
        <v>545</v>
      </c>
      <c r="AH37" s="2787"/>
      <c r="AI37" s="2787"/>
      <c r="AJ37" s="2787"/>
      <c r="AK37" s="2787"/>
      <c r="AL37" s="2787"/>
      <c r="AM37" s="2787"/>
      <c r="AN37" s="2787"/>
      <c r="AO37" s="2787"/>
      <c r="AP37" s="2788"/>
      <c r="AQ37" s="2789" t="s">
        <v>547</v>
      </c>
      <c r="AR37" s="2792" t="s">
        <v>548</v>
      </c>
      <c r="AS37" s="2639"/>
      <c r="AY37" s="1667">
        <v>14</v>
      </c>
    </row>
    <row customHeight="1" ht="19.95">
      <c r="Q38" s="888"/>
      <c r="R38" s="888"/>
      <c r="S38" s="2785"/>
      <c r="T38" s="2721"/>
      <c r="U38" s="1543"/>
      <c r="V38" s="2878" t="s">
        <v>649</v>
      </c>
      <c r="W38" s="2877" t="s">
        <v>650</v>
      </c>
      <c r="X38" s="2877"/>
      <c r="Y38" s="2877"/>
      <c r="Z38" s="2877" t="s">
        <v>651</v>
      </c>
      <c r="AA38" s="2877"/>
      <c r="AB38" s="2877"/>
      <c r="AC38" s="2806" t="s">
        <v>552</v>
      </c>
      <c r="AD38" s="2825"/>
      <c r="AE38" s="2826"/>
      <c r="AF38" s="2790"/>
      <c r="AG38" s="2878" t="s">
        <v>649</v>
      </c>
      <c r="AH38" s="2877" t="s">
        <v>650</v>
      </c>
      <c r="AI38" s="2877"/>
      <c r="AJ38" s="2877"/>
      <c r="AK38" s="2877" t="s">
        <v>651</v>
      </c>
      <c r="AL38" s="2877"/>
      <c r="AM38" s="2877"/>
      <c r="AN38" s="2806" t="s">
        <v>552</v>
      </c>
      <c r="AO38" s="2825"/>
      <c r="AP38" s="2826"/>
      <c r="AQ38" s="2790"/>
      <c r="AR38" s="2793"/>
      <c r="AS38" s="2639"/>
      <c r="AY38" s="1667">
        <v>19</v>
      </c>
    </row>
    <row s="46808" customFormat="1" customHeight="1" ht="19.95">
      <c r="A39" s="1878"/>
      <c r="B39" s="1878"/>
      <c r="C39" s="1878"/>
      <c r="D39" s="1878"/>
      <c r="E39" s="1878"/>
      <c r="F39" s="1878"/>
      <c r="G39" s="1878"/>
      <c r="H39" s="1878"/>
      <c r="I39" s="1878"/>
      <c r="J39" s="1878"/>
      <c r="K39" s="1878"/>
      <c r="L39" s="2463"/>
      <c r="M39" s="1874"/>
      <c r="N39" s="1874"/>
      <c r="O39" s="1874"/>
      <c r="P39" s="2477"/>
      <c r="Q39" s="888"/>
      <c r="R39" s="888"/>
      <c r="S39" s="2785"/>
      <c r="T39" s="2721"/>
      <c r="U39" s="1543"/>
      <c r="V39" s="2878"/>
      <c r="W39" s="2877" t="s">
        <v>652</v>
      </c>
      <c r="X39" s="2877" t="s">
        <v>653</v>
      </c>
      <c r="Y39" s="2877"/>
      <c r="Z39" s="2877" t="s">
        <v>654</v>
      </c>
      <c r="AA39" s="2877" t="s">
        <v>653</v>
      </c>
      <c r="AB39" s="2877"/>
      <c r="AC39" s="2807"/>
      <c r="AD39" s="2827"/>
      <c r="AE39" s="2828"/>
      <c r="AF39" s="2790"/>
      <c r="AG39" s="2878"/>
      <c r="AH39" s="2877" t="s">
        <v>652</v>
      </c>
      <c r="AI39" s="2877" t="s">
        <v>653</v>
      </c>
      <c r="AJ39" s="2877"/>
      <c r="AK39" s="2877" t="s">
        <v>654</v>
      </c>
      <c r="AL39" s="2877" t="s">
        <v>653</v>
      </c>
      <c r="AM39" s="2877"/>
      <c r="AN39" s="2807"/>
      <c r="AO39" s="2827"/>
      <c r="AP39" s="2828"/>
      <c r="AQ39" s="2790"/>
      <c r="AR39" s="2793"/>
      <c r="AS39" s="2639"/>
      <c r="AT39" s="2148"/>
      <c r="AU39" s="2148"/>
      <c r="AV39" s="2148"/>
      <c r="AW39" s="2148"/>
      <c r="AX39" s="2148"/>
      <c r="AY39" s="2143">
        <v>19</v>
      </c>
    </row>
    <row customHeight="1" ht="61.949999999999996">
      <c r="A40" s="1882"/>
      <c r="B40" s="1882" t="s">
        <v>191</v>
      </c>
      <c r="C40" s="1882" t="s">
        <v>192</v>
      </c>
      <c r="D40" s="1882" t="s">
        <v>193</v>
      </c>
      <c r="E40" s="1876" t="s">
        <v>553</v>
      </c>
      <c r="F40" s="1876" t="s">
        <v>554</v>
      </c>
      <c r="G40" s="1876" t="s">
        <v>555</v>
      </c>
      <c r="H40" s="1876"/>
      <c r="I40" s="1876" t="s">
        <v>605</v>
      </c>
      <c r="J40" s="1876" t="s">
        <v>558</v>
      </c>
      <c r="K40" s="1876" t="s">
        <v>606</v>
      </c>
      <c r="L40" s="1876" t="s">
        <v>534</v>
      </c>
      <c r="Q40" s="888"/>
      <c r="R40" s="888"/>
      <c r="S40" s="2785"/>
      <c r="T40" s="2721"/>
      <c r="U40" s="814"/>
      <c r="V40" s="2878"/>
      <c r="W40" s="2877"/>
      <c r="X40" s="2495" t="s">
        <v>655</v>
      </c>
      <c r="Y40" s="2495" t="s">
        <v>656</v>
      </c>
      <c r="Z40" s="2877"/>
      <c r="AA40" s="2495" t="s">
        <v>657</v>
      </c>
      <c r="AB40" s="2495" t="s">
        <v>658</v>
      </c>
      <c r="AC40" s="2001" t="s">
        <v>562</v>
      </c>
      <c r="AD40" s="2782" t="s">
        <v>563</v>
      </c>
      <c r="AE40" s="2783"/>
      <c r="AF40" s="2791"/>
      <c r="AG40" s="2878"/>
      <c r="AH40" s="2877"/>
      <c r="AI40" s="2495" t="s">
        <v>655</v>
      </c>
      <c r="AJ40" s="2495" t="s">
        <v>656</v>
      </c>
      <c r="AK40" s="2877"/>
      <c r="AL40" s="2495" t="s">
        <v>657</v>
      </c>
      <c r="AM40" s="2495" t="s">
        <v>658</v>
      </c>
      <c r="AN40" s="2001" t="s">
        <v>562</v>
      </c>
      <c r="AO40" s="2782" t="s">
        <v>563</v>
      </c>
      <c r="AP40" s="2783"/>
      <c r="AQ40" s="2791"/>
      <c r="AR40" s="2794"/>
      <c r="AS40" s="2639"/>
      <c r="AY40" s="1667">
        <v>59</v>
      </c>
    </row>
    <row s="47496" customFormat="1" customHeight="1" ht="11.25" hidden="1">
      <c r="A41" s="1882"/>
      <c r="B41" s="1882"/>
      <c r="C41" s="1882"/>
      <c r="D41" s="1882"/>
      <c r="E41" s="1882"/>
      <c r="F41" s="1882"/>
      <c r="G41" s="1882"/>
      <c r="H41" s="1882"/>
      <c r="I41" s="1882"/>
      <c r="J41" s="1882"/>
      <c r="K41" s="1882"/>
      <c r="L41" s="1876"/>
      <c r="M41" s="1874"/>
      <c r="N41" s="1874"/>
      <c r="O41" s="1874"/>
      <c r="P41" s="1758"/>
      <c r="Q41" s="1759"/>
      <c r="R41" s="1766">
        <v>1</v>
      </c>
      <c r="S41" s="1789" t="s">
        <v>101</v>
      </c>
      <c r="T41" s="1767" t="s">
        <v>105</v>
      </c>
      <c r="U41" s="1757" t="str">
        <f>OFFSET(U41,0,-1)</f>
        <v>2</v>
      </c>
      <c r="V41" s="1994">
        <f>OFFSET(V41,0,-1)+1</f>
        <v>3</v>
      </c>
      <c r="W41" s="1853"/>
      <c r="X41" s="1853"/>
      <c r="Y41" s="1853"/>
      <c r="Z41" s="1853"/>
      <c r="AA41" s="1853"/>
      <c r="AB41" s="1853"/>
      <c r="AC41" s="1994">
        <f>OFFSET(AC41,0,-1)+1</f>
        <v>1</v>
      </c>
      <c r="AD41" s="2784">
        <f>OFFSET(AD41,0,-1)+1</f>
        <v>2</v>
      </c>
      <c r="AE41" s="2784"/>
      <c r="AF41" s="1994">
        <f>OFFSET(AF41,0,-2)+1</f>
        <v>3</v>
      </c>
      <c r="AG41" s="1994">
        <f>OFFSET(AG41,0,-1)+1</f>
        <v>4</v>
      </c>
      <c r="AH41" s="2468"/>
      <c r="AI41" s="2468"/>
      <c r="AJ41" s="2468"/>
      <c r="AK41" s="2468"/>
      <c r="AL41" s="2468"/>
      <c r="AM41" s="1994">
        <f>OFFSET(AM41,0,-1)+1</f>
        <v>1</v>
      </c>
      <c r="AN41" s="1994">
        <f>OFFSET(AN41,0,-1)+1</f>
        <v>2</v>
      </c>
      <c r="AO41" s="2784">
        <f>OFFSET(AO41,0,-1)+1</f>
        <v>3</v>
      </c>
      <c r="AP41" s="2784"/>
      <c r="AQ41" s="1994">
        <f>OFFSET(AQ41,0,-2)+1</f>
        <v>4</v>
      </c>
      <c r="AR41" s="1757">
        <f>OFFSET(AR41,0,-1)</f>
        <v>4</v>
      </c>
      <c r="AS41" s="1994">
        <f>OFFSET(AS41,0,-1)+1</f>
        <v>5</v>
      </c>
      <c r="AT41" s="1023"/>
      <c r="AU41" s="1023"/>
      <c r="AV41" s="1023"/>
      <c r="AW41" s="1023"/>
      <c r="AX41" s="1023"/>
      <c r="AY41" s="1008">
        <v>0</v>
      </c>
    </row>
    <row customHeight="1" ht="24">
      <c r="A42" s="1875" t="s">
        <v>300</v>
      </c>
      <c r="B42" s="1875"/>
      <c r="C42" s="1875"/>
      <c r="D42" s="1875"/>
      <c r="E42" s="2770">
        <v>1</v>
      </c>
      <c r="F42" s="1875"/>
      <c r="G42" s="1875"/>
      <c r="H42" s="1875"/>
      <c r="I42" s="1875"/>
      <c r="J42" s="1875"/>
      <c r="K42" s="1875"/>
      <c r="L42" s="1876"/>
      <c r="M42" s="1877"/>
      <c r="N42" s="1877"/>
      <c r="O42" s="1877"/>
      <c r="P42" s="873"/>
      <c r="Q42" s="872"/>
      <c r="R42" s="867"/>
      <c r="S42" s="2005">
        <f>INDEX(PT_DIFFERENTIATION_NUM_NTAR,MATCH(A42,PT_DIFFERENTIATION_NTAR_ID,0))</f>
        <v>0</v>
      </c>
      <c r="T42" s="810" t="s">
        <v>179</v>
      </c>
      <c r="U42" s="812"/>
      <c r="V42" s="2754"/>
      <c r="W42" s="2755"/>
      <c r="X42" s="2755"/>
      <c r="Y42" s="2755"/>
      <c r="Z42" s="2755"/>
      <c r="AA42" s="2755"/>
      <c r="AB42" s="2755"/>
      <c r="AC42" s="2755"/>
      <c r="AD42" s="2755"/>
      <c r="AE42" s="2755"/>
      <c r="AF42" s="2756"/>
      <c r="AG42" s="2754" t="str">
        <f>INDEX(PT_DIFFERENTIATION_NTAR,MATCH(A42,PT_DIFFERENTIATION_NTAR_ID,0))</f>
        <v/>
      </c>
      <c r="AH42" s="2755"/>
      <c r="AI42" s="2755"/>
      <c r="AJ42" s="2755"/>
      <c r="AK42" s="2755"/>
      <c r="AL42" s="2755"/>
      <c r="AM42" s="2755"/>
      <c r="AN42" s="2755"/>
      <c r="AO42" s="2755"/>
      <c r="AP42" s="2755"/>
      <c r="AQ42" s="2755"/>
      <c r="AR42" s="2756"/>
      <c r="AS42"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1012"/>
      <c r="AV42" s="1012" t="str">
        <f>IF(T42="","",T42)</f>
        <v>Наименование тарифа</v>
      </c>
      <c r="AW42" s="1012"/>
      <c r="AX42" s="1012"/>
      <c r="AY42" s="1667">
        <v>23</v>
      </c>
    </row>
    <row customHeight="1" ht="24">
      <c r="A43" s="1875" t="s">
        <v>300</v>
      </c>
      <c r="B43" s="1875" t="s">
        <v>301</v>
      </c>
      <c r="C43" s="1875"/>
      <c r="D43" s="1875"/>
      <c r="E43" s="2771"/>
      <c r="F43" s="2770">
        <v>1</v>
      </c>
      <c r="G43" s="1875"/>
      <c r="H43" s="1875"/>
      <c r="I43" s="1875"/>
      <c r="J43" s="1875"/>
      <c r="K43" s="1875"/>
      <c r="L43" s="1876"/>
      <c r="M43" s="1877"/>
      <c r="N43" s="1877"/>
      <c r="O43" s="1877"/>
      <c r="P43" s="1999"/>
      <c r="Q43" s="864"/>
      <c r="R43" s="865"/>
      <c r="S43" s="2005" t="str">
        <f>INDEX(PT_DIFFERENTIATION_NUM_TER,MATCH(B43,PT_DIFFERENTIATION_TER_ID,0))</f>
        <v>.</v>
      </c>
      <c r="T43" s="820" t="s">
        <v>515</v>
      </c>
      <c r="U43" s="812"/>
      <c r="V43" s="2754"/>
      <c r="W43" s="2755"/>
      <c r="X43" s="2755"/>
      <c r="Y43" s="2755"/>
      <c r="Z43" s="2755"/>
      <c r="AA43" s="2755"/>
      <c r="AB43" s="2755"/>
      <c r="AC43" s="2755"/>
      <c r="AD43" s="2755"/>
      <c r="AE43" s="2755"/>
      <c r="AF43" s="2756"/>
      <c r="AG43" s="2754" t="str">
        <f>INDEX(PT_DIFFERENTIATION_TER,MATCH(B43,PT_DIFFERENTIATION_TER_ID,0))</f>
        <v/>
      </c>
      <c r="AH43" s="2755"/>
      <c r="AI43" s="2755"/>
      <c r="AJ43" s="2755"/>
      <c r="AK43" s="2755"/>
      <c r="AL43" s="2755"/>
      <c r="AM43" s="2755"/>
      <c r="AN43" s="2755"/>
      <c r="AO43" s="2755"/>
      <c r="AP43" s="2755"/>
      <c r="AQ43" s="2755"/>
      <c r="AR43" s="2756"/>
      <c r="AS43" s="1770" t="s">
        <v>516</v>
      </c>
      <c r="AU43" s="1012"/>
      <c r="AV43" s="1012" t="str">
        <f>IF(T43="","",T43)</f>
        <v>Территория действия тарифа</v>
      </c>
      <c r="AW43" s="1012"/>
      <c r="AX43" s="1012"/>
      <c r="AY43" s="1667">
        <v>23</v>
      </c>
    </row>
    <row customHeight="1" ht="24">
      <c r="A44" s="1875" t="s">
        <v>300</v>
      </c>
      <c r="B44" s="1875" t="s">
        <v>301</v>
      </c>
      <c r="C44" s="1875" t="s">
        <v>302</v>
      </c>
      <c r="D44" s="1875"/>
      <c r="E44" s="2771"/>
      <c r="F44" s="2771"/>
      <c r="G44" s="2770">
        <v>1</v>
      </c>
      <c r="H44" s="1875"/>
      <c r="I44" s="1875"/>
      <c r="J44" s="1875"/>
      <c r="K44" s="1875"/>
      <c r="L44" s="1876"/>
      <c r="M44" s="1877"/>
      <c r="N44" s="1877"/>
      <c r="O44" s="1877"/>
      <c r="P44" s="866"/>
      <c r="Q44" s="864"/>
      <c r="R44" s="865"/>
      <c r="S44" s="2005" t="str">
        <f>INDEX(PT_DIFFERENTIATION_NUM_CS,MATCH(C44,PT_DIFFERENTIATION_CS_ID,0))</f>
        <v>..</v>
      </c>
      <c r="T44" s="821" t="s">
        <v>647</v>
      </c>
      <c r="U44" s="812"/>
      <c r="V44" s="2754"/>
      <c r="W44" s="2755"/>
      <c r="X44" s="2755"/>
      <c r="Y44" s="2755"/>
      <c r="Z44" s="2755"/>
      <c r="AA44" s="2755"/>
      <c r="AB44" s="2755"/>
      <c r="AC44" s="2755"/>
      <c r="AD44" s="2755"/>
      <c r="AE44" s="2755"/>
      <c r="AF44" s="2756"/>
      <c r="AG44" s="2754" t="str">
        <f>INDEX(PT_DIFFERENTIATION_CS,MATCH(C44,PT_DIFFERENTIATION_CS_ID,0))</f>
        <v/>
      </c>
      <c r="AH44" s="2755"/>
      <c r="AI44" s="2755"/>
      <c r="AJ44" s="2755"/>
      <c r="AK44" s="2755"/>
      <c r="AL44" s="2755"/>
      <c r="AM44" s="2755"/>
      <c r="AN44" s="2755"/>
      <c r="AO44" s="2755"/>
      <c r="AP44" s="2755"/>
      <c r="AQ44" s="2755"/>
      <c r="AR44" s="2756"/>
      <c r="AS44" s="1770" t="s">
        <v>648</v>
      </c>
      <c r="AU44" s="1012"/>
      <c r="AV44" s="1012" t="str">
        <f>IF(T44="","",T44)</f>
        <v>Наименование централизованной системы горячего водоснабжения</v>
      </c>
      <c r="AW44" s="1012"/>
      <c r="AX44" s="1012"/>
      <c r="AY44" s="1667">
        <v>23</v>
      </c>
    </row>
    <row customHeight="1" ht="24">
      <c r="A45" s="1875" t="s">
        <v>300</v>
      </c>
      <c r="B45" s="1875" t="s">
        <v>301</v>
      </c>
      <c r="C45" s="1875" t="s">
        <v>302</v>
      </c>
      <c r="D45" s="1875" t="s">
        <v>659</v>
      </c>
      <c r="E45" s="2771"/>
      <c r="F45" s="2771"/>
      <c r="G45" s="2771"/>
      <c r="H45" s="2771"/>
      <c r="I45" s="2768" t="str">
        <f>S44&amp;".1"</f>
        <v>...1</v>
      </c>
      <c r="J45" s="1875"/>
      <c r="K45" s="1875"/>
      <c r="L45" s="1876"/>
      <c r="P45" s="2769">
        <v>1</v>
      </c>
      <c r="Q45" s="1993"/>
      <c r="R45" s="868"/>
      <c r="S45" s="2005" t="str">
        <f>$I45</f>
        <v>...1</v>
      </c>
      <c r="T45" s="797" t="s">
        <v>598</v>
      </c>
      <c r="U45" s="812"/>
      <c r="V45" s="2862"/>
      <c r="W45" s="2863"/>
      <c r="X45" s="2863"/>
      <c r="Y45" s="2863"/>
      <c r="Z45" s="2863"/>
      <c r="AA45" s="2863"/>
      <c r="AB45" s="2863"/>
      <c r="AC45" s="2863"/>
      <c r="AD45" s="2863"/>
      <c r="AE45" s="2863"/>
      <c r="AF45" s="2864"/>
      <c r="AG45" s="2865"/>
      <c r="AH45" s="2866"/>
      <c r="AI45" s="2866"/>
      <c r="AJ45" s="2866"/>
      <c r="AK45" s="2866"/>
      <c r="AL45" s="2866"/>
      <c r="AM45" s="2866"/>
      <c r="AN45" s="2866"/>
      <c r="AO45" s="2866"/>
      <c r="AP45" s="2866"/>
      <c r="AQ45" s="2866"/>
      <c r="AR45" s="2867"/>
      <c r="AS45" s="1770" t="s">
        <v>599</v>
      </c>
      <c r="AU45" s="1012"/>
      <c r="AV45" s="1012" t="str">
        <f>IF(T45="","",T45)</f>
        <v>Наименование признака дифференциации</v>
      </c>
      <c r="AW45" s="1012"/>
      <c r="AX45" s="1012"/>
      <c r="AY45" s="1667">
        <v>23</v>
      </c>
    </row>
    <row customHeight="1" ht="24">
      <c r="A46" s="1875" t="s">
        <v>300</v>
      </c>
      <c r="B46" s="1875" t="s">
        <v>301</v>
      </c>
      <c r="C46" s="1875" t="s">
        <v>302</v>
      </c>
      <c r="D46" s="1875" t="s">
        <v>659</v>
      </c>
      <c r="E46" s="2771"/>
      <c r="F46" s="2771"/>
      <c r="G46" s="2771"/>
      <c r="H46" s="2771"/>
      <c r="I46" s="2798"/>
      <c r="J46" s="2768" t="str">
        <f>I45&amp;".1"</f>
        <v>...1.1</v>
      </c>
      <c r="K46" s="1875"/>
      <c r="L46" s="1876" t="s">
        <v>524</v>
      </c>
      <c r="P46" s="2769"/>
      <c r="Q46" s="2769">
        <v>1</v>
      </c>
      <c r="R46" s="869"/>
      <c r="S46" s="2005" t="str">
        <f>$J46</f>
        <v>...1.1</v>
      </c>
      <c r="T46" s="798" t="s">
        <v>525</v>
      </c>
      <c r="U46" s="812"/>
      <c r="V46" s="2757"/>
      <c r="W46" s="2758"/>
      <c r="X46" s="2758"/>
      <c r="Y46" s="2758"/>
      <c r="Z46" s="2758"/>
      <c r="AA46" s="2758"/>
      <c r="AB46" s="2758"/>
      <c r="AC46" s="2758"/>
      <c r="AD46" s="2758"/>
      <c r="AE46" s="2758"/>
      <c r="AF46" s="2759"/>
      <c r="AG46" s="2757"/>
      <c r="AH46" s="2758"/>
      <c r="AI46" s="2758"/>
      <c r="AJ46" s="2758"/>
      <c r="AK46" s="2758"/>
      <c r="AL46" s="2758"/>
      <c r="AM46" s="2758"/>
      <c r="AN46" s="2758"/>
      <c r="AO46" s="2758"/>
      <c r="AP46" s="2758"/>
      <c r="AQ46" s="2758"/>
      <c r="AR46" s="2759"/>
      <c r="AS46" s="1819" t="s">
        <v>600</v>
      </c>
      <c r="AU46" s="1012"/>
      <c r="AV46" s="1012" t="str">
        <f>IF(T46="","",T46)</f>
        <v>Группа потребителей</v>
      </c>
      <c r="AW46" s="1012"/>
      <c r="AX46" s="1012"/>
      <c r="AY46" s="1667">
        <v>23</v>
      </c>
    </row>
    <row customHeight="1" ht="24">
      <c r="A47" s="1875" t="s">
        <v>300</v>
      </c>
      <c r="B47" s="1875" t="s">
        <v>301</v>
      </c>
      <c r="C47" s="1875" t="s">
        <v>302</v>
      </c>
      <c r="D47" s="1875" t="s">
        <v>659</v>
      </c>
      <c r="E47" s="2771"/>
      <c r="F47" s="2771"/>
      <c r="G47" s="2771"/>
      <c r="H47" s="2771"/>
      <c r="I47" s="2798"/>
      <c r="J47" s="2798"/>
      <c r="K47" s="2768" t="str">
        <f>J46&amp;".1"</f>
        <v>...1.1.1</v>
      </c>
      <c r="L47" s="1876"/>
      <c r="P47" s="2769"/>
      <c r="Q47" s="2769"/>
      <c r="R47" s="869">
        <v>1</v>
      </c>
      <c r="S47" s="2005" t="str">
        <f>$K47</f>
        <v>...1.1.1</v>
      </c>
      <c r="T47" s="1949"/>
      <c r="U47" s="812"/>
      <c r="V47" s="1263"/>
      <c r="W47" s="1263"/>
      <c r="X47" s="1263"/>
      <c r="Y47" s="1263"/>
      <c r="Z47" s="1263"/>
      <c r="AA47" s="1263"/>
      <c r="AB47" s="1263"/>
      <c r="AC47" s="2779"/>
      <c r="AD47" s="2780" t="s">
        <v>63</v>
      </c>
      <c r="AE47" s="2779"/>
      <c r="AF47" s="2780" t="s">
        <v>63</v>
      </c>
      <c r="AG47" s="1263"/>
      <c r="AH47" s="1263"/>
      <c r="AI47" s="1263"/>
      <c r="AJ47" s="1263"/>
      <c r="AK47" s="1263"/>
      <c r="AL47" s="1263"/>
      <c r="AM47" s="1263"/>
      <c r="AN47" s="2777"/>
      <c r="AO47" s="2619" t="s">
        <v>63</v>
      </c>
      <c r="AP47" s="2799"/>
      <c r="AQ47" s="2619" t="s">
        <v>19</v>
      </c>
      <c r="AR47" s="1950"/>
      <c r="AS47" s="28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1023">
        <f>STRCHECKDATE(V48:AR48)</f>
      </c>
      <c r="AU47" s="1012"/>
      <c r="AV47" s="1012" t="str">
        <f>IF(T47="","",T47)</f>
        <v/>
      </c>
      <c r="AW47" s="1012"/>
      <c r="AX47" s="1012"/>
      <c r="AY47" s="1667">
        <v>23</v>
      </c>
    </row>
    <row customHeight="1" ht="0">
      <c r="A48" s="1875" t="s">
        <v>300</v>
      </c>
      <c r="B48" s="1875" t="s">
        <v>301</v>
      </c>
      <c r="C48" s="1875" t="s">
        <v>302</v>
      </c>
      <c r="D48" s="1875" t="s">
        <v>659</v>
      </c>
      <c r="E48" s="2771"/>
      <c r="F48" s="2771"/>
      <c r="G48" s="2771"/>
      <c r="H48" s="2771"/>
      <c r="I48" s="2798"/>
      <c r="J48" s="2798"/>
      <c r="K48" s="2768"/>
      <c r="L48" s="1876"/>
      <c r="P48" s="2769"/>
      <c r="Q48" s="2769"/>
      <c r="R48" s="869"/>
      <c r="S48" s="2002"/>
      <c r="T48" s="812"/>
      <c r="U48" s="812"/>
      <c r="V48" s="1872"/>
      <c r="W48" s="1872"/>
      <c r="X48" s="1872"/>
      <c r="Y48" s="1872"/>
      <c r="Z48" s="1872"/>
      <c r="AA48" s="1872"/>
      <c r="AB48" s="1872"/>
      <c r="AC48" s="2780"/>
      <c r="AD48" s="2780"/>
      <c r="AE48" s="2780"/>
      <c r="AF48" s="2780"/>
      <c r="AG48" s="837"/>
      <c r="AH48" s="837"/>
      <c r="AI48" s="837"/>
      <c r="AJ48" s="837"/>
      <c r="AK48" s="837"/>
      <c r="AL48" s="837"/>
      <c r="AM48" s="837"/>
      <c r="AN48" s="2778"/>
      <c r="AO48" s="2619"/>
      <c r="AP48" s="2800"/>
      <c r="AQ48" s="2619"/>
      <c r="AR48" s="1951"/>
      <c r="AS48" s="2861"/>
      <c r="AU48" s="1012"/>
      <c r="AV48" s="1012" t="str">
        <f>IF(T48="","",T48)</f>
        <v/>
      </c>
      <c r="AW48" s="1012"/>
      <c r="AX48" s="1012"/>
      <c r="AY48" s="1667">
        <v>0</v>
      </c>
    </row>
    <row customHeight="1" ht="21">
      <c r="A49" s="1875" t="s">
        <v>300</v>
      </c>
      <c r="B49" s="1875" t="s">
        <v>301</v>
      </c>
      <c r="C49" s="1875" t="s">
        <v>302</v>
      </c>
      <c r="D49" s="1875" t="s">
        <v>659</v>
      </c>
      <c r="E49" s="2771"/>
      <c r="F49" s="2771"/>
      <c r="G49" s="2771"/>
      <c r="H49" s="2771"/>
      <c r="I49" s="2798"/>
      <c r="J49" s="2768"/>
      <c r="K49" s="1875"/>
      <c r="L49" s="1876"/>
      <c r="P49" s="2769"/>
      <c r="Q49" s="2769"/>
      <c r="R49" s="868"/>
      <c r="S49" s="1790"/>
      <c r="T49" s="799" t="s">
        <v>601</v>
      </c>
      <c r="U49" s="879"/>
      <c r="V49" s="879"/>
      <c r="W49" s="1112"/>
      <c r="X49" s="1112"/>
      <c r="Y49" s="1112"/>
      <c r="Z49" s="1112"/>
      <c r="AA49" s="1112"/>
      <c r="AB49" s="1112"/>
      <c r="AC49" s="879"/>
      <c r="AD49" s="879"/>
      <c r="AE49" s="879"/>
      <c r="AF49" s="879"/>
      <c r="AG49" s="879"/>
      <c r="AH49" s="1112"/>
      <c r="AI49" s="1112"/>
      <c r="AJ49" s="1112"/>
      <c r="AK49" s="1112"/>
      <c r="AL49" s="1112"/>
      <c r="AM49" s="879"/>
      <c r="AN49" s="879"/>
      <c r="AO49" s="879"/>
      <c r="AP49" s="879"/>
      <c r="AQ49" s="879"/>
      <c r="AR49" s="879"/>
      <c r="AS49" s="1770" t="s">
        <v>602</v>
      </c>
      <c r="AU49" s="1012"/>
      <c r="AV49" s="1012" t="str">
        <f>IF(T49="","",T49)</f>
        <v>Добавить значение признака дифференциации</v>
      </c>
      <c r="AW49" s="1012"/>
      <c r="AX49" s="1012"/>
      <c r="AY49" s="1667">
        <v>20</v>
      </c>
    </row>
    <row customHeight="1" ht="22.049999999999997">
      <c r="A50" s="1875" t="s">
        <v>300</v>
      </c>
      <c r="B50" s="1875" t="s">
        <v>301</v>
      </c>
      <c r="C50" s="1875" t="s">
        <v>302</v>
      </c>
      <c r="D50" s="1875" t="s">
        <v>659</v>
      </c>
      <c r="E50" s="2771"/>
      <c r="F50" s="2771"/>
      <c r="G50" s="2771"/>
      <c r="H50" s="2771"/>
      <c r="I50" s="2768"/>
      <c r="J50" s="1875"/>
      <c r="K50" s="1875"/>
      <c r="L50" s="1876"/>
      <c r="P50" s="2769"/>
      <c r="Q50" s="1993"/>
      <c r="R50" s="868"/>
      <c r="S50" s="1790"/>
      <c r="T50" s="877" t="s">
        <v>530</v>
      </c>
      <c r="U50" s="879"/>
      <c r="V50" s="879"/>
      <c r="W50" s="1112"/>
      <c r="X50" s="1112"/>
      <c r="Y50" s="1112"/>
      <c r="Z50" s="1112"/>
      <c r="AA50" s="1112"/>
      <c r="AB50" s="1112"/>
      <c r="AC50" s="879"/>
      <c r="AD50" s="879"/>
      <c r="AE50" s="879"/>
      <c r="AF50" s="878"/>
      <c r="AG50" s="879"/>
      <c r="AH50" s="1112"/>
      <c r="AI50" s="1112"/>
      <c r="AJ50" s="1112"/>
      <c r="AK50" s="1112"/>
      <c r="AL50" s="1112"/>
      <c r="AM50" s="879"/>
      <c r="AN50" s="879"/>
      <c r="AO50" s="879"/>
      <c r="AP50" s="879"/>
      <c r="AQ50" s="878"/>
      <c r="AR50" s="879"/>
      <c r="AS50" s="1952"/>
      <c r="AU50" s="1012"/>
      <c r="AV50" s="1012" t="str">
        <f>IF(T50="","",T50)</f>
        <v>Добавить группу потребителей</v>
      </c>
      <c r="AW50" s="1012"/>
      <c r="AX50" s="1012"/>
      <c r="AY50" s="1667">
        <v>21</v>
      </c>
    </row>
    <row customHeight="1" ht="22.049999999999997">
      <c r="A51" s="1875" t="s">
        <v>300</v>
      </c>
      <c r="B51" s="1875" t="s">
        <v>301</v>
      </c>
      <c r="C51" s="1875" t="s">
        <v>302</v>
      </c>
      <c r="D51" s="1875" t="s">
        <v>659</v>
      </c>
      <c r="E51" s="2771"/>
      <c r="F51" s="2771"/>
      <c r="G51" s="2771"/>
      <c r="H51" s="2770"/>
      <c r="I51" s="1875"/>
      <c r="J51" s="1875"/>
      <c r="K51" s="1875"/>
      <c r="L51" s="1876"/>
      <c r="M51" s="1877"/>
      <c r="N51" s="1877"/>
      <c r="O51" s="1049"/>
      <c r="P51" s="872"/>
      <c r="Q51" s="887"/>
      <c r="R51" s="867"/>
      <c r="S51" s="1790"/>
      <c r="T51" s="884" t="s">
        <v>603</v>
      </c>
      <c r="U51" s="879"/>
      <c r="V51" s="879"/>
      <c r="W51" s="1112"/>
      <c r="X51" s="1112"/>
      <c r="Y51" s="1112"/>
      <c r="Z51" s="1112"/>
      <c r="AA51" s="1112"/>
      <c r="AB51" s="1112"/>
      <c r="AC51" s="879"/>
      <c r="AD51" s="879"/>
      <c r="AE51" s="879"/>
      <c r="AF51" s="878"/>
      <c r="AG51" s="879"/>
      <c r="AH51" s="1112"/>
      <c r="AI51" s="1112"/>
      <c r="AJ51" s="1112"/>
      <c r="AK51" s="1112"/>
      <c r="AL51" s="1112"/>
      <c r="AM51" s="879"/>
      <c r="AN51" s="879"/>
      <c r="AO51" s="879"/>
      <c r="AP51" s="879"/>
      <c r="AQ51" s="878"/>
      <c r="AR51" s="879"/>
      <c r="AS51" s="815"/>
      <c r="AU51" s="1012"/>
      <c r="AV51" s="1012" t="str">
        <f>IF(T51="","",T51)</f>
        <v>Добавить наименование признака дифференциации</v>
      </c>
      <c r="AW51" s="1012"/>
      <c r="AX51" s="1012"/>
      <c r="AY51" s="1667">
        <v>21</v>
      </c>
    </row>
    <row s="46890" customFormat="1" customHeight="1" ht="0">
      <c r="A52" s="1855" t="s">
        <v>300</v>
      </c>
      <c r="B52" s="1855" t="s">
        <v>301</v>
      </c>
      <c r="C52" s="1826"/>
      <c r="D52" s="1826"/>
      <c r="E52" s="2771"/>
      <c r="F52" s="2770"/>
      <c r="G52" s="1826"/>
      <c r="H52" s="1826"/>
      <c r="I52" s="1826"/>
      <c r="J52" s="1826"/>
      <c r="K52" s="1826"/>
      <c r="L52" s="2006"/>
      <c r="M52" s="1833"/>
      <c r="N52" s="1833"/>
      <c r="P52" s="1828"/>
      <c r="Q52" s="1829"/>
      <c r="R52" s="1828"/>
      <c r="S52" s="1834"/>
      <c r="T52" s="1837" t="s">
        <v>321</v>
      </c>
      <c r="U52" s="1836"/>
      <c r="V52" s="1836"/>
      <c r="W52" s="1836"/>
      <c r="X52" s="1836"/>
      <c r="Y52" s="1836"/>
      <c r="Z52" s="1836"/>
      <c r="AA52" s="1836"/>
      <c r="AB52" s="1836"/>
      <c r="AC52" s="1836"/>
      <c r="AD52" s="1836"/>
      <c r="AE52" s="1836"/>
      <c r="AF52" s="1836"/>
      <c r="AG52" s="1836"/>
      <c r="AH52" s="1836"/>
      <c r="AI52" s="1836"/>
      <c r="AJ52" s="1836"/>
      <c r="AK52" s="1836"/>
      <c r="AL52" s="1836"/>
      <c r="AM52" s="1836"/>
      <c r="AN52" s="1836"/>
      <c r="AO52" s="1836"/>
      <c r="AP52" s="1836"/>
      <c r="AQ52" s="1836"/>
      <c r="AR52" s="1836"/>
      <c r="AS52" s="1836"/>
      <c r="AU52" s="1301"/>
      <c r="AV52" s="1301" t="str">
        <f>IF(T52="","",T52)</f>
        <v>Добавить централизованную систему для дифференциации</v>
      </c>
      <c r="AW52" s="1301"/>
      <c r="AX52" s="1301"/>
      <c r="AY52" s="1030">
        <v>0</v>
      </c>
    </row>
    <row s="46890" customFormat="1" customHeight="1" ht="0">
      <c r="A53" s="1855" t="s">
        <v>300</v>
      </c>
      <c r="B53" s="1855"/>
      <c r="C53" s="1855"/>
      <c r="D53" s="1855"/>
      <c r="E53" s="2770"/>
      <c r="F53" s="1855"/>
      <c r="G53" s="1855"/>
      <c r="H53" s="1855"/>
      <c r="I53" s="1855"/>
      <c r="J53" s="1855"/>
      <c r="K53" s="1855"/>
      <c r="L53" s="1858"/>
      <c r="M53" s="1833"/>
      <c r="N53" s="1833"/>
      <c r="O53" s="1030"/>
      <c r="P53" s="892"/>
      <c r="Q53" s="1856"/>
      <c r="R53" s="892"/>
      <c r="S53" s="1834"/>
      <c r="T53" s="1837" t="s">
        <v>385</v>
      </c>
      <c r="U53" s="1836"/>
      <c r="V53" s="1836"/>
      <c r="W53" s="1836"/>
      <c r="X53" s="1836"/>
      <c r="Y53" s="1836"/>
      <c r="Z53" s="1836"/>
      <c r="AA53" s="1836"/>
      <c r="AB53" s="1836"/>
      <c r="AC53" s="1836"/>
      <c r="AD53" s="1836"/>
      <c r="AE53" s="1836"/>
      <c r="AF53" s="1836"/>
      <c r="AG53" s="1836"/>
      <c r="AH53" s="1836"/>
      <c r="AI53" s="1836"/>
      <c r="AJ53" s="1836"/>
      <c r="AK53" s="1836"/>
      <c r="AL53" s="1836"/>
      <c r="AM53" s="1836"/>
      <c r="AN53" s="1836"/>
      <c r="AO53" s="1836"/>
      <c r="AP53" s="1836"/>
      <c r="AQ53" s="1836"/>
      <c r="AR53" s="1836"/>
      <c r="AS53" s="1836"/>
      <c r="AU53" s="1012"/>
      <c r="AV53" s="1012" t="str">
        <f>IF(T53="","",T53)</f>
        <v>Добавить территорию для дифференциации</v>
      </c>
      <c r="AW53" s="1012"/>
      <c r="AX53" s="1012"/>
      <c r="AY53" s="1023">
        <v>0</v>
      </c>
    </row>
    <row s="46890" customFormat="1" customHeight="1" ht="0">
      <c r="A54" s="1826"/>
      <c r="B54" s="1826"/>
      <c r="C54" s="1826"/>
      <c r="D54" s="1826"/>
      <c r="E54" s="1855"/>
      <c r="F54" s="1826"/>
      <c r="G54" s="1826"/>
      <c r="H54" s="1826"/>
      <c r="I54" s="1826"/>
      <c r="J54" s="1826"/>
      <c r="K54" s="1826"/>
      <c r="L54" s="2006"/>
      <c r="M54" s="1833"/>
      <c r="N54" s="1833"/>
      <c r="P54" s="1828"/>
      <c r="Q54" s="1829"/>
      <c r="R54" s="1828"/>
      <c r="S54" s="1834"/>
      <c r="T54" s="1837" t="s">
        <v>386</v>
      </c>
      <c r="U54" s="1836"/>
      <c r="V54" s="1836"/>
      <c r="W54" s="1836"/>
      <c r="X54" s="1836"/>
      <c r="Y54" s="1836"/>
      <c r="Z54" s="1836"/>
      <c r="AA54" s="1836"/>
      <c r="AB54" s="1836"/>
      <c r="AC54" s="1836"/>
      <c r="AD54" s="1836"/>
      <c r="AE54" s="1836"/>
      <c r="AF54" s="1836"/>
      <c r="AG54" s="1836"/>
      <c r="AH54" s="1836"/>
      <c r="AI54" s="1836"/>
      <c r="AJ54" s="1836"/>
      <c r="AK54" s="1836"/>
      <c r="AL54" s="1836"/>
      <c r="AM54" s="1836"/>
      <c r="AN54" s="1836"/>
      <c r="AO54" s="1836"/>
      <c r="AP54" s="1836"/>
      <c r="AQ54" s="1836"/>
      <c r="AR54" s="1836"/>
      <c r="AS54" s="1836"/>
      <c r="AU54" s="1301"/>
      <c r="AV54" s="1301" t="str">
        <f>IF(T54="","",T54)</f>
        <v>Добавить наименование тарифа</v>
      </c>
      <c r="AW54" s="1301"/>
      <c r="AX54" s="1301"/>
      <c r="AY54" s="1030">
        <v>0</v>
      </c>
    </row>
    <row customHeight="1" ht="11.549999999999999">
      <c r="M55" s="1672"/>
      <c r="N55" s="1672"/>
      <c r="O55" s="1049"/>
      <c r="P55" s="1667"/>
      <c r="Q55" s="1667"/>
      <c r="R55" s="1667"/>
      <c r="S55" s="1667"/>
      <c r="AT55" s="1667"/>
      <c r="AU55" s="1667"/>
      <c r="AV55" s="1667"/>
      <c r="AW55" s="1667"/>
      <c r="AX55" s="1667"/>
      <c r="AY55" s="1667">
        <v>11</v>
      </c>
    </row>
    <row customHeight="1" ht="14.699999999999998">
      <c r="O56" s="1049"/>
      <c r="S56" s="1765"/>
      <c r="T56" s="2797"/>
      <c r="U56" s="2797"/>
      <c r="V56" s="2797"/>
      <c r="W56" s="2797"/>
      <c r="X56" s="2797"/>
      <c r="Y56" s="2797"/>
      <c r="Z56" s="2797"/>
      <c r="AA56" s="2797"/>
      <c r="AB56" s="2797"/>
      <c r="AC56" s="2797"/>
      <c r="AD56" s="2797"/>
      <c r="AE56" s="2797"/>
      <c r="AF56" s="2797"/>
      <c r="AG56" s="2797"/>
      <c r="AH56" s="2797"/>
      <c r="AI56" s="2797"/>
      <c r="AJ56" s="2797"/>
      <c r="AK56" s="2797"/>
      <c r="AL56" s="2797"/>
      <c r="AM56" s="2797"/>
      <c r="AN56" s="2797"/>
      <c r="AO56" s="2797"/>
      <c r="AP56" s="2797"/>
      <c r="AQ56" s="2797"/>
      <c r="AR56" s="2797"/>
      <c r="AS56" s="2797"/>
      <c r="AY56" s="1667">
        <v>14</v>
      </c>
    </row>
    <row customHeight="1" ht="14.699999999999998">
      <c r="O57" s="1049"/>
      <c r="AY57" s="1667">
        <v>14</v>
      </c>
    </row>
    <row customHeight="1" ht="14.699999999999998">
      <c r="O58" s="1049"/>
      <c r="S58" s="1765"/>
      <c r="T58" s="2797"/>
      <c r="U58" s="2797"/>
      <c r="V58" s="2797"/>
      <c r="W58" s="2797"/>
      <c r="X58" s="2797"/>
      <c r="Y58" s="2797"/>
      <c r="Z58" s="2797"/>
      <c r="AA58" s="2797"/>
      <c r="AB58" s="2797"/>
      <c r="AC58" s="2797"/>
      <c r="AD58" s="2797"/>
      <c r="AE58" s="2797"/>
      <c r="AF58" s="2797"/>
      <c r="AG58" s="2797"/>
      <c r="AH58" s="2797"/>
      <c r="AI58" s="2797"/>
      <c r="AJ58" s="2797"/>
      <c r="AK58" s="2797"/>
      <c r="AL58" s="2797"/>
      <c r="AM58" s="2797"/>
      <c r="AN58" s="2797"/>
      <c r="AO58" s="2797"/>
      <c r="AP58" s="2797"/>
      <c r="AQ58" s="2797"/>
      <c r="AR58" s="2797"/>
      <c r="AS58" s="2797"/>
      <c r="AY58" s="1667">
        <v>14</v>
      </c>
    </row>
    <row customHeight="1" ht="22.5" hidden="1">
      <c r="A59" s="1672" t="s">
        <v>84</v>
      </c>
      <c r="B59" s="1672">
        <v>0</v>
      </c>
      <c r="C59" s="1672">
        <v>0</v>
      </c>
      <c r="D59" s="1672">
        <v>0</v>
      </c>
      <c r="E59" s="1672">
        <v>0</v>
      </c>
      <c r="F59" s="1672">
        <v>0</v>
      </c>
      <c r="G59" s="1672">
        <v>0</v>
      </c>
      <c r="H59" s="1672">
        <v>0</v>
      </c>
      <c r="I59" s="1672">
        <v>0</v>
      </c>
      <c r="J59" s="1672">
        <v>0</v>
      </c>
      <c r="K59" s="1672">
        <v>0</v>
      </c>
      <c r="L59" s="1990">
        <v>0</v>
      </c>
      <c r="M59" s="1874">
        <v>0</v>
      </c>
      <c r="N59" s="1874">
        <v>0</v>
      </c>
      <c r="O59" s="1874">
        <v>0</v>
      </c>
      <c r="P59" s="1985">
        <v>3</v>
      </c>
      <c r="Q59" s="856">
        <v>3</v>
      </c>
      <c r="R59" s="856">
        <v>3</v>
      </c>
      <c r="S59" s="1093">
        <v>12</v>
      </c>
      <c r="T59" s="1667">
        <v>35</v>
      </c>
      <c r="U59" s="1667">
        <v>0</v>
      </c>
      <c r="V59" s="1667">
        <v>0</v>
      </c>
      <c r="W59" s="2143">
        <v>0</v>
      </c>
      <c r="X59" s="2143">
        <v>0</v>
      </c>
      <c r="Y59" s="2143">
        <v>0</v>
      </c>
      <c r="Z59" s="2143">
        <v>0</v>
      </c>
      <c r="AA59" s="2143">
        <v>0</v>
      </c>
      <c r="AB59" s="2143">
        <v>0</v>
      </c>
      <c r="AC59" s="1667">
        <v>0</v>
      </c>
      <c r="AD59" s="1667">
        <v>0</v>
      </c>
      <c r="AE59" s="1667">
        <v>0</v>
      </c>
      <c r="AF59" s="1667">
        <v>0</v>
      </c>
      <c r="AG59" s="1667">
        <v>19</v>
      </c>
      <c r="AH59" s="2143">
        <v>19</v>
      </c>
      <c r="AI59" s="2143">
        <v>19</v>
      </c>
      <c r="AJ59" s="2143">
        <v>19</v>
      </c>
      <c r="AK59" s="2143">
        <v>19</v>
      </c>
      <c r="AL59" s="2143">
        <v>19</v>
      </c>
      <c r="AM59" s="1667">
        <v>19</v>
      </c>
      <c r="AN59" s="1667">
        <v>11</v>
      </c>
      <c r="AO59" s="1667">
        <v>3</v>
      </c>
      <c r="AP59" s="1667">
        <v>11</v>
      </c>
      <c r="AQ59" s="1667">
        <v>0</v>
      </c>
      <c r="AR59" s="1667">
        <v>4</v>
      </c>
      <c r="AS59" s="1667">
        <v>115</v>
      </c>
      <c r="AT59" s="1023">
        <v>10</v>
      </c>
      <c r="AU59" s="1023">
        <v>10</v>
      </c>
      <c r="AV59" s="1023">
        <v>10</v>
      </c>
      <c r="AW59" s="1023">
        <v>10</v>
      </c>
      <c r="AX59" s="1023">
        <v>10</v>
      </c>
      <c r="AY59" s="1667">
        <v>23</v>
      </c>
    </row>
  </sheetData>
  <sheetProtection formatColumns="0" formatRows="0" autoFilter="0" sort="0" insertRows="0" insertColumns="1" deleteRows="0" deleteColumns="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5A513E6-1566-FC95-8978-A92DA24F665B}" mc:Ignorable="x14ac xr xr2 xr3">
  <sheetPr>
    <tabColor theme="6" tint="0.4"/>
  </sheetPr>
  <dimension ref="A1:AY59"/>
  <sheetViews>
    <sheetView topLeftCell="A1" showGridLines="0" zoomScale="90" workbookViewId="0">
      <selection activeCell="A1" sqref="A1"/>
    </sheetView>
  </sheetViews>
  <sheetFormatPr defaultColWidth="10.57421875" customHeight="1" defaultRowHeight="14.25"/>
  <cols>
    <col min="1" max="1" style="46889" width="10.57421875" hidden="1"/>
    <col min="2" max="2" style="46889" width="11.00390625" hidden="1" customWidth="1"/>
    <col min="3" max="3" style="46889" width="10.57421875" hidden="1"/>
    <col min="4" max="4" style="46889" width="11.8515625" hidden="1" customWidth="1"/>
    <col min="5" max="5" style="46889" width="10.00390625" hidden="1" customWidth="1"/>
    <col min="6" max="6" style="46889" width="8.7109375" hidden="1" customWidth="1"/>
    <col min="7" max="7" style="46889" width="7.57421875" hidden="1" customWidth="1"/>
    <col min="8" max="8" style="46889" width="11.421875" hidden="1" customWidth="1"/>
    <col min="9" max="9" style="46889" width="14.140625" hidden="1" customWidth="1"/>
    <col min="10" max="10" style="46889" width="9.8515625" hidden="1" customWidth="1"/>
    <col min="11" max="11" style="46889" width="14.7109375" hidden="1" customWidth="1"/>
    <col min="12" max="12" style="47738" width="19.140625" hidden="1" customWidth="1"/>
    <col min="13" max="14" style="47739" width="12.28125" hidden="1" customWidth="1"/>
    <col min="15" max="15" style="47739" width="23.421875" hidden="1" customWidth="1"/>
    <col min="16" max="16" style="47740" width="3.00390625" customWidth="1"/>
    <col min="17" max="18" style="47741" width="3.00390625" customWidth="1"/>
    <col min="19" max="19" style="47742" width="12.00390625" customWidth="1"/>
    <col min="20" max="20" style="46808" width="35.00390625" customWidth="1"/>
    <col min="21" max="21" style="46808" width="0.140625" customWidth="1"/>
    <col min="22" max="28" style="46808" width="19.7109375" hidden="1" customWidth="1"/>
    <col min="29" max="29" style="46808" width="11.7109375" hidden="1" customWidth="1"/>
    <col min="30" max="30" style="46808" width="3.7109375" hidden="1" customWidth="1"/>
    <col min="31" max="31" style="46808" width="11.7109375" hidden="1" customWidth="1"/>
    <col min="32" max="32" style="46808" width="8.57421875" hidden="1" customWidth="1"/>
    <col min="33" max="33" style="46808" width="19.7109375" customWidth="1"/>
    <col min="34" max="39" style="46808" width="19.00390625" customWidth="1"/>
    <col min="40" max="40" style="46808" width="11.00390625" customWidth="1"/>
    <col min="41" max="41" style="46808" width="3.7109375" customWidth="1"/>
    <col min="42" max="42" style="46808" width="11.00390625" customWidth="1"/>
    <col min="43" max="43" style="46808" width="8.57421875" hidden="1" customWidth="1"/>
    <col min="44" max="44" style="46808" width="4.00390625" customWidth="1"/>
    <col min="45" max="45" style="46808" width="115.00390625" customWidth="1"/>
    <col min="46" max="50" style="46890" width="10.00390625" customWidth="1"/>
    <col min="51" max="51" style="46808" width="10.57421875" hidden="1"/>
  </cols>
  <sheetData>
    <row customHeight="1" ht="22.5" hidden="1">
      <c r="AB1" s="839"/>
      <c r="AC1" s="839"/>
      <c r="AM1" s="839"/>
      <c r="AN1" s="839"/>
      <c r="AY1" s="1667" t="s">
        <v>14</v>
      </c>
    </row>
    <row customHeight="1" ht="23.25" hidden="1">
      <c r="A2" s="1875"/>
      <c r="B2" s="1875"/>
      <c r="C2" s="1875"/>
      <c r="D2" s="1875"/>
      <c r="E2" s="2770">
        <v>1</v>
      </c>
      <c r="F2" s="1875"/>
      <c r="G2" s="1875"/>
      <c r="H2" s="1875"/>
      <c r="I2" s="1875"/>
      <c r="J2" s="1875"/>
      <c r="K2" s="1875"/>
      <c r="L2" s="1876"/>
      <c r="M2" s="1877"/>
      <c r="N2" s="1877"/>
      <c r="O2" s="1877"/>
      <c r="P2" s="873"/>
      <c r="Q2" s="872"/>
      <c r="R2" s="867"/>
      <c r="S2" s="2005">
        <f>INDEX(PT_DIFFERENTIATION_NUM_NTAR,MATCH(A2,PT_DIFFERENTIATION_NTAR_ID,0))</f>
      </c>
      <c r="T2" s="810" t="s">
        <v>179</v>
      </c>
      <c r="U2" s="812"/>
      <c r="V2" s="2754"/>
      <c r="W2" s="2755"/>
      <c r="X2" s="2755"/>
      <c r="Y2" s="2755"/>
      <c r="Z2" s="2755"/>
      <c r="AA2" s="2755"/>
      <c r="AB2" s="2755"/>
      <c r="AC2" s="2755"/>
      <c r="AD2" s="2755"/>
      <c r="AE2" s="2755"/>
      <c r="AF2" s="2756"/>
      <c r="AG2" s="2754">
        <f>INDEX(PT_DIFFERENTIATION_NTAR,MATCH(A2,PT_DIFFERENTIATION_NTAR_ID,0))</f>
      </c>
      <c r="AH2" s="2755"/>
      <c r="AI2" s="2755"/>
      <c r="AJ2" s="2755"/>
      <c r="AK2" s="2755"/>
      <c r="AL2" s="2755"/>
      <c r="AM2" s="2755"/>
      <c r="AN2" s="2755"/>
      <c r="AO2" s="2755"/>
      <c r="AP2" s="2755"/>
      <c r="AQ2" s="2755"/>
      <c r="AR2" s="2756"/>
      <c r="AS2"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1012"/>
      <c r="AV2" s="1012" t="str">
        <f>IF(T2="","",T2)</f>
        <v>Наименование тарифа</v>
      </c>
      <c r="AW2" s="1012"/>
      <c r="AX2" s="1012"/>
      <c r="AY2" s="1667">
        <v>0</v>
      </c>
    </row>
    <row customHeight="1" ht="23.25" hidden="1">
      <c r="A3" s="1875"/>
      <c r="B3" s="1875"/>
      <c r="C3" s="1875"/>
      <c r="D3" s="1875"/>
      <c r="E3" s="2771"/>
      <c r="F3" s="2770">
        <v>1</v>
      </c>
      <c r="G3" s="1875"/>
      <c r="H3" s="1875"/>
      <c r="I3" s="1875"/>
      <c r="J3" s="1875"/>
      <c r="K3" s="1875"/>
      <c r="L3" s="1876"/>
      <c r="M3" s="1877"/>
      <c r="N3" s="1877"/>
      <c r="O3" s="1877"/>
      <c r="P3" s="1999"/>
      <c r="Q3" s="864"/>
      <c r="R3" s="865"/>
      <c r="S3" s="2005">
        <f>INDEX(PT_DIFFERENTIATION_NUM_TER,MATCH(B3,PT_DIFFERENTIATION_TER_ID,0))</f>
      </c>
      <c r="T3" s="820" t="s">
        <v>515</v>
      </c>
      <c r="U3" s="812"/>
      <c r="V3" s="2754"/>
      <c r="W3" s="2755"/>
      <c r="X3" s="2755"/>
      <c r="Y3" s="2755"/>
      <c r="Z3" s="2755"/>
      <c r="AA3" s="2755"/>
      <c r="AB3" s="2755"/>
      <c r="AC3" s="2755"/>
      <c r="AD3" s="2755"/>
      <c r="AE3" s="2755"/>
      <c r="AF3" s="2756"/>
      <c r="AG3" s="2754">
        <f>INDEX(PT_DIFFERENTIATION_TER,MATCH(B3,PT_DIFFERENTIATION_TER_ID,0))</f>
      </c>
      <c r="AH3" s="2755"/>
      <c r="AI3" s="2755"/>
      <c r="AJ3" s="2755"/>
      <c r="AK3" s="2755"/>
      <c r="AL3" s="2755"/>
      <c r="AM3" s="2755"/>
      <c r="AN3" s="2755"/>
      <c r="AO3" s="2755"/>
      <c r="AP3" s="2755"/>
      <c r="AQ3" s="2755"/>
      <c r="AR3" s="2756"/>
      <c r="AS3" s="1770" t="s">
        <v>516</v>
      </c>
      <c r="AU3" s="1012"/>
      <c r="AV3" s="1012" t="str">
        <f>IF(T3="","",T3)</f>
        <v>Территория действия тарифа</v>
      </c>
      <c r="AW3" s="1012"/>
      <c r="AX3" s="1012"/>
      <c r="AY3" s="1667">
        <v>0</v>
      </c>
    </row>
    <row customHeight="1" ht="23.25" hidden="1">
      <c r="A4" s="1875"/>
      <c r="B4" s="1875"/>
      <c r="C4" s="1875"/>
      <c r="D4" s="1875"/>
      <c r="E4" s="2771"/>
      <c r="F4" s="2771"/>
      <c r="G4" s="2770">
        <v>1</v>
      </c>
      <c r="H4" s="1875"/>
      <c r="I4" s="1875"/>
      <c r="J4" s="1875"/>
      <c r="K4" s="1875"/>
      <c r="L4" s="1876"/>
      <c r="M4" s="1877"/>
      <c r="N4" s="1877"/>
      <c r="O4" s="1877"/>
      <c r="P4" s="866"/>
      <c r="Q4" s="864"/>
      <c r="R4" s="865"/>
      <c r="S4" s="2005">
        <f>INDEX(PT_DIFFERENTIATION_NUM_CS,MATCH(C4,PT_DIFFERENTIATION_CS_ID,0))</f>
      </c>
      <c r="T4" s="821" t="s">
        <v>647</v>
      </c>
      <c r="U4" s="812"/>
      <c r="V4" s="2754"/>
      <c r="W4" s="2755"/>
      <c r="X4" s="2755"/>
      <c r="Y4" s="2755"/>
      <c r="Z4" s="2755"/>
      <c r="AA4" s="2755"/>
      <c r="AB4" s="2755"/>
      <c r="AC4" s="2755"/>
      <c r="AD4" s="2755"/>
      <c r="AE4" s="2755"/>
      <c r="AF4" s="2756"/>
      <c r="AG4" s="2754">
        <f>INDEX(PT_DIFFERENTIATION_CS,MATCH(C4,PT_DIFFERENTIATION_CS_ID,0))</f>
      </c>
      <c r="AH4" s="2755"/>
      <c r="AI4" s="2755"/>
      <c r="AJ4" s="2755"/>
      <c r="AK4" s="2755"/>
      <c r="AL4" s="2755"/>
      <c r="AM4" s="2755"/>
      <c r="AN4" s="2755"/>
      <c r="AO4" s="2755"/>
      <c r="AP4" s="2755"/>
      <c r="AQ4" s="2755"/>
      <c r="AR4" s="2756"/>
      <c r="AS4" s="1770" t="s">
        <v>648</v>
      </c>
      <c r="AU4" s="1012"/>
      <c r="AV4" s="1012" t="str">
        <f>IF(T4="","",T4)</f>
        <v>Наименование централизованной системы горячего водоснабжения</v>
      </c>
      <c r="AW4" s="1012"/>
      <c r="AX4" s="1012"/>
      <c r="AY4" s="1667">
        <v>0</v>
      </c>
    </row>
    <row customHeight="1" ht="23.25" hidden="1">
      <c r="A5" s="1875"/>
      <c r="B5" s="1875"/>
      <c r="C5" s="1875"/>
      <c r="D5" s="1875"/>
      <c r="E5" s="2771"/>
      <c r="F5" s="2771"/>
      <c r="G5" s="2771"/>
      <c r="H5" s="2771"/>
      <c r="I5" s="2768">
        <f>S4&amp;".1"</f>
      </c>
      <c r="J5" s="1875"/>
      <c r="K5" s="1875"/>
      <c r="L5" s="1876"/>
      <c r="P5" s="2769">
        <v>1</v>
      </c>
      <c r="Q5" s="1993"/>
      <c r="R5" s="868"/>
      <c r="S5" s="2005">
        <f>$I5</f>
      </c>
      <c r="T5" s="797" t="s">
        <v>598</v>
      </c>
      <c r="U5" s="812"/>
      <c r="V5" s="2862"/>
      <c r="W5" s="2863"/>
      <c r="X5" s="2863"/>
      <c r="Y5" s="2863"/>
      <c r="Z5" s="2863"/>
      <c r="AA5" s="2863"/>
      <c r="AB5" s="2863"/>
      <c r="AC5" s="2863"/>
      <c r="AD5" s="2863"/>
      <c r="AE5" s="2863"/>
      <c r="AF5" s="2864"/>
      <c r="AG5" s="2865"/>
      <c r="AH5" s="2866"/>
      <c r="AI5" s="2866"/>
      <c r="AJ5" s="2866"/>
      <c r="AK5" s="2866"/>
      <c r="AL5" s="2866"/>
      <c r="AM5" s="2866"/>
      <c r="AN5" s="2866"/>
      <c r="AO5" s="2866"/>
      <c r="AP5" s="2866"/>
      <c r="AQ5" s="2866"/>
      <c r="AR5" s="2867"/>
      <c r="AS5" s="1770" t="s">
        <v>599</v>
      </c>
      <c r="AU5" s="1012"/>
      <c r="AV5" s="1012" t="str">
        <f>IF(T5="","",T5)</f>
        <v>Наименование признака дифференциации</v>
      </c>
      <c r="AW5" s="1012"/>
      <c r="AX5" s="1012"/>
      <c r="AY5" s="1667">
        <v>0</v>
      </c>
    </row>
    <row customHeight="1" ht="23.25" hidden="1">
      <c r="A6" s="1875"/>
      <c r="B6" s="1875"/>
      <c r="C6" s="1875"/>
      <c r="D6" s="1875"/>
      <c r="E6" s="2771"/>
      <c r="F6" s="2771"/>
      <c r="G6" s="2771"/>
      <c r="H6" s="2771"/>
      <c r="I6" s="2798"/>
      <c r="J6" s="2768">
        <f>I5&amp;".1"</f>
      </c>
      <c r="K6" s="1875"/>
      <c r="L6" s="1876" t="s">
        <v>524</v>
      </c>
      <c r="P6" s="2769"/>
      <c r="Q6" s="2769">
        <v>1</v>
      </c>
      <c r="R6" s="869"/>
      <c r="S6" s="2005">
        <f>$J6</f>
      </c>
      <c r="T6" s="798" t="s">
        <v>525</v>
      </c>
      <c r="U6" s="812"/>
      <c r="V6" s="2757"/>
      <c r="W6" s="2758"/>
      <c r="X6" s="2758"/>
      <c r="Y6" s="2758"/>
      <c r="Z6" s="2758"/>
      <c r="AA6" s="2758"/>
      <c r="AB6" s="2758"/>
      <c r="AC6" s="2758"/>
      <c r="AD6" s="2758"/>
      <c r="AE6" s="2758"/>
      <c r="AF6" s="2759"/>
      <c r="AG6" s="2757"/>
      <c r="AH6" s="2758"/>
      <c r="AI6" s="2758"/>
      <c r="AJ6" s="2758"/>
      <c r="AK6" s="2758"/>
      <c r="AL6" s="2758"/>
      <c r="AM6" s="2758"/>
      <c r="AN6" s="2758"/>
      <c r="AO6" s="2758"/>
      <c r="AP6" s="2758"/>
      <c r="AQ6" s="2758"/>
      <c r="AR6" s="2759"/>
      <c r="AS6" s="1819" t="s">
        <v>600</v>
      </c>
      <c r="AU6" s="1012"/>
      <c r="AV6" s="1012" t="str">
        <f>IF(T6="","",T6)</f>
        <v>Группа потребителей</v>
      </c>
      <c r="AW6" s="1012"/>
      <c r="AX6" s="1012"/>
      <c r="AY6" s="1667">
        <v>0</v>
      </c>
    </row>
    <row customHeight="1" ht="23.25" hidden="1">
      <c r="A7" s="1875"/>
      <c r="B7" s="1875"/>
      <c r="C7" s="1875"/>
      <c r="D7" s="1875"/>
      <c r="E7" s="2771"/>
      <c r="F7" s="2771"/>
      <c r="G7" s="2771"/>
      <c r="H7" s="2771"/>
      <c r="I7" s="2798"/>
      <c r="J7" s="2798"/>
      <c r="K7" s="2768">
        <f>J6&amp;".1"</f>
      </c>
      <c r="L7" s="1876"/>
      <c r="P7" s="2769"/>
      <c r="Q7" s="2769"/>
      <c r="R7" s="869">
        <v>1</v>
      </c>
      <c r="S7" s="2005">
        <f>$K7</f>
      </c>
      <c r="T7" s="1949"/>
      <c r="U7" s="812"/>
      <c r="V7" s="1263"/>
      <c r="W7" s="1263"/>
      <c r="X7" s="1263"/>
      <c r="Y7" s="1263"/>
      <c r="Z7" s="1263"/>
      <c r="AA7" s="1263"/>
      <c r="AB7" s="1769"/>
      <c r="AC7" s="2777"/>
      <c r="AD7" s="2619" t="s">
        <v>63</v>
      </c>
      <c r="AE7" s="2777"/>
      <c r="AF7" s="2619" t="s">
        <v>63</v>
      </c>
      <c r="AG7" s="1263"/>
      <c r="AH7" s="1263"/>
      <c r="AI7" s="1263"/>
      <c r="AJ7" s="1263"/>
      <c r="AK7" s="1263"/>
      <c r="AL7" s="1263"/>
      <c r="AM7" s="1769"/>
      <c r="AN7" s="2777"/>
      <c r="AO7" s="2619" t="s">
        <v>63</v>
      </c>
      <c r="AP7" s="2799"/>
      <c r="AQ7" s="2619" t="s">
        <v>63</v>
      </c>
      <c r="AR7" s="1950"/>
      <c r="AS7" s="28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1023">
        <f>STRCHECKDATE(V8:AR8)</f>
      </c>
      <c r="AU7" s="1012"/>
      <c r="AV7" s="1012" t="str">
        <f>IF(T7="","",T7)</f>
        <v/>
      </c>
      <c r="AW7" s="1012"/>
      <c r="AX7" s="1012"/>
      <c r="AY7" s="1667">
        <v>0</v>
      </c>
    </row>
    <row customHeight="1" ht="14.25" hidden="1">
      <c r="A8" s="1875"/>
      <c r="B8" s="1875"/>
      <c r="C8" s="1875"/>
      <c r="D8" s="1875"/>
      <c r="E8" s="2771"/>
      <c r="F8" s="2771"/>
      <c r="G8" s="2771"/>
      <c r="H8" s="2771"/>
      <c r="I8" s="2798"/>
      <c r="J8" s="2798"/>
      <c r="K8" s="2768"/>
      <c r="L8" s="1876"/>
      <c r="P8" s="2769"/>
      <c r="Q8" s="2769"/>
      <c r="R8" s="869"/>
      <c r="S8" s="2002"/>
      <c r="T8" s="812"/>
      <c r="U8" s="812"/>
      <c r="V8" s="837"/>
      <c r="W8" s="837"/>
      <c r="X8" s="837"/>
      <c r="Y8" s="837"/>
      <c r="Z8" s="837"/>
      <c r="AA8" s="837"/>
      <c r="AB8" s="840" t="str">
        <f>AC7&amp;"-"&amp;AE7</f>
        <v>-</v>
      </c>
      <c r="AC8" s="2778"/>
      <c r="AD8" s="2619"/>
      <c r="AE8" s="2778"/>
      <c r="AF8" s="2619"/>
      <c r="AG8" s="837"/>
      <c r="AH8" s="837"/>
      <c r="AI8" s="837"/>
      <c r="AJ8" s="837"/>
      <c r="AK8" s="837"/>
      <c r="AL8" s="837"/>
      <c r="AM8" s="840" t="str">
        <f>AN7&amp;"-"&amp;AP7</f>
        <v>-</v>
      </c>
      <c r="AN8" s="2778"/>
      <c r="AO8" s="2619"/>
      <c r="AP8" s="2800"/>
      <c r="AQ8" s="2619"/>
      <c r="AR8" s="1951"/>
      <c r="AS8" s="2861"/>
      <c r="AU8" s="1012"/>
      <c r="AV8" s="1012" t="str">
        <f>IF(T8="","",T8)</f>
        <v/>
      </c>
      <c r="AW8" s="1012"/>
      <c r="AX8" s="1012"/>
      <c r="AY8" s="1667">
        <v>0</v>
      </c>
    </row>
    <row customHeight="1" ht="21" hidden="1">
      <c r="A9" s="1875"/>
      <c r="B9" s="1875"/>
      <c r="C9" s="1875"/>
      <c r="D9" s="1875"/>
      <c r="E9" s="2771"/>
      <c r="F9" s="2771"/>
      <c r="G9" s="2771"/>
      <c r="H9" s="2771"/>
      <c r="I9" s="2798"/>
      <c r="J9" s="2768"/>
      <c r="K9" s="1875"/>
      <c r="L9" s="1876"/>
      <c r="P9" s="2769"/>
      <c r="Q9" s="2769"/>
      <c r="R9" s="868"/>
      <c r="S9" s="1790"/>
      <c r="T9" s="799" t="s">
        <v>601</v>
      </c>
      <c r="U9" s="879"/>
      <c r="V9" s="879"/>
      <c r="W9" s="1112"/>
      <c r="X9" s="1112"/>
      <c r="Y9" s="1112"/>
      <c r="Z9" s="1112"/>
      <c r="AA9" s="1112"/>
      <c r="AB9" s="879"/>
      <c r="AC9" s="879"/>
      <c r="AD9" s="879"/>
      <c r="AE9" s="879"/>
      <c r="AF9" s="879"/>
      <c r="AG9" s="879"/>
      <c r="AH9" s="1112"/>
      <c r="AI9" s="1112"/>
      <c r="AJ9" s="1112"/>
      <c r="AK9" s="1112"/>
      <c r="AL9" s="1112"/>
      <c r="AM9" s="879"/>
      <c r="AN9" s="879"/>
      <c r="AO9" s="879"/>
      <c r="AP9" s="879"/>
      <c r="AQ9" s="879"/>
      <c r="AR9" s="879"/>
      <c r="AS9" s="1770" t="s">
        <v>602</v>
      </c>
      <c r="AU9" s="1012"/>
      <c r="AV9" s="1012" t="str">
        <f>IF(T9="","",T9)</f>
        <v>Добавить значение признака дифференциации</v>
      </c>
      <c r="AW9" s="1012"/>
      <c r="AX9" s="1012"/>
      <c r="AY9" s="1667">
        <v>0</v>
      </c>
    </row>
    <row customHeight="1" ht="21" hidden="1">
      <c r="A10" s="1875"/>
      <c r="B10" s="1875"/>
      <c r="C10" s="1875"/>
      <c r="D10" s="1875"/>
      <c r="E10" s="2771"/>
      <c r="F10" s="2771"/>
      <c r="G10" s="2771"/>
      <c r="H10" s="2771"/>
      <c r="I10" s="2768"/>
      <c r="J10" s="1875"/>
      <c r="K10" s="1875"/>
      <c r="L10" s="1876"/>
      <c r="P10" s="2769"/>
      <c r="Q10" s="1993"/>
      <c r="R10" s="868"/>
      <c r="S10" s="1790"/>
      <c r="T10" s="877" t="s">
        <v>530</v>
      </c>
      <c r="U10" s="879"/>
      <c r="V10" s="879"/>
      <c r="W10" s="1112"/>
      <c r="X10" s="1112"/>
      <c r="Y10" s="1112"/>
      <c r="Z10" s="1112"/>
      <c r="AA10" s="1112"/>
      <c r="AB10" s="879"/>
      <c r="AC10" s="879"/>
      <c r="AD10" s="879"/>
      <c r="AE10" s="879"/>
      <c r="AF10" s="878"/>
      <c r="AG10" s="879"/>
      <c r="AH10" s="1112"/>
      <c r="AI10" s="1112"/>
      <c r="AJ10" s="1112"/>
      <c r="AK10" s="1112"/>
      <c r="AL10" s="1112"/>
      <c r="AM10" s="879"/>
      <c r="AN10" s="879"/>
      <c r="AO10" s="879"/>
      <c r="AP10" s="879"/>
      <c r="AQ10" s="878"/>
      <c r="AR10" s="879"/>
      <c r="AS10" s="1952"/>
      <c r="AU10" s="1012"/>
      <c r="AV10" s="1012" t="str">
        <f>IF(T10="","",T10)</f>
        <v>Добавить группу потребителей</v>
      </c>
      <c r="AW10" s="1012"/>
      <c r="AX10" s="1012"/>
      <c r="AY10" s="1667">
        <v>0</v>
      </c>
    </row>
    <row customHeight="1" ht="21" hidden="1">
      <c r="A11" s="1875"/>
      <c r="B11" s="1875"/>
      <c r="C11" s="1875"/>
      <c r="D11" s="1875"/>
      <c r="E11" s="2771"/>
      <c r="F11" s="2771"/>
      <c r="G11" s="2771"/>
      <c r="H11" s="2770"/>
      <c r="I11" s="1875"/>
      <c r="J11" s="1875"/>
      <c r="K11" s="1875"/>
      <c r="L11" s="1876"/>
      <c r="M11" s="1877"/>
      <c r="N11" s="1877"/>
      <c r="O11" s="1049"/>
      <c r="P11" s="872"/>
      <c r="Q11" s="887"/>
      <c r="R11" s="867"/>
      <c r="S11" s="1790"/>
      <c r="T11" s="884" t="s">
        <v>603</v>
      </c>
      <c r="U11" s="879"/>
      <c r="V11" s="879"/>
      <c r="W11" s="1112"/>
      <c r="X11" s="1112"/>
      <c r="Y11" s="1112"/>
      <c r="Z11" s="1112"/>
      <c r="AA11" s="1112"/>
      <c r="AB11" s="879"/>
      <c r="AC11" s="879"/>
      <c r="AD11" s="879"/>
      <c r="AE11" s="879"/>
      <c r="AF11" s="878"/>
      <c r="AG11" s="879"/>
      <c r="AH11" s="1112"/>
      <c r="AI11" s="1112"/>
      <c r="AJ11" s="1112"/>
      <c r="AK11" s="1112"/>
      <c r="AL11" s="1112"/>
      <c r="AM11" s="879"/>
      <c r="AN11" s="879"/>
      <c r="AO11" s="879"/>
      <c r="AP11" s="879"/>
      <c r="AQ11" s="878"/>
      <c r="AR11" s="879"/>
      <c r="AS11" s="815"/>
      <c r="AU11" s="1012"/>
      <c r="AV11" s="1012" t="str">
        <f>IF(T11="","",T11)</f>
        <v>Добавить наименование признака дифференциации</v>
      </c>
      <c r="AW11" s="1012"/>
      <c r="AX11" s="1012"/>
      <c r="AY11" s="1667">
        <v>0</v>
      </c>
    </row>
    <row s="46890" customFormat="1" customHeight="1" ht="14.25" hidden="1">
      <c r="A12" s="1855"/>
      <c r="B12" s="1855"/>
      <c r="C12" s="1826"/>
      <c r="D12" s="1826"/>
      <c r="E12" s="2771"/>
      <c r="F12" s="2770"/>
      <c r="G12" s="1826"/>
      <c r="H12" s="1826"/>
      <c r="I12" s="1826"/>
      <c r="J12" s="1826"/>
      <c r="K12" s="1826"/>
      <c r="L12" s="2006"/>
      <c r="M12" s="1833"/>
      <c r="N12" s="1833"/>
      <c r="P12" s="1828"/>
      <c r="Q12" s="1829"/>
      <c r="R12" s="1828"/>
      <c r="S12" s="1834"/>
      <c r="T12" s="1837" t="s">
        <v>321</v>
      </c>
      <c r="U12" s="1836"/>
      <c r="V12" s="1836"/>
      <c r="W12" s="1836"/>
      <c r="X12" s="1836"/>
      <c r="Y12" s="1836"/>
      <c r="Z12" s="1836"/>
      <c r="AA12" s="1836"/>
      <c r="AB12" s="1836"/>
      <c r="AC12" s="1836"/>
      <c r="AD12" s="1836"/>
      <c r="AE12" s="1836"/>
      <c r="AF12" s="1836"/>
      <c r="AG12" s="1836"/>
      <c r="AH12" s="1836"/>
      <c r="AI12" s="1836"/>
      <c r="AJ12" s="1836"/>
      <c r="AK12" s="1836"/>
      <c r="AL12" s="1836"/>
      <c r="AM12" s="1836"/>
      <c r="AN12" s="1836"/>
      <c r="AO12" s="1836"/>
      <c r="AP12" s="1836"/>
      <c r="AQ12" s="1836"/>
      <c r="AR12" s="1836"/>
      <c r="AS12" s="1836"/>
      <c r="AU12" s="1301"/>
      <c r="AV12" s="1301" t="str">
        <f>IF(T12="","",T12)</f>
        <v>Добавить централизованную систему для дифференциации</v>
      </c>
      <c r="AW12" s="1301"/>
      <c r="AX12" s="1301"/>
      <c r="AY12" s="1030">
        <v>0</v>
      </c>
    </row>
    <row s="46890" customFormat="1" customHeight="1" ht="14.25" hidden="1">
      <c r="A13" s="1855"/>
      <c r="B13" s="1855"/>
      <c r="C13" s="1855"/>
      <c r="D13" s="1855"/>
      <c r="E13" s="2770"/>
      <c r="F13" s="1855"/>
      <c r="G13" s="1855"/>
      <c r="H13" s="1855"/>
      <c r="I13" s="1855"/>
      <c r="J13" s="1855"/>
      <c r="K13" s="1855"/>
      <c r="L13" s="1858"/>
      <c r="M13" s="1833"/>
      <c r="N13" s="1833"/>
      <c r="O13" s="1030"/>
      <c r="P13" s="892"/>
      <c r="Q13" s="1856"/>
      <c r="R13" s="892"/>
      <c r="S13" s="1834"/>
      <c r="T13" s="1837" t="s">
        <v>385</v>
      </c>
      <c r="U13" s="1836"/>
      <c r="V13" s="1836"/>
      <c r="W13" s="1836"/>
      <c r="X13" s="1836"/>
      <c r="Y13" s="1836"/>
      <c r="Z13" s="1836"/>
      <c r="AA13" s="1836"/>
      <c r="AB13" s="1836"/>
      <c r="AC13" s="1836"/>
      <c r="AD13" s="1836"/>
      <c r="AE13" s="1836"/>
      <c r="AF13" s="1836"/>
      <c r="AG13" s="1836"/>
      <c r="AH13" s="1836"/>
      <c r="AI13" s="1836"/>
      <c r="AJ13" s="1836"/>
      <c r="AK13" s="1836"/>
      <c r="AL13" s="1836"/>
      <c r="AM13" s="1836"/>
      <c r="AN13" s="1836"/>
      <c r="AO13" s="1836"/>
      <c r="AP13" s="1836"/>
      <c r="AQ13" s="1836"/>
      <c r="AR13" s="1836"/>
      <c r="AS13" s="1836"/>
      <c r="AU13" s="1012"/>
      <c r="AV13" s="1012" t="str">
        <f>IF(T13="","",T13)</f>
        <v>Добавить территорию для дифференциации</v>
      </c>
      <c r="AW13" s="1012"/>
      <c r="AX13" s="1012"/>
      <c r="AY13" s="1023">
        <v>0</v>
      </c>
    </row>
    <row customHeight="1" ht="14.25" hidden="1">
      <c r="AF14" s="839"/>
      <c r="AQ14" s="839"/>
      <c r="AY14" s="1667">
        <v>0</v>
      </c>
    </row>
    <row customHeight="1" ht="14.25" hidden="1">
      <c r="AG15" s="1872"/>
      <c r="AH15" s="1872"/>
      <c r="AI15" s="1872"/>
      <c r="AJ15" s="1872"/>
      <c r="AK15" s="1872"/>
      <c r="AL15" s="1872"/>
      <c r="AM15" s="1873"/>
      <c r="AN15" s="2779"/>
      <c r="AO15" s="2780" t="s">
        <v>63</v>
      </c>
      <c r="AP15" s="2779"/>
      <c r="AQ15" s="2780" t="s">
        <v>63</v>
      </c>
      <c r="AY15" s="1667">
        <v>0</v>
      </c>
    </row>
    <row customHeight="1" ht="14.25" hidden="1">
      <c r="AG16" s="1872"/>
      <c r="AH16" s="1872"/>
      <c r="AI16" s="1872"/>
      <c r="AJ16" s="1872"/>
      <c r="AK16" s="1872"/>
      <c r="AL16" s="1872"/>
      <c r="AM16" s="840" t="str">
        <f>AN15&amp;"-"&amp;AP15</f>
        <v>-</v>
      </c>
      <c r="AN16" s="2780"/>
      <c r="AO16" s="2780"/>
      <c r="AP16" s="2780"/>
      <c r="AQ16" s="2780"/>
      <c r="AY16" s="1667">
        <v>0</v>
      </c>
    </row>
    <row customHeight="1" ht="14.25" hidden="1">
      <c r="AQ17" s="839"/>
      <c r="AY17" s="1667">
        <v>0</v>
      </c>
    </row>
    <row s="46889" customFormat="1" customHeight="1" ht="22.5" hidden="1">
      <c r="L18" s="1990"/>
      <c r="M18" s="1874"/>
      <c r="N18" s="1874"/>
      <c r="O18" s="1879" t="s">
        <v>533</v>
      </c>
      <c r="P18" s="1874"/>
      <c r="Q18" s="1883"/>
      <c r="R18" s="1883"/>
      <c r="S18" s="1241"/>
      <c r="W18" s="1878"/>
      <c r="X18" s="1878"/>
      <c r="Y18" s="1878"/>
      <c r="Z18" s="1878"/>
      <c r="AA18" s="1878"/>
      <c r="AC18" s="1879"/>
      <c r="AE18" s="1879"/>
      <c r="AF18" s="1878"/>
      <c r="AH18" s="1878"/>
      <c r="AI18" s="1878"/>
      <c r="AJ18" s="1878"/>
      <c r="AK18" s="1878"/>
      <c r="AL18" s="1878"/>
      <c r="AN18" s="1879"/>
      <c r="AP18" s="1879"/>
      <c r="AQ18" s="1878"/>
      <c r="AT18" s="1023"/>
      <c r="AU18" s="1023"/>
      <c r="AV18" s="1023"/>
      <c r="AW18" s="1023"/>
      <c r="AX18" s="1023"/>
      <c r="AY18" s="1672">
        <v>0</v>
      </c>
    </row>
    <row s="46889" customFormat="1" customHeight="1" ht="14.25" hidden="1">
      <c r="L19" s="1990"/>
      <c r="M19" s="1874"/>
      <c r="N19" s="1874"/>
      <c r="O19" s="1874"/>
      <c r="P19" s="1874"/>
      <c r="Q19" s="1883"/>
      <c r="R19" s="1883"/>
      <c r="S19" s="1241"/>
      <c r="W19" s="1878"/>
      <c r="X19" s="1878"/>
      <c r="Y19" s="1878"/>
      <c r="Z19" s="1878"/>
      <c r="AA19" s="1878"/>
      <c r="AF19" s="1878"/>
      <c r="AH19" s="1878"/>
      <c r="AI19" s="1878"/>
      <c r="AJ19" s="1878"/>
      <c r="AK19" s="1878"/>
      <c r="AL19" s="1878"/>
      <c r="AQ19" s="1878"/>
      <c r="AT19" s="1023"/>
      <c r="AU19" s="1023"/>
      <c r="AV19" s="1023"/>
      <c r="AW19" s="1023"/>
      <c r="AX19" s="1023"/>
      <c r="AY19" s="1672">
        <v>0</v>
      </c>
    </row>
    <row s="46889" customFormat="1" customHeight="1" ht="12" hidden="1">
      <c r="L20" s="1990"/>
      <c r="M20" s="1874"/>
      <c r="N20" s="1874"/>
      <c r="O20" s="1876" t="s">
        <v>534</v>
      </c>
      <c r="P20" s="1874"/>
      <c r="Q20" s="1954"/>
      <c r="R20" s="1954"/>
      <c r="S20" s="1241"/>
      <c r="T20" s="1672" t="s">
        <v>535</v>
      </c>
      <c r="W20" s="1878"/>
      <c r="X20" s="1878"/>
      <c r="Y20" s="1878"/>
      <c r="Z20" s="1878"/>
      <c r="AA20" s="1878"/>
      <c r="AD20" s="698" t="s">
        <v>536</v>
      </c>
      <c r="AF20" s="698" t="s">
        <v>537</v>
      </c>
      <c r="AG20" s="1672" t="s">
        <v>535</v>
      </c>
      <c r="AH20" s="1878"/>
      <c r="AI20" s="1878"/>
      <c r="AJ20" s="1878"/>
      <c r="AK20" s="1878"/>
      <c r="AL20" s="1878"/>
      <c r="AO20" s="698" t="s">
        <v>538</v>
      </c>
      <c r="AQ20" s="698" t="s">
        <v>537</v>
      </c>
      <c r="AY20" s="1672">
        <v>0</v>
      </c>
    </row>
    <row customHeight="1" ht="14.25" hidden="1">
      <c r="O21" s="1876"/>
      <c r="AY21" s="1667">
        <v>0</v>
      </c>
    </row>
    <row customHeight="1" ht="14.25" hidden="1">
      <c r="O22" s="1876"/>
      <c r="AY22" s="1667">
        <v>0</v>
      </c>
    </row>
    <row customHeight="1" ht="14.699999999999998">
      <c r="Q23" s="888"/>
      <c r="R23" s="888"/>
      <c r="S23" s="1787"/>
      <c r="T23" s="875"/>
      <c r="U23" s="875"/>
      <c r="V23" s="1021"/>
      <c r="W23" s="2147"/>
      <c r="X23" s="2147"/>
      <c r="Y23" s="2147"/>
      <c r="Z23" s="2147"/>
      <c r="AA23" s="2147"/>
      <c r="AB23" s="1021"/>
      <c r="AC23" s="1021"/>
      <c r="AD23" s="1021"/>
      <c r="AE23" s="1021"/>
      <c r="AF23" s="1021"/>
      <c r="AG23" s="1021"/>
      <c r="AH23" s="2147"/>
      <c r="AI23" s="2147"/>
      <c r="AJ23" s="2147"/>
      <c r="AK23" s="2147"/>
      <c r="AL23" s="2147"/>
      <c r="AM23" s="1021"/>
      <c r="AN23" s="1021"/>
      <c r="AO23" s="1021"/>
      <c r="AP23" s="1021"/>
      <c r="AQ23" s="1021"/>
      <c r="AY23" s="1667">
        <v>14</v>
      </c>
    </row>
    <row customHeight="1" ht="26.25">
      <c r="Q24" s="888"/>
      <c r="R24" s="888"/>
      <c r="S24" s="2760"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760"/>
      <c r="U24" s="2760"/>
      <c r="V24" s="2760"/>
      <c r="W24" s="2760"/>
      <c r="X24" s="2760"/>
      <c r="Y24" s="2760"/>
      <c r="Z24" s="2760"/>
      <c r="AA24" s="2760"/>
      <c r="AB24" s="2760"/>
      <c r="AC24" s="2760"/>
      <c r="AD24" s="2760"/>
      <c r="AE24" s="2760"/>
      <c r="AF24" s="2760"/>
      <c r="AG24" s="2760"/>
      <c r="AH24" s="2760"/>
      <c r="AI24" s="2760"/>
      <c r="AJ24" s="2760"/>
      <c r="AK24" s="2760"/>
      <c r="AL24" s="2760"/>
      <c r="AM24" s="2760"/>
      <c r="AN24" s="2760"/>
      <c r="AO24" s="2760"/>
      <c r="AP24" s="2760"/>
      <c r="AQ24" s="1755"/>
      <c r="AY24" s="1667">
        <v>25</v>
      </c>
    </row>
    <row customHeight="1" ht="14.699999999999998">
      <c r="Q25" s="888"/>
      <c r="R25" s="888"/>
      <c r="S25" s="2761" t="str">
        <f>IF(org=0,"Не определено",org)</f>
        <v>КГУП "Примтеплоэнерго"</v>
      </c>
      <c r="T25" s="2761"/>
      <c r="U25" s="2761"/>
      <c r="V25" s="2761"/>
      <c r="W25" s="2761"/>
      <c r="X25" s="2761"/>
      <c r="Y25" s="2761"/>
      <c r="Z25" s="2761"/>
      <c r="AA25" s="2761"/>
      <c r="AB25" s="2761"/>
      <c r="AC25" s="2761"/>
      <c r="AD25" s="2761"/>
      <c r="AE25" s="2761"/>
      <c r="AF25" s="2761"/>
      <c r="AG25" s="2761"/>
      <c r="AH25" s="2761"/>
      <c r="AI25" s="2761"/>
      <c r="AJ25" s="2761"/>
      <c r="AK25" s="2761"/>
      <c r="AL25" s="2761"/>
      <c r="AM25" s="2761"/>
      <c r="AN25" s="2761"/>
      <c r="AO25" s="2761"/>
      <c r="AP25" s="2761"/>
      <c r="AQ25" s="1755"/>
      <c r="AY25" s="1667">
        <v>14</v>
      </c>
    </row>
    <row customHeight="1" ht="14.25">
      <c r="Q26" s="888"/>
      <c r="R26" s="888"/>
      <c r="S26" s="1787"/>
      <c r="T26" s="875"/>
      <c r="U26" s="875"/>
      <c r="V26" s="834"/>
      <c r="W26" s="834"/>
      <c r="X26" s="834"/>
      <c r="Y26" s="834"/>
      <c r="Z26" s="834"/>
      <c r="AA26" s="834"/>
      <c r="AB26" s="834"/>
      <c r="AC26" s="834"/>
      <c r="AD26" s="834"/>
      <c r="AE26" s="834"/>
      <c r="AF26" s="834"/>
      <c r="AG26" s="834"/>
      <c r="AH26" s="834"/>
      <c r="AI26" s="834"/>
      <c r="AJ26" s="834"/>
      <c r="AK26" s="834"/>
      <c r="AL26" s="834"/>
      <c r="AM26" s="834"/>
      <c r="AN26" s="834"/>
      <c r="AO26" s="834"/>
      <c r="AP26" s="834"/>
      <c r="AQ26" s="834"/>
      <c r="AR26" s="1021"/>
      <c r="AY26" s="1667">
        <v>0</v>
      </c>
    </row>
    <row s="47026" customFormat="1" customHeight="1" ht="25.5">
      <c r="A27" s="1880"/>
      <c r="B27" s="1880"/>
      <c r="C27" s="1880"/>
      <c r="D27" s="1880"/>
      <c r="E27" s="1880"/>
      <c r="F27" s="1880"/>
      <c r="G27" s="1880"/>
      <c r="H27" s="1880"/>
      <c r="I27" s="1880"/>
      <c r="J27" s="1880"/>
      <c r="K27" s="1880"/>
      <c r="L27" s="1881"/>
      <c r="M27" s="1880"/>
      <c r="N27" s="1880"/>
      <c r="O27" s="1880"/>
      <c r="S27" s="2762" t="s">
        <v>42</v>
      </c>
      <c r="T27" s="2762"/>
      <c r="U27" s="1884"/>
      <c r="V27" s="2763" t="str">
        <f>IF(TITLE_NAME_OR_PR_CHANGE="",IF(TITLE_NAME_OR_PR="","",TITLE_NAME_OR_PR),TITLE_NAME_OR_PR_CHANGE)</f>
        <v>Агентство по тарифам Приморского края</v>
      </c>
      <c r="W27" s="2763"/>
      <c r="X27" s="2763"/>
      <c r="Y27" s="2763"/>
      <c r="Z27" s="2763"/>
      <c r="AA27" s="2763"/>
      <c r="AB27" s="2763"/>
      <c r="AC27" s="2763"/>
      <c r="AD27" s="2763"/>
      <c r="AE27" s="2763"/>
      <c r="AF27" s="838"/>
      <c r="AG27" s="2763" t="str">
        <f>IF(TITLE_NAME_OR_PR_CHANGE="",IF(TITLE_NAME_OR_PR="","",TITLE_NAME_OR_PR),TITLE_NAME_OR_PR_CHANGE)</f>
        <v>Агентство по тарифам Приморского края</v>
      </c>
      <c r="AH27" s="2763"/>
      <c r="AI27" s="2763"/>
      <c r="AJ27" s="2763"/>
      <c r="AK27" s="2763"/>
      <c r="AL27" s="2763"/>
      <c r="AM27" s="2763"/>
      <c r="AN27" s="2763"/>
      <c r="AO27" s="2763"/>
      <c r="AP27" s="2763"/>
      <c r="AQ27" s="838"/>
      <c r="AR27" s="838"/>
      <c r="AS27" s="792"/>
      <c r="AT27" s="880"/>
      <c r="AU27" s="880"/>
      <c r="AV27" s="880"/>
      <c r="AW27" s="880"/>
      <c r="AX27" s="880"/>
      <c r="AY27" s="930">
        <v>0</v>
      </c>
    </row>
    <row s="47026" customFormat="1" customHeight="1" ht="18.75">
      <c r="A28" s="1880"/>
      <c r="B28" s="1880"/>
      <c r="C28" s="1880"/>
      <c r="D28" s="1880"/>
      <c r="E28" s="1880"/>
      <c r="F28" s="1880"/>
      <c r="G28" s="1880"/>
      <c r="H28" s="1880"/>
      <c r="I28" s="1880"/>
      <c r="J28" s="1880"/>
      <c r="K28" s="1880"/>
      <c r="L28" s="1881"/>
      <c r="M28" s="1880"/>
      <c r="N28" s="1880"/>
      <c r="O28" s="1880"/>
      <c r="S28" s="2762" t="s">
        <v>539</v>
      </c>
      <c r="T28" s="2762"/>
      <c r="U28" s="1884"/>
      <c r="V28" s="2776" t="str">
        <f>IF(TITLE_DATE_PR_CHANGE="",IF(TITLE_DATE_PR="","",TITLE_DATE_PR),TITLE_DATE_PR_CHANGE)</f>
        <v>45631.495844907404</v>
      </c>
      <c r="W28" s="2776"/>
      <c r="X28" s="2776"/>
      <c r="Y28" s="2776"/>
      <c r="Z28" s="2776"/>
      <c r="AA28" s="2776"/>
      <c r="AB28" s="2776"/>
      <c r="AC28" s="2776"/>
      <c r="AD28" s="2776"/>
      <c r="AE28" s="2776"/>
      <c r="AF28" s="838"/>
      <c r="AG28" s="2776" t="str">
        <f>IF(TITLE_DATE_PR_CHANGE="",IF(TITLE_DATE_PR="","",TITLE_DATE_PR),TITLE_DATE_PR_CHANGE)</f>
        <v>45631.495844907404</v>
      </c>
      <c r="AH28" s="2776"/>
      <c r="AI28" s="2776"/>
      <c r="AJ28" s="2776"/>
      <c r="AK28" s="2776"/>
      <c r="AL28" s="2776"/>
      <c r="AM28" s="2776"/>
      <c r="AN28" s="2776"/>
      <c r="AO28" s="2776"/>
      <c r="AP28" s="2776"/>
      <c r="AQ28" s="838"/>
      <c r="AR28" s="838"/>
      <c r="AS28" s="792"/>
      <c r="AT28" s="880"/>
      <c r="AU28" s="880"/>
      <c r="AV28" s="880"/>
      <c r="AW28" s="880"/>
      <c r="AX28" s="880"/>
      <c r="AY28" s="930">
        <v>0</v>
      </c>
    </row>
    <row s="47026" customFormat="1" customHeight="1" ht="18.75">
      <c r="A29" s="1880"/>
      <c r="B29" s="1880"/>
      <c r="C29" s="1880"/>
      <c r="D29" s="1880"/>
      <c r="E29" s="1880"/>
      <c r="F29" s="1880"/>
      <c r="G29" s="1880"/>
      <c r="H29" s="1880"/>
      <c r="I29" s="1880"/>
      <c r="J29" s="1880"/>
      <c r="K29" s="1880"/>
      <c r="L29" s="1881"/>
      <c r="M29" s="1880"/>
      <c r="N29" s="1880"/>
      <c r="O29" s="1880"/>
      <c r="S29" s="2762" t="s">
        <v>540</v>
      </c>
      <c r="T29" s="2762"/>
      <c r="U29" s="1884"/>
      <c r="V29" s="2763" t="str">
        <f>IF(TITLE_NUMBER_PR_CHANGE="",IF(TITLE_NUMBER_PR="","",TITLE_NUMBER_PR),TITLE_NUMBER_PR_CHANGE)</f>
        <v>53/9</v>
      </c>
      <c r="W29" s="2763"/>
      <c r="X29" s="2763"/>
      <c r="Y29" s="2763"/>
      <c r="Z29" s="2763"/>
      <c r="AA29" s="2763"/>
      <c r="AB29" s="2763"/>
      <c r="AC29" s="2763"/>
      <c r="AD29" s="2763"/>
      <c r="AE29" s="2763"/>
      <c r="AF29" s="838"/>
      <c r="AG29" s="2763" t="str">
        <f>IF(TITLE_NUMBER_PR_CHANGE="",IF(TITLE_NUMBER_PR="","",TITLE_NUMBER_PR),TITLE_NUMBER_PR_CHANGE)</f>
        <v>53/9</v>
      </c>
      <c r="AH29" s="2763"/>
      <c r="AI29" s="2763"/>
      <c r="AJ29" s="2763"/>
      <c r="AK29" s="2763"/>
      <c r="AL29" s="2763"/>
      <c r="AM29" s="2763"/>
      <c r="AN29" s="2763"/>
      <c r="AO29" s="2763"/>
      <c r="AP29" s="2763"/>
      <c r="AQ29" s="838"/>
      <c r="AR29" s="838"/>
      <c r="AS29" s="792"/>
      <c r="AT29" s="880"/>
      <c r="AU29" s="880"/>
      <c r="AV29" s="880"/>
      <c r="AW29" s="880"/>
      <c r="AX29" s="880"/>
      <c r="AY29" s="930">
        <v>0</v>
      </c>
    </row>
    <row s="47026" customFormat="1" customHeight="1" ht="18.75">
      <c r="A30" s="1880"/>
      <c r="B30" s="1880"/>
      <c r="C30" s="1880"/>
      <c r="D30" s="1880"/>
      <c r="E30" s="1880"/>
      <c r="F30" s="1880"/>
      <c r="G30" s="1880"/>
      <c r="H30" s="1880"/>
      <c r="I30" s="1880"/>
      <c r="J30" s="1880"/>
      <c r="K30" s="1880"/>
      <c r="L30" s="1881"/>
      <c r="M30" s="1880"/>
      <c r="N30" s="1880"/>
      <c r="O30" s="1880"/>
      <c r="S30" s="2762" t="s">
        <v>44</v>
      </c>
      <c r="T30" s="2762"/>
      <c r="U30" s="1884"/>
      <c r="V30" s="2763" t="str">
        <f>IF(TITLE_IST_PUB_CHANGE="",IF(TITLE_IST_PUB="","",TITLE_IST_PUB),TITLE_IST_PUB_CHANGE)</f>
        <v>http://pravo.gov.ru</v>
      </c>
      <c r="W30" s="2763"/>
      <c r="X30" s="2763"/>
      <c r="Y30" s="2763"/>
      <c r="Z30" s="2763"/>
      <c r="AA30" s="2763"/>
      <c r="AB30" s="2763"/>
      <c r="AC30" s="2763"/>
      <c r="AD30" s="2763"/>
      <c r="AE30" s="2763"/>
      <c r="AF30" s="838"/>
      <c r="AG30" s="2763" t="str">
        <f>IF(TITLE_IST_PUB_CHANGE="",IF(TITLE_IST_PUB="","",TITLE_IST_PUB),TITLE_IST_PUB_CHANGE)</f>
        <v>http://pravo.gov.ru</v>
      </c>
      <c r="AH30" s="2763"/>
      <c r="AI30" s="2763"/>
      <c r="AJ30" s="2763"/>
      <c r="AK30" s="2763"/>
      <c r="AL30" s="2763"/>
      <c r="AM30" s="2763"/>
      <c r="AN30" s="2763"/>
      <c r="AO30" s="2763"/>
      <c r="AP30" s="2763"/>
      <c r="AQ30" s="838"/>
      <c r="AR30" s="838"/>
      <c r="AS30" s="792"/>
      <c r="AT30" s="880"/>
      <c r="AU30" s="880"/>
      <c r="AV30" s="880"/>
      <c r="AW30" s="880"/>
      <c r="AX30" s="880"/>
      <c r="AY30" s="930">
        <v>0</v>
      </c>
    </row>
    <row customHeight="1" ht="14.25" hidden="1">
      <c r="Q31" s="888"/>
      <c r="R31" s="888"/>
      <c r="S31" s="1787"/>
      <c r="T31" s="875"/>
      <c r="U31" s="875"/>
      <c r="V31" s="834"/>
      <c r="W31" s="834"/>
      <c r="X31" s="834"/>
      <c r="Y31" s="834"/>
      <c r="Z31" s="834"/>
      <c r="AA31" s="834"/>
      <c r="AB31" s="834"/>
      <c r="AC31" s="834"/>
      <c r="AD31" s="834"/>
      <c r="AE31" s="834"/>
      <c r="AF31" s="834"/>
      <c r="AG31" s="834"/>
      <c r="AH31" s="834"/>
      <c r="AI31" s="834"/>
      <c r="AJ31" s="834"/>
      <c r="AK31" s="834"/>
      <c r="AL31" s="834"/>
      <c r="AM31" s="834"/>
      <c r="AN31" s="834"/>
      <c r="AO31" s="834"/>
      <c r="AP31" s="834"/>
      <c r="AQ31" s="834"/>
      <c r="AR31" s="1021"/>
      <c r="AY31" s="1667">
        <v>0</v>
      </c>
    </row>
    <row s="47026" customFormat="1" customHeight="1" ht="18.75" hidden="1">
      <c r="A32" s="1880"/>
      <c r="B32" s="1880"/>
      <c r="C32" s="1880"/>
      <c r="D32" s="1880"/>
      <c r="E32" s="1880"/>
      <c r="F32" s="1880"/>
      <c r="G32" s="1880"/>
      <c r="H32" s="1880"/>
      <c r="I32" s="1880"/>
      <c r="J32" s="1880"/>
      <c r="K32" s="1880"/>
      <c r="L32" s="1881"/>
      <c r="M32" s="1880"/>
      <c r="N32" s="1880"/>
      <c r="O32" s="1880"/>
      <c r="S32" s="2762" t="s">
        <v>541</v>
      </c>
      <c r="T32" s="2762"/>
      <c r="U32" s="1884"/>
      <c r="V32" s="2776" t="str">
        <f>IF(TITLE_DATE_PR_CHANGE="",IF(TITLE_DATE_PR="","",TITLE_DATE_PR),TITLE_DATE_PR_CHANGE)</f>
        <v>45631.495844907404</v>
      </c>
      <c r="W32" s="2776"/>
      <c r="X32" s="2776"/>
      <c r="Y32" s="2776"/>
      <c r="Z32" s="2776"/>
      <c r="AA32" s="2776"/>
      <c r="AB32" s="2776"/>
      <c r="AC32" s="2776"/>
      <c r="AD32" s="2776"/>
      <c r="AE32" s="2776"/>
      <c r="AF32" s="838"/>
      <c r="AG32" s="2776" t="str">
        <f>IF(TITLE_DATE_PR_CHANGE="",IF(TITLE_DATE_PR="","",TITLE_DATE_PR),TITLE_DATE_PR_CHANGE)</f>
        <v>45631.495844907404</v>
      </c>
      <c r="AH32" s="2776"/>
      <c r="AI32" s="2776"/>
      <c r="AJ32" s="2776"/>
      <c r="AK32" s="2776"/>
      <c r="AL32" s="2776"/>
      <c r="AM32" s="2776"/>
      <c r="AN32" s="2776"/>
      <c r="AO32" s="2776"/>
      <c r="AP32" s="2776"/>
      <c r="AQ32" s="838"/>
      <c r="AR32" s="838"/>
      <c r="AS32" s="792"/>
      <c r="AT32" s="880"/>
      <c r="AU32" s="880"/>
      <c r="AV32" s="880"/>
      <c r="AW32" s="880"/>
      <c r="AX32" s="880"/>
      <c r="AY32" s="930">
        <v>0</v>
      </c>
    </row>
    <row s="47026" customFormat="1" customHeight="1" ht="18.75" hidden="1">
      <c r="A33" s="1880"/>
      <c r="B33" s="1880"/>
      <c r="C33" s="1880"/>
      <c r="D33" s="1880"/>
      <c r="E33" s="1880"/>
      <c r="F33" s="1880"/>
      <c r="G33" s="1880"/>
      <c r="H33" s="1880"/>
      <c r="I33" s="1880"/>
      <c r="J33" s="1880"/>
      <c r="K33" s="1880"/>
      <c r="L33" s="1881"/>
      <c r="M33" s="1880"/>
      <c r="N33" s="1880"/>
      <c r="O33" s="1880"/>
      <c r="S33" s="2762" t="s">
        <v>542</v>
      </c>
      <c r="T33" s="2762"/>
      <c r="U33" s="1884"/>
      <c r="V33" s="2763" t="str">
        <f>IF(TITLE_NUMBER_PR_CHANGE="",IF(TITLE_NUMBER_PR="","",TITLE_NUMBER_PR),TITLE_NUMBER_PR_CHANGE)</f>
        <v>53/9</v>
      </c>
      <c r="W33" s="2763"/>
      <c r="X33" s="2763"/>
      <c r="Y33" s="2763"/>
      <c r="Z33" s="2763"/>
      <c r="AA33" s="2763"/>
      <c r="AB33" s="2763"/>
      <c r="AC33" s="2763"/>
      <c r="AD33" s="2763"/>
      <c r="AE33" s="2763"/>
      <c r="AF33" s="838"/>
      <c r="AG33" s="2763" t="str">
        <f>IF(TITLE_NUMBER_PR_CHANGE="",IF(TITLE_NUMBER_PR="","",TITLE_NUMBER_PR),TITLE_NUMBER_PR_CHANGE)</f>
        <v>53/9</v>
      </c>
      <c r="AH33" s="2763"/>
      <c r="AI33" s="2763"/>
      <c r="AJ33" s="2763"/>
      <c r="AK33" s="2763"/>
      <c r="AL33" s="2763"/>
      <c r="AM33" s="2763"/>
      <c r="AN33" s="2763"/>
      <c r="AO33" s="2763"/>
      <c r="AP33" s="2763"/>
      <c r="AQ33" s="838"/>
      <c r="AR33" s="838"/>
      <c r="AS33" s="792"/>
      <c r="AT33" s="880"/>
      <c r="AU33" s="880"/>
      <c r="AV33" s="880"/>
      <c r="AW33" s="880"/>
      <c r="AX33" s="880"/>
      <c r="AY33" s="930">
        <v>0</v>
      </c>
    </row>
    <row s="47026" customFormat="1" customHeight="1" ht="1.05">
      <c r="A34" s="1880"/>
      <c r="B34" s="1880"/>
      <c r="C34" s="1880"/>
      <c r="D34" s="1880"/>
      <c r="E34" s="1880"/>
      <c r="F34" s="1880"/>
      <c r="G34" s="1880"/>
      <c r="H34" s="1880"/>
      <c r="I34" s="1880"/>
      <c r="J34" s="1880"/>
      <c r="K34" s="1880"/>
      <c r="L34" s="1881"/>
      <c r="M34" s="1880"/>
      <c r="N34" s="1880"/>
      <c r="O34" s="1880"/>
      <c r="S34" s="835"/>
      <c r="T34" s="835"/>
      <c r="U34" s="2000"/>
      <c r="V34" s="838"/>
      <c r="W34" s="2147"/>
      <c r="X34" s="2147"/>
      <c r="Y34" s="2147"/>
      <c r="Z34" s="2147"/>
      <c r="AA34" s="2147"/>
      <c r="AB34" s="838"/>
      <c r="AC34" s="838"/>
      <c r="AD34" s="838"/>
      <c r="AE34" s="838"/>
      <c r="AF34" s="790" t="s">
        <v>543</v>
      </c>
      <c r="AG34" s="838"/>
      <c r="AH34" s="2147"/>
      <c r="AI34" s="2147"/>
      <c r="AJ34" s="2147"/>
      <c r="AK34" s="2147"/>
      <c r="AL34" s="2147"/>
      <c r="AM34" s="838"/>
      <c r="AN34" s="838"/>
      <c r="AO34" s="838"/>
      <c r="AP34" s="838"/>
      <c r="AQ34" s="790" t="s">
        <v>543</v>
      </c>
      <c r="AT34" s="880"/>
      <c r="AU34" s="880"/>
      <c r="AV34" s="880"/>
      <c r="AW34" s="880"/>
      <c r="AX34" s="880"/>
      <c r="AY34" s="930">
        <v>1</v>
      </c>
    </row>
    <row customHeight="1" ht="14.699999999999998">
      <c r="Q35" s="888"/>
      <c r="R35" s="888"/>
      <c r="S35" s="1787"/>
      <c r="T35" s="875"/>
      <c r="U35" s="1756"/>
      <c r="V35" s="2764"/>
      <c r="W35" s="2764"/>
      <c r="X35" s="2764"/>
      <c r="Y35" s="2764"/>
      <c r="Z35" s="2764"/>
      <c r="AA35" s="2764"/>
      <c r="AB35" s="2764"/>
      <c r="AC35" s="2764"/>
      <c r="AD35" s="2764"/>
      <c r="AE35" s="2764"/>
      <c r="AF35" s="2764"/>
      <c r="AG35" s="2764"/>
      <c r="AH35" s="2764"/>
      <c r="AI35" s="2764"/>
      <c r="AJ35" s="2764"/>
      <c r="AK35" s="2764"/>
      <c r="AL35" s="2764"/>
      <c r="AM35" s="2764"/>
      <c r="AN35" s="2764"/>
      <c r="AO35" s="2764"/>
      <c r="AP35" s="2764"/>
      <c r="AQ35" s="2764"/>
      <c r="AY35" s="1667">
        <v>14</v>
      </c>
    </row>
    <row customHeight="1" ht="14.699999999999998">
      <c r="Q36" s="888"/>
      <c r="R36" s="888"/>
      <c r="S36" s="2639" t="s">
        <v>418</v>
      </c>
      <c r="T36" s="2639"/>
      <c r="U36" s="2639"/>
      <c r="V36" s="2639"/>
      <c r="W36" s="2639"/>
      <c r="X36" s="2639"/>
      <c r="Y36" s="2639"/>
      <c r="Z36" s="2639"/>
      <c r="AA36" s="2639"/>
      <c r="AB36" s="2639"/>
      <c r="AC36" s="2639"/>
      <c r="AD36" s="2639"/>
      <c r="AE36" s="2639"/>
      <c r="AF36" s="2639"/>
      <c r="AG36" s="2639"/>
      <c r="AH36" s="2639"/>
      <c r="AI36" s="2639"/>
      <c r="AJ36" s="2639"/>
      <c r="AK36" s="2639"/>
      <c r="AL36" s="2639"/>
      <c r="AM36" s="2639"/>
      <c r="AN36" s="2639"/>
      <c r="AO36" s="2639"/>
      <c r="AP36" s="2639"/>
      <c r="AQ36" s="2639"/>
      <c r="AR36" s="2639"/>
      <c r="AS36" s="2639" t="s">
        <v>419</v>
      </c>
      <c r="AY36" s="1667">
        <v>14</v>
      </c>
    </row>
    <row customHeight="1" ht="14.699999999999998">
      <c r="Q37" s="888"/>
      <c r="R37" s="888"/>
      <c r="S37" s="2785" t="s">
        <v>90</v>
      </c>
      <c r="T37" s="2721" t="s">
        <v>544</v>
      </c>
      <c r="U37" s="813"/>
      <c r="V37" s="2786" t="s">
        <v>545</v>
      </c>
      <c r="W37" s="2787"/>
      <c r="X37" s="2787"/>
      <c r="Y37" s="2787"/>
      <c r="Z37" s="2787"/>
      <c r="AA37" s="2787"/>
      <c r="AB37" s="2787"/>
      <c r="AC37" s="2787"/>
      <c r="AD37" s="2787"/>
      <c r="AE37" s="2788"/>
      <c r="AF37" s="2789" t="s">
        <v>546</v>
      </c>
      <c r="AG37" s="2786" t="s">
        <v>545</v>
      </c>
      <c r="AH37" s="2787"/>
      <c r="AI37" s="2787"/>
      <c r="AJ37" s="2787"/>
      <c r="AK37" s="2787"/>
      <c r="AL37" s="2787"/>
      <c r="AM37" s="2787"/>
      <c r="AN37" s="2787"/>
      <c r="AO37" s="2787"/>
      <c r="AP37" s="2788"/>
      <c r="AQ37" s="2789" t="s">
        <v>547</v>
      </c>
      <c r="AR37" s="2792" t="s">
        <v>548</v>
      </c>
      <c r="AS37" s="2639"/>
      <c r="AY37" s="1667">
        <v>14</v>
      </c>
    </row>
    <row s="46808" customFormat="1" customHeight="1" ht="19.95">
      <c r="A38" s="1878"/>
      <c r="B38" s="1878"/>
      <c r="C38" s="1878"/>
      <c r="D38" s="1878"/>
      <c r="E38" s="1878"/>
      <c r="F38" s="1878"/>
      <c r="G38" s="1878"/>
      <c r="H38" s="1878"/>
      <c r="I38" s="1878"/>
      <c r="J38" s="1878"/>
      <c r="K38" s="1878"/>
      <c r="L38" s="2492"/>
      <c r="M38" s="1874"/>
      <c r="N38" s="1874"/>
      <c r="O38" s="1874"/>
      <c r="P38" s="2493"/>
      <c r="Q38" s="888"/>
      <c r="R38" s="888"/>
      <c r="S38" s="2785"/>
      <c r="T38" s="2721"/>
      <c r="U38" s="1543"/>
      <c r="V38" s="2878" t="s">
        <v>649</v>
      </c>
      <c r="W38" s="2877" t="s">
        <v>650</v>
      </c>
      <c r="X38" s="2877"/>
      <c r="Y38" s="2877"/>
      <c r="Z38" s="2877" t="s">
        <v>651</v>
      </c>
      <c r="AA38" s="2877"/>
      <c r="AB38" s="2877"/>
      <c r="AC38" s="2806" t="s">
        <v>552</v>
      </c>
      <c r="AD38" s="2825"/>
      <c r="AE38" s="2826"/>
      <c r="AF38" s="2790"/>
      <c r="AG38" s="2878" t="s">
        <v>649</v>
      </c>
      <c r="AH38" s="2877" t="s">
        <v>650</v>
      </c>
      <c r="AI38" s="2877"/>
      <c r="AJ38" s="2877"/>
      <c r="AK38" s="2877" t="s">
        <v>651</v>
      </c>
      <c r="AL38" s="2877"/>
      <c r="AM38" s="2877"/>
      <c r="AN38" s="2806" t="s">
        <v>552</v>
      </c>
      <c r="AO38" s="2825"/>
      <c r="AP38" s="2826"/>
      <c r="AQ38" s="2790"/>
      <c r="AR38" s="2793"/>
      <c r="AS38" s="2639"/>
      <c r="AT38" s="2148"/>
      <c r="AU38" s="2148"/>
      <c r="AV38" s="2148"/>
      <c r="AW38" s="2148"/>
      <c r="AX38" s="2148"/>
      <c r="AY38" s="2143">
        <v>19</v>
      </c>
    </row>
    <row customHeight="1" ht="19.95">
      <c r="Q39" s="888"/>
      <c r="R39" s="888"/>
      <c r="S39" s="2785"/>
      <c r="T39" s="2721"/>
      <c r="U39" s="1543"/>
      <c r="V39" s="2878"/>
      <c r="W39" s="2877" t="s">
        <v>652</v>
      </c>
      <c r="X39" s="2877" t="s">
        <v>653</v>
      </c>
      <c r="Y39" s="2877"/>
      <c r="Z39" s="2877" t="s">
        <v>654</v>
      </c>
      <c r="AA39" s="2877" t="s">
        <v>653</v>
      </c>
      <c r="AB39" s="2877"/>
      <c r="AC39" s="2807"/>
      <c r="AD39" s="2827"/>
      <c r="AE39" s="2828"/>
      <c r="AF39" s="2790"/>
      <c r="AG39" s="2878"/>
      <c r="AH39" s="2877" t="s">
        <v>652</v>
      </c>
      <c r="AI39" s="2877" t="s">
        <v>653</v>
      </c>
      <c r="AJ39" s="2877"/>
      <c r="AK39" s="2877" t="s">
        <v>654</v>
      </c>
      <c r="AL39" s="2877" t="s">
        <v>653</v>
      </c>
      <c r="AM39" s="2877"/>
      <c r="AN39" s="2807"/>
      <c r="AO39" s="2827"/>
      <c r="AP39" s="2828"/>
      <c r="AQ39" s="2790"/>
      <c r="AR39" s="2793"/>
      <c r="AS39" s="2639"/>
      <c r="AY39" s="1667">
        <v>19</v>
      </c>
    </row>
    <row customHeight="1" ht="61.949999999999996">
      <c r="A40" s="1882"/>
      <c r="B40" s="1882" t="s">
        <v>191</v>
      </c>
      <c r="C40" s="1882" t="s">
        <v>192</v>
      </c>
      <c r="D40" s="1882" t="s">
        <v>193</v>
      </c>
      <c r="E40" s="1876" t="s">
        <v>553</v>
      </c>
      <c r="F40" s="1876" t="s">
        <v>554</v>
      </c>
      <c r="G40" s="1876" t="s">
        <v>555</v>
      </c>
      <c r="H40" s="1876"/>
      <c r="I40" s="1876" t="s">
        <v>605</v>
      </c>
      <c r="J40" s="1876" t="s">
        <v>558</v>
      </c>
      <c r="K40" s="1876" t="s">
        <v>606</v>
      </c>
      <c r="L40" s="1876" t="s">
        <v>534</v>
      </c>
      <c r="Q40" s="888"/>
      <c r="R40" s="888"/>
      <c r="S40" s="2785"/>
      <c r="T40" s="2721"/>
      <c r="U40" s="814"/>
      <c r="V40" s="2878"/>
      <c r="W40" s="2877"/>
      <c r="X40" s="2495" t="s">
        <v>655</v>
      </c>
      <c r="Y40" s="2495" t="s">
        <v>656</v>
      </c>
      <c r="Z40" s="2877"/>
      <c r="AA40" s="2495" t="s">
        <v>657</v>
      </c>
      <c r="AB40" s="2495" t="s">
        <v>658</v>
      </c>
      <c r="AC40" s="2001" t="s">
        <v>562</v>
      </c>
      <c r="AD40" s="2782" t="s">
        <v>563</v>
      </c>
      <c r="AE40" s="2783"/>
      <c r="AF40" s="2791"/>
      <c r="AG40" s="2878"/>
      <c r="AH40" s="2877"/>
      <c r="AI40" s="2495" t="s">
        <v>655</v>
      </c>
      <c r="AJ40" s="2495" t="s">
        <v>656</v>
      </c>
      <c r="AK40" s="2877"/>
      <c r="AL40" s="2495" t="s">
        <v>657</v>
      </c>
      <c r="AM40" s="2495" t="s">
        <v>658</v>
      </c>
      <c r="AN40" s="2001" t="s">
        <v>562</v>
      </c>
      <c r="AO40" s="2782" t="s">
        <v>563</v>
      </c>
      <c r="AP40" s="2783"/>
      <c r="AQ40" s="2791"/>
      <c r="AR40" s="2794"/>
      <c r="AS40" s="2639"/>
      <c r="AY40" s="1667">
        <v>59</v>
      </c>
    </row>
    <row s="47496" customFormat="1" customHeight="1" ht="11.25" hidden="1">
      <c r="A41" s="1882"/>
      <c r="B41" s="1882"/>
      <c r="C41" s="1882"/>
      <c r="D41" s="1882"/>
      <c r="E41" s="1882"/>
      <c r="F41" s="1882"/>
      <c r="G41" s="1882"/>
      <c r="H41" s="1882"/>
      <c r="I41" s="1882"/>
      <c r="J41" s="1882"/>
      <c r="K41" s="1882"/>
      <c r="L41" s="1876"/>
      <c r="M41" s="1874"/>
      <c r="N41" s="1874"/>
      <c r="O41" s="1874"/>
      <c r="P41" s="1758"/>
      <c r="Q41" s="1759"/>
      <c r="R41" s="1766">
        <v>1</v>
      </c>
      <c r="S41" s="1789" t="s">
        <v>101</v>
      </c>
      <c r="T41" s="1767" t="s">
        <v>105</v>
      </c>
      <c r="U41" s="1757" t="str">
        <f>OFFSET(U41,0,-1)</f>
        <v>2</v>
      </c>
      <c r="V41" s="1994">
        <f>OFFSET(V41,0,-1)+1</f>
        <v>3</v>
      </c>
      <c r="W41" s="2491"/>
      <c r="X41" s="2491"/>
      <c r="Y41" s="2491"/>
      <c r="Z41" s="2491"/>
      <c r="AA41" s="2491"/>
      <c r="AB41" s="1994">
        <f>OFFSET(AB41,0,-1)+1</f>
        <v>1</v>
      </c>
      <c r="AC41" s="1994">
        <f>OFFSET(AC41,0,-1)+1</f>
        <v>2</v>
      </c>
      <c r="AD41" s="2784">
        <f>OFFSET(AD41,0,-1)+1</f>
        <v>3</v>
      </c>
      <c r="AE41" s="2784"/>
      <c r="AF41" s="1994">
        <f>OFFSET(AF41,0,-2)+1</f>
        <v>4</v>
      </c>
      <c r="AG41" s="1994">
        <f>OFFSET(AG41,0,-1)+1</f>
        <v>5</v>
      </c>
      <c r="AH41" s="2491"/>
      <c r="AI41" s="2491"/>
      <c r="AJ41" s="2491"/>
      <c r="AK41" s="2491"/>
      <c r="AL41" s="2491"/>
      <c r="AM41" s="1994">
        <f>OFFSET(AM41,0,-1)+1</f>
        <v>1</v>
      </c>
      <c r="AN41" s="1994">
        <f>OFFSET(AN41,0,-1)+1</f>
        <v>2</v>
      </c>
      <c r="AO41" s="2784">
        <f>OFFSET(AO41,0,-1)+1</f>
        <v>3</v>
      </c>
      <c r="AP41" s="2784"/>
      <c r="AQ41" s="1994">
        <f>OFFSET(AQ41,0,-2)+1</f>
        <v>4</v>
      </c>
      <c r="AR41" s="1757">
        <f>OFFSET(AR41,0,-1)</f>
        <v>4</v>
      </c>
      <c r="AS41" s="1994">
        <f>OFFSET(AS41,0,-1)+1</f>
        <v>5</v>
      </c>
      <c r="AT41" s="1023"/>
      <c r="AU41" s="1023"/>
      <c r="AV41" s="1023"/>
      <c r="AW41" s="1023"/>
      <c r="AX41" s="1023"/>
      <c r="AY41" s="1008">
        <v>0</v>
      </c>
    </row>
    <row customHeight="1" ht="24">
      <c r="A42" s="1875" t="s">
        <v>305</v>
      </c>
      <c r="B42" s="1875"/>
      <c r="C42" s="1875"/>
      <c r="D42" s="1875"/>
      <c r="E42" s="2770">
        <v>1</v>
      </c>
      <c r="F42" s="1875"/>
      <c r="G42" s="1875"/>
      <c r="H42" s="1875"/>
      <c r="I42" s="1875"/>
      <c r="J42" s="1875"/>
      <c r="K42" s="1875"/>
      <c r="L42" s="1876"/>
      <c r="M42" s="1877"/>
      <c r="N42" s="1877"/>
      <c r="O42" s="1877"/>
      <c r="P42" s="873"/>
      <c r="Q42" s="872"/>
      <c r="R42" s="867"/>
      <c r="S42" s="2005">
        <f>INDEX(PT_DIFFERENTIATION_NUM_NTAR,MATCH(A42,PT_DIFFERENTIATION_NTAR_ID,0))</f>
        <v>0</v>
      </c>
      <c r="T42" s="810" t="s">
        <v>179</v>
      </c>
      <c r="U42" s="812"/>
      <c r="V42" s="2754"/>
      <c r="W42" s="2755"/>
      <c r="X42" s="2755"/>
      <c r="Y42" s="2755"/>
      <c r="Z42" s="2755"/>
      <c r="AA42" s="2755"/>
      <c r="AB42" s="2755"/>
      <c r="AC42" s="2755"/>
      <c r="AD42" s="2755"/>
      <c r="AE42" s="2755"/>
      <c r="AF42" s="2756"/>
      <c r="AG42" s="2754" t="str">
        <f>INDEX(PT_DIFFERENTIATION_NTAR,MATCH(A42,PT_DIFFERENTIATION_NTAR_ID,0))</f>
        <v/>
      </c>
      <c r="AH42" s="2755"/>
      <c r="AI42" s="2755"/>
      <c r="AJ42" s="2755"/>
      <c r="AK42" s="2755"/>
      <c r="AL42" s="2755"/>
      <c r="AM42" s="2755"/>
      <c r="AN42" s="2755"/>
      <c r="AO42" s="2755"/>
      <c r="AP42" s="2755"/>
      <c r="AQ42" s="2755"/>
      <c r="AR42" s="2756"/>
      <c r="AS42"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1012"/>
      <c r="AV42" s="1012" t="str">
        <f>IF(T42="","",T42)</f>
        <v>Наименование тарифа</v>
      </c>
      <c r="AW42" s="1012"/>
      <c r="AX42" s="1012"/>
      <c r="AY42" s="1667">
        <v>23</v>
      </c>
    </row>
    <row customHeight="1" ht="24">
      <c r="A43" s="1875" t="s">
        <v>305</v>
      </c>
      <c r="B43" s="1875" t="s">
        <v>306</v>
      </c>
      <c r="C43" s="1875"/>
      <c r="D43" s="1875"/>
      <c r="E43" s="2771"/>
      <c r="F43" s="2770">
        <v>1</v>
      </c>
      <c r="G43" s="1875"/>
      <c r="H43" s="1875"/>
      <c r="I43" s="1875"/>
      <c r="J43" s="1875"/>
      <c r="K43" s="1875"/>
      <c r="L43" s="1876"/>
      <c r="M43" s="1877"/>
      <c r="N43" s="1877"/>
      <c r="O43" s="1877"/>
      <c r="P43" s="1999"/>
      <c r="Q43" s="864"/>
      <c r="R43" s="865"/>
      <c r="S43" s="2005" t="str">
        <f>INDEX(PT_DIFFERENTIATION_NUM_TER,MATCH(B43,PT_DIFFERENTIATION_TER_ID,0))</f>
        <v>.</v>
      </c>
      <c r="T43" s="820" t="s">
        <v>515</v>
      </c>
      <c r="U43" s="812"/>
      <c r="V43" s="2754"/>
      <c r="W43" s="2755"/>
      <c r="X43" s="2755"/>
      <c r="Y43" s="2755"/>
      <c r="Z43" s="2755"/>
      <c r="AA43" s="2755"/>
      <c r="AB43" s="2755"/>
      <c r="AC43" s="2755"/>
      <c r="AD43" s="2755"/>
      <c r="AE43" s="2755"/>
      <c r="AF43" s="2756"/>
      <c r="AG43" s="2754" t="str">
        <f>INDEX(PT_DIFFERENTIATION_TER,MATCH(B43,PT_DIFFERENTIATION_TER_ID,0))</f>
        <v/>
      </c>
      <c r="AH43" s="2755"/>
      <c r="AI43" s="2755"/>
      <c r="AJ43" s="2755"/>
      <c r="AK43" s="2755"/>
      <c r="AL43" s="2755"/>
      <c r="AM43" s="2755"/>
      <c r="AN43" s="2755"/>
      <c r="AO43" s="2755"/>
      <c r="AP43" s="2755"/>
      <c r="AQ43" s="2755"/>
      <c r="AR43" s="2756"/>
      <c r="AS43" s="1770" t="s">
        <v>516</v>
      </c>
      <c r="AU43" s="1012"/>
      <c r="AV43" s="1012" t="str">
        <f>IF(T43="","",T43)</f>
        <v>Территория действия тарифа</v>
      </c>
      <c r="AW43" s="1012"/>
      <c r="AX43" s="1012"/>
      <c r="AY43" s="1667">
        <v>23</v>
      </c>
    </row>
    <row customHeight="1" ht="24">
      <c r="A44" s="1875" t="s">
        <v>305</v>
      </c>
      <c r="B44" s="1875" t="s">
        <v>306</v>
      </c>
      <c r="C44" s="1875" t="s">
        <v>307</v>
      </c>
      <c r="D44" s="1875"/>
      <c r="E44" s="2771"/>
      <c r="F44" s="2771"/>
      <c r="G44" s="2770">
        <v>1</v>
      </c>
      <c r="H44" s="1875"/>
      <c r="I44" s="1875"/>
      <c r="J44" s="1875"/>
      <c r="K44" s="1875"/>
      <c r="L44" s="1876"/>
      <c r="M44" s="1877"/>
      <c r="N44" s="1877"/>
      <c r="O44" s="1877"/>
      <c r="P44" s="866"/>
      <c r="Q44" s="864"/>
      <c r="R44" s="865"/>
      <c r="S44" s="2005" t="str">
        <f>INDEX(PT_DIFFERENTIATION_NUM_CS,MATCH(C44,PT_DIFFERENTIATION_CS_ID,0))</f>
        <v>..</v>
      </c>
      <c r="T44" s="821" t="s">
        <v>647</v>
      </c>
      <c r="U44" s="812"/>
      <c r="V44" s="2754"/>
      <c r="W44" s="2755"/>
      <c r="X44" s="2755"/>
      <c r="Y44" s="2755"/>
      <c r="Z44" s="2755"/>
      <c r="AA44" s="2755"/>
      <c r="AB44" s="2755"/>
      <c r="AC44" s="2755"/>
      <c r="AD44" s="2755"/>
      <c r="AE44" s="2755"/>
      <c r="AF44" s="2756"/>
      <c r="AG44" s="2754" t="str">
        <f>INDEX(PT_DIFFERENTIATION_CS,MATCH(C44,PT_DIFFERENTIATION_CS_ID,0))</f>
        <v/>
      </c>
      <c r="AH44" s="2755"/>
      <c r="AI44" s="2755"/>
      <c r="AJ44" s="2755"/>
      <c r="AK44" s="2755"/>
      <c r="AL44" s="2755"/>
      <c r="AM44" s="2755"/>
      <c r="AN44" s="2755"/>
      <c r="AO44" s="2755"/>
      <c r="AP44" s="2755"/>
      <c r="AQ44" s="2755"/>
      <c r="AR44" s="2756"/>
      <c r="AS44" s="1770" t="s">
        <v>648</v>
      </c>
      <c r="AU44" s="1012"/>
      <c r="AV44" s="1012" t="str">
        <f>IF(T44="","",T44)</f>
        <v>Наименование централизованной системы горячего водоснабжения</v>
      </c>
      <c r="AW44" s="1012"/>
      <c r="AX44" s="1012"/>
      <c r="AY44" s="1667">
        <v>23</v>
      </c>
    </row>
    <row customHeight="1" ht="24">
      <c r="A45" s="1875" t="s">
        <v>305</v>
      </c>
      <c r="B45" s="1875" t="s">
        <v>306</v>
      </c>
      <c r="C45" s="1875" t="s">
        <v>307</v>
      </c>
      <c r="D45" s="1875" t="s">
        <v>660</v>
      </c>
      <c r="E45" s="2771"/>
      <c r="F45" s="2771"/>
      <c r="G45" s="2771"/>
      <c r="H45" s="2771"/>
      <c r="I45" s="2768" t="str">
        <f>S44&amp;".1"</f>
        <v>...1</v>
      </c>
      <c r="J45" s="1875"/>
      <c r="K45" s="1875"/>
      <c r="L45" s="1876"/>
      <c r="P45" s="2769">
        <v>1</v>
      </c>
      <c r="Q45" s="1993"/>
      <c r="R45" s="868"/>
      <c r="S45" s="2005" t="str">
        <f>$I45</f>
        <v>...1</v>
      </c>
      <c r="T45" s="797" t="s">
        <v>598</v>
      </c>
      <c r="U45" s="812"/>
      <c r="V45" s="2862"/>
      <c r="W45" s="2863"/>
      <c r="X45" s="2863"/>
      <c r="Y45" s="2863"/>
      <c r="Z45" s="2863"/>
      <c r="AA45" s="2863"/>
      <c r="AB45" s="2863"/>
      <c r="AC45" s="2863"/>
      <c r="AD45" s="2863"/>
      <c r="AE45" s="2863"/>
      <c r="AF45" s="2864"/>
      <c r="AG45" s="2865"/>
      <c r="AH45" s="2866"/>
      <c r="AI45" s="2866"/>
      <c r="AJ45" s="2866"/>
      <c r="AK45" s="2866"/>
      <c r="AL45" s="2866"/>
      <c r="AM45" s="2866"/>
      <c r="AN45" s="2866"/>
      <c r="AO45" s="2866"/>
      <c r="AP45" s="2866"/>
      <c r="AQ45" s="2866"/>
      <c r="AR45" s="2867"/>
      <c r="AS45" s="1770" t="s">
        <v>599</v>
      </c>
      <c r="AU45" s="1012"/>
      <c r="AV45" s="1012" t="str">
        <f>IF(T45="","",T45)</f>
        <v>Наименование признака дифференциации</v>
      </c>
      <c r="AW45" s="1012"/>
      <c r="AX45" s="1012"/>
      <c r="AY45" s="1667">
        <v>23</v>
      </c>
    </row>
    <row customHeight="1" ht="24">
      <c r="A46" s="1875" t="s">
        <v>305</v>
      </c>
      <c r="B46" s="1875" t="s">
        <v>306</v>
      </c>
      <c r="C46" s="1875" t="s">
        <v>307</v>
      </c>
      <c r="D46" s="1875" t="s">
        <v>660</v>
      </c>
      <c r="E46" s="2771"/>
      <c r="F46" s="2771"/>
      <c r="G46" s="2771"/>
      <c r="H46" s="2771"/>
      <c r="I46" s="2798"/>
      <c r="J46" s="2768" t="str">
        <f>I45&amp;".1"</f>
        <v>...1.1</v>
      </c>
      <c r="K46" s="1875"/>
      <c r="L46" s="1876" t="s">
        <v>524</v>
      </c>
      <c r="P46" s="2769"/>
      <c r="Q46" s="2769">
        <v>1</v>
      </c>
      <c r="R46" s="869"/>
      <c r="S46" s="2005" t="str">
        <f>$J46</f>
        <v>...1.1</v>
      </c>
      <c r="T46" s="798" t="s">
        <v>525</v>
      </c>
      <c r="U46" s="812"/>
      <c r="V46" s="2757"/>
      <c r="W46" s="2758"/>
      <c r="X46" s="2758"/>
      <c r="Y46" s="2758"/>
      <c r="Z46" s="2758"/>
      <c r="AA46" s="2758"/>
      <c r="AB46" s="2758"/>
      <c r="AC46" s="2758"/>
      <c r="AD46" s="2758"/>
      <c r="AE46" s="2758"/>
      <c r="AF46" s="2759"/>
      <c r="AG46" s="2757"/>
      <c r="AH46" s="2758"/>
      <c r="AI46" s="2758"/>
      <c r="AJ46" s="2758"/>
      <c r="AK46" s="2758"/>
      <c r="AL46" s="2758"/>
      <c r="AM46" s="2758"/>
      <c r="AN46" s="2758"/>
      <c r="AO46" s="2758"/>
      <c r="AP46" s="2758"/>
      <c r="AQ46" s="2758"/>
      <c r="AR46" s="2759"/>
      <c r="AS46" s="1819" t="s">
        <v>600</v>
      </c>
      <c r="AU46" s="1012"/>
      <c r="AV46" s="1012" t="str">
        <f>IF(T46="","",T46)</f>
        <v>Группа потребителей</v>
      </c>
      <c r="AW46" s="1012"/>
      <c r="AX46" s="1012"/>
      <c r="AY46" s="1667">
        <v>23</v>
      </c>
    </row>
    <row customHeight="1" ht="24">
      <c r="A47" s="1875" t="s">
        <v>305</v>
      </c>
      <c r="B47" s="1875" t="s">
        <v>306</v>
      </c>
      <c r="C47" s="1875" t="s">
        <v>307</v>
      </c>
      <c r="D47" s="1875" t="s">
        <v>660</v>
      </c>
      <c r="E47" s="2771"/>
      <c r="F47" s="2771"/>
      <c r="G47" s="2771"/>
      <c r="H47" s="2771"/>
      <c r="I47" s="2798"/>
      <c r="J47" s="2798"/>
      <c r="K47" s="2768" t="str">
        <f>J46&amp;".1"</f>
        <v>...1.1.1</v>
      </c>
      <c r="L47" s="1876"/>
      <c r="P47" s="2769"/>
      <c r="Q47" s="2769"/>
      <c r="R47" s="869">
        <v>1</v>
      </c>
      <c r="S47" s="2005" t="str">
        <f>$K47</f>
        <v>...1.1.1</v>
      </c>
      <c r="T47" s="1949"/>
      <c r="U47" s="812"/>
      <c r="V47" s="1872"/>
      <c r="W47" s="1872"/>
      <c r="X47" s="1872"/>
      <c r="Y47" s="1872"/>
      <c r="Z47" s="1872"/>
      <c r="AA47" s="1872"/>
      <c r="AB47" s="1873"/>
      <c r="AC47" s="2779"/>
      <c r="AD47" s="2780" t="s">
        <v>63</v>
      </c>
      <c r="AE47" s="2779"/>
      <c r="AF47" s="2780" t="s">
        <v>63</v>
      </c>
      <c r="AG47" s="1263"/>
      <c r="AH47" s="1263"/>
      <c r="AI47" s="1263"/>
      <c r="AJ47" s="1263"/>
      <c r="AK47" s="1263"/>
      <c r="AL47" s="1263"/>
      <c r="AM47" s="1769"/>
      <c r="AN47" s="2777"/>
      <c r="AO47" s="2619" t="s">
        <v>63</v>
      </c>
      <c r="AP47" s="2799"/>
      <c r="AQ47" s="2619" t="s">
        <v>19</v>
      </c>
      <c r="AR47" s="1950"/>
      <c r="AS47" s="28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1023">
        <f>STRCHECKDATE(V48:AR48)</f>
      </c>
      <c r="AU47" s="1012"/>
      <c r="AV47" s="1012" t="str">
        <f>IF(T47="","",T47)</f>
        <v/>
      </c>
      <c r="AW47" s="1012"/>
      <c r="AX47" s="1012"/>
      <c r="AY47" s="1667">
        <v>23</v>
      </c>
    </row>
    <row customHeight="1" ht="0">
      <c r="A48" s="1875" t="s">
        <v>305</v>
      </c>
      <c r="B48" s="1875" t="s">
        <v>306</v>
      </c>
      <c r="C48" s="1875" t="s">
        <v>307</v>
      </c>
      <c r="D48" s="1875" t="s">
        <v>660</v>
      </c>
      <c r="E48" s="2771"/>
      <c r="F48" s="2771"/>
      <c r="G48" s="2771"/>
      <c r="H48" s="2771"/>
      <c r="I48" s="2798"/>
      <c r="J48" s="2798"/>
      <c r="K48" s="2768"/>
      <c r="L48" s="1876"/>
      <c r="P48" s="2769"/>
      <c r="Q48" s="2769"/>
      <c r="R48" s="869"/>
      <c r="S48" s="2002"/>
      <c r="T48" s="812"/>
      <c r="U48" s="812"/>
      <c r="V48" s="1872"/>
      <c r="W48" s="1872"/>
      <c r="X48" s="1872"/>
      <c r="Y48" s="1872"/>
      <c r="Z48" s="1872"/>
      <c r="AA48" s="1872"/>
      <c r="AB48" s="840" t="str">
        <f>AC47&amp;"-"&amp;AE47</f>
        <v>-</v>
      </c>
      <c r="AC48" s="2780"/>
      <c r="AD48" s="2780"/>
      <c r="AE48" s="2780"/>
      <c r="AF48" s="2780"/>
      <c r="AG48" s="837"/>
      <c r="AH48" s="837"/>
      <c r="AI48" s="837"/>
      <c r="AJ48" s="837"/>
      <c r="AK48" s="837"/>
      <c r="AL48" s="837"/>
      <c r="AM48" s="840" t="str">
        <f>AN47&amp;"-"&amp;AP47</f>
        <v>-</v>
      </c>
      <c r="AN48" s="2778"/>
      <c r="AO48" s="2619"/>
      <c r="AP48" s="2800"/>
      <c r="AQ48" s="2619"/>
      <c r="AR48" s="1951"/>
      <c r="AS48" s="2861"/>
      <c r="AU48" s="1012"/>
      <c r="AV48" s="1012" t="str">
        <f>IF(T48="","",T48)</f>
        <v/>
      </c>
      <c r="AW48" s="1012"/>
      <c r="AX48" s="1012"/>
      <c r="AY48" s="1667">
        <v>0</v>
      </c>
    </row>
    <row customHeight="1" ht="21">
      <c r="A49" s="1875" t="s">
        <v>305</v>
      </c>
      <c r="B49" s="1875" t="s">
        <v>306</v>
      </c>
      <c r="C49" s="1875" t="s">
        <v>307</v>
      </c>
      <c r="D49" s="1875" t="s">
        <v>660</v>
      </c>
      <c r="E49" s="2771"/>
      <c r="F49" s="2771"/>
      <c r="G49" s="2771"/>
      <c r="H49" s="2771"/>
      <c r="I49" s="2798"/>
      <c r="J49" s="2768"/>
      <c r="K49" s="1875"/>
      <c r="L49" s="1876"/>
      <c r="P49" s="2769"/>
      <c r="Q49" s="2769"/>
      <c r="R49" s="868"/>
      <c r="S49" s="1790"/>
      <c r="T49" s="799" t="s">
        <v>601</v>
      </c>
      <c r="U49" s="879"/>
      <c r="V49" s="879"/>
      <c r="W49" s="1112"/>
      <c r="X49" s="1112"/>
      <c r="Y49" s="1112"/>
      <c r="Z49" s="1112"/>
      <c r="AA49" s="1112"/>
      <c r="AB49" s="879"/>
      <c r="AC49" s="879"/>
      <c r="AD49" s="879"/>
      <c r="AE49" s="879"/>
      <c r="AF49" s="879"/>
      <c r="AG49" s="879"/>
      <c r="AH49" s="1112"/>
      <c r="AI49" s="1112"/>
      <c r="AJ49" s="1112"/>
      <c r="AK49" s="1112"/>
      <c r="AL49" s="1112"/>
      <c r="AM49" s="879"/>
      <c r="AN49" s="879"/>
      <c r="AO49" s="879"/>
      <c r="AP49" s="879"/>
      <c r="AQ49" s="879"/>
      <c r="AR49" s="879"/>
      <c r="AS49" s="1770" t="s">
        <v>602</v>
      </c>
      <c r="AU49" s="1012"/>
      <c r="AV49" s="1012" t="str">
        <f>IF(T49="","",T49)</f>
        <v>Добавить значение признака дифференциации</v>
      </c>
      <c r="AW49" s="1012"/>
      <c r="AX49" s="1012"/>
      <c r="AY49" s="1667">
        <v>20</v>
      </c>
    </row>
    <row customHeight="1" ht="22.049999999999997">
      <c r="A50" s="1875" t="s">
        <v>305</v>
      </c>
      <c r="B50" s="1875" t="s">
        <v>306</v>
      </c>
      <c r="C50" s="1875" t="s">
        <v>307</v>
      </c>
      <c r="D50" s="1875" t="s">
        <v>660</v>
      </c>
      <c r="E50" s="2771"/>
      <c r="F50" s="2771"/>
      <c r="G50" s="2771"/>
      <c r="H50" s="2771"/>
      <c r="I50" s="2768"/>
      <c r="J50" s="1875"/>
      <c r="K50" s="1875"/>
      <c r="L50" s="1876"/>
      <c r="P50" s="2769"/>
      <c r="Q50" s="1993"/>
      <c r="R50" s="868"/>
      <c r="S50" s="1790"/>
      <c r="T50" s="877" t="s">
        <v>530</v>
      </c>
      <c r="U50" s="879"/>
      <c r="V50" s="879"/>
      <c r="W50" s="1112"/>
      <c r="X50" s="1112"/>
      <c r="Y50" s="1112"/>
      <c r="Z50" s="1112"/>
      <c r="AA50" s="1112"/>
      <c r="AB50" s="879"/>
      <c r="AC50" s="879"/>
      <c r="AD50" s="879"/>
      <c r="AE50" s="879"/>
      <c r="AF50" s="878"/>
      <c r="AG50" s="879"/>
      <c r="AH50" s="1112"/>
      <c r="AI50" s="1112"/>
      <c r="AJ50" s="1112"/>
      <c r="AK50" s="1112"/>
      <c r="AL50" s="1112"/>
      <c r="AM50" s="879"/>
      <c r="AN50" s="879"/>
      <c r="AO50" s="879"/>
      <c r="AP50" s="879"/>
      <c r="AQ50" s="878"/>
      <c r="AR50" s="879"/>
      <c r="AS50" s="1952"/>
      <c r="AU50" s="1012"/>
      <c r="AV50" s="1012" t="str">
        <f>IF(T50="","",T50)</f>
        <v>Добавить группу потребителей</v>
      </c>
      <c r="AW50" s="1012"/>
      <c r="AX50" s="1012"/>
      <c r="AY50" s="1667">
        <v>21</v>
      </c>
    </row>
    <row customHeight="1" ht="22.049999999999997">
      <c r="A51" s="1875" t="s">
        <v>305</v>
      </c>
      <c r="B51" s="1875" t="s">
        <v>306</v>
      </c>
      <c r="C51" s="1875" t="s">
        <v>307</v>
      </c>
      <c r="D51" s="1875" t="s">
        <v>660</v>
      </c>
      <c r="E51" s="2771"/>
      <c r="F51" s="2771"/>
      <c r="G51" s="2771"/>
      <c r="H51" s="2770"/>
      <c r="I51" s="1875"/>
      <c r="J51" s="1875"/>
      <c r="K51" s="1875"/>
      <c r="L51" s="1876"/>
      <c r="M51" s="1877"/>
      <c r="N51" s="1877"/>
      <c r="O51" s="1049"/>
      <c r="P51" s="872"/>
      <c r="Q51" s="887"/>
      <c r="R51" s="867"/>
      <c r="S51" s="1790"/>
      <c r="T51" s="884" t="s">
        <v>603</v>
      </c>
      <c r="U51" s="879"/>
      <c r="V51" s="879"/>
      <c r="W51" s="1112"/>
      <c r="X51" s="1112"/>
      <c r="Y51" s="1112"/>
      <c r="Z51" s="1112"/>
      <c r="AA51" s="1112"/>
      <c r="AB51" s="879"/>
      <c r="AC51" s="879"/>
      <c r="AD51" s="879"/>
      <c r="AE51" s="879"/>
      <c r="AF51" s="878"/>
      <c r="AG51" s="879"/>
      <c r="AH51" s="1112"/>
      <c r="AI51" s="1112"/>
      <c r="AJ51" s="1112"/>
      <c r="AK51" s="1112"/>
      <c r="AL51" s="1112"/>
      <c r="AM51" s="879"/>
      <c r="AN51" s="879"/>
      <c r="AO51" s="879"/>
      <c r="AP51" s="879"/>
      <c r="AQ51" s="878"/>
      <c r="AR51" s="879"/>
      <c r="AS51" s="815"/>
      <c r="AU51" s="1012"/>
      <c r="AV51" s="1012" t="str">
        <f>IF(T51="","",T51)</f>
        <v>Добавить наименование признака дифференциации</v>
      </c>
      <c r="AW51" s="1012"/>
      <c r="AX51" s="1012"/>
      <c r="AY51" s="1667">
        <v>21</v>
      </c>
    </row>
    <row s="46890" customFormat="1" customHeight="1" ht="0">
      <c r="A52" s="1855" t="s">
        <v>305</v>
      </c>
      <c r="B52" s="1855" t="s">
        <v>306</v>
      </c>
      <c r="C52" s="1826"/>
      <c r="D52" s="1826"/>
      <c r="E52" s="2771"/>
      <c r="F52" s="2770"/>
      <c r="G52" s="1826"/>
      <c r="H52" s="1826"/>
      <c r="I52" s="1826"/>
      <c r="J52" s="1826"/>
      <c r="K52" s="1826"/>
      <c r="L52" s="2006"/>
      <c r="M52" s="1833"/>
      <c r="N52" s="1833"/>
      <c r="P52" s="1828"/>
      <c r="Q52" s="1829"/>
      <c r="R52" s="1828"/>
      <c r="S52" s="1834"/>
      <c r="T52" s="1837" t="s">
        <v>321</v>
      </c>
      <c r="U52" s="1836"/>
      <c r="V52" s="1836"/>
      <c r="W52" s="1836"/>
      <c r="X52" s="1836"/>
      <c r="Y52" s="1836"/>
      <c r="Z52" s="1836"/>
      <c r="AA52" s="1836"/>
      <c r="AB52" s="1836"/>
      <c r="AC52" s="1836"/>
      <c r="AD52" s="1836"/>
      <c r="AE52" s="1836"/>
      <c r="AF52" s="1836"/>
      <c r="AG52" s="1836"/>
      <c r="AH52" s="1836"/>
      <c r="AI52" s="1836"/>
      <c r="AJ52" s="1836"/>
      <c r="AK52" s="1836"/>
      <c r="AL52" s="1836"/>
      <c r="AM52" s="1836"/>
      <c r="AN52" s="1836"/>
      <c r="AO52" s="1836"/>
      <c r="AP52" s="1836"/>
      <c r="AQ52" s="1836"/>
      <c r="AR52" s="1836"/>
      <c r="AS52" s="1836"/>
      <c r="AU52" s="1301"/>
      <c r="AV52" s="1301" t="str">
        <f>IF(T52="","",T52)</f>
        <v>Добавить централизованную систему для дифференциации</v>
      </c>
      <c r="AW52" s="1301"/>
      <c r="AX52" s="1301"/>
      <c r="AY52" s="1030">
        <v>0</v>
      </c>
    </row>
    <row s="46890" customFormat="1" customHeight="1" ht="0">
      <c r="A53" s="1855" t="s">
        <v>305</v>
      </c>
      <c r="B53" s="1855"/>
      <c r="C53" s="1855"/>
      <c r="D53" s="1855"/>
      <c r="E53" s="2770"/>
      <c r="F53" s="1855"/>
      <c r="G53" s="1855"/>
      <c r="H53" s="1855"/>
      <c r="I53" s="1855"/>
      <c r="J53" s="1855"/>
      <c r="K53" s="1855"/>
      <c r="L53" s="1858"/>
      <c r="M53" s="1833"/>
      <c r="N53" s="1833"/>
      <c r="O53" s="1030"/>
      <c r="P53" s="892"/>
      <c r="Q53" s="1856"/>
      <c r="R53" s="892"/>
      <c r="S53" s="1834"/>
      <c r="T53" s="1837" t="s">
        <v>385</v>
      </c>
      <c r="U53" s="1836"/>
      <c r="V53" s="1836"/>
      <c r="W53" s="1836"/>
      <c r="X53" s="1836"/>
      <c r="Y53" s="1836"/>
      <c r="Z53" s="1836"/>
      <c r="AA53" s="1836"/>
      <c r="AB53" s="1836"/>
      <c r="AC53" s="1836"/>
      <c r="AD53" s="1836"/>
      <c r="AE53" s="1836"/>
      <c r="AF53" s="1836"/>
      <c r="AG53" s="1836"/>
      <c r="AH53" s="1836"/>
      <c r="AI53" s="1836"/>
      <c r="AJ53" s="1836"/>
      <c r="AK53" s="1836"/>
      <c r="AL53" s="1836"/>
      <c r="AM53" s="1836"/>
      <c r="AN53" s="1836"/>
      <c r="AO53" s="1836"/>
      <c r="AP53" s="1836"/>
      <c r="AQ53" s="1836"/>
      <c r="AR53" s="1836"/>
      <c r="AS53" s="1836"/>
      <c r="AU53" s="1012"/>
      <c r="AV53" s="1012" t="str">
        <f>IF(T53="","",T53)</f>
        <v>Добавить территорию для дифференциации</v>
      </c>
      <c r="AW53" s="1012"/>
      <c r="AX53" s="1012"/>
      <c r="AY53" s="1023">
        <v>0</v>
      </c>
    </row>
    <row s="46890" customFormat="1" customHeight="1" ht="0">
      <c r="A54" s="1826"/>
      <c r="B54" s="1826"/>
      <c r="C54" s="1826"/>
      <c r="D54" s="1826"/>
      <c r="E54" s="1855"/>
      <c r="F54" s="1826"/>
      <c r="G54" s="1826"/>
      <c r="H54" s="1826"/>
      <c r="I54" s="1826"/>
      <c r="J54" s="1826"/>
      <c r="K54" s="1826"/>
      <c r="L54" s="2006"/>
      <c r="M54" s="1833"/>
      <c r="N54" s="1833"/>
      <c r="P54" s="1828"/>
      <c r="Q54" s="1829"/>
      <c r="R54" s="1828"/>
      <c r="S54" s="1834"/>
      <c r="T54" s="1837" t="s">
        <v>386</v>
      </c>
      <c r="U54" s="1836"/>
      <c r="V54" s="1836"/>
      <c r="W54" s="1836"/>
      <c r="X54" s="1836"/>
      <c r="Y54" s="1836"/>
      <c r="Z54" s="1836"/>
      <c r="AA54" s="1836"/>
      <c r="AB54" s="1836"/>
      <c r="AC54" s="1836"/>
      <c r="AD54" s="1836"/>
      <c r="AE54" s="1836"/>
      <c r="AF54" s="1836"/>
      <c r="AG54" s="1836"/>
      <c r="AH54" s="1836"/>
      <c r="AI54" s="1836"/>
      <c r="AJ54" s="1836"/>
      <c r="AK54" s="1836"/>
      <c r="AL54" s="1836"/>
      <c r="AM54" s="1836"/>
      <c r="AN54" s="1836"/>
      <c r="AO54" s="1836"/>
      <c r="AP54" s="1836"/>
      <c r="AQ54" s="1836"/>
      <c r="AR54" s="1836"/>
      <c r="AS54" s="1836"/>
      <c r="AU54" s="1301"/>
      <c r="AV54" s="1301" t="str">
        <f>IF(T54="","",T54)</f>
        <v>Добавить наименование тарифа</v>
      </c>
      <c r="AW54" s="1301"/>
      <c r="AX54" s="1301"/>
      <c r="AY54" s="1030">
        <v>0</v>
      </c>
    </row>
    <row customHeight="1" ht="11.549999999999999">
      <c r="M55" s="1672"/>
      <c r="N55" s="1672"/>
      <c r="O55" s="1049"/>
      <c r="P55" s="1667"/>
      <c r="Q55" s="1667"/>
      <c r="R55" s="1667"/>
      <c r="S55" s="1667"/>
      <c r="AT55" s="1667"/>
      <c r="AU55" s="1667"/>
      <c r="AV55" s="1667"/>
      <c r="AW55" s="1667"/>
      <c r="AX55" s="1667"/>
      <c r="AY55" s="1667">
        <v>11</v>
      </c>
    </row>
    <row customHeight="1" ht="14.699999999999998">
      <c r="O56" s="1049"/>
      <c r="S56" s="1765"/>
      <c r="T56" s="2797"/>
      <c r="U56" s="2797"/>
      <c r="V56" s="2797"/>
      <c r="W56" s="2797"/>
      <c r="X56" s="2797"/>
      <c r="Y56" s="2797"/>
      <c r="Z56" s="2797"/>
      <c r="AA56" s="2797"/>
      <c r="AB56" s="2797"/>
      <c r="AC56" s="2797"/>
      <c r="AD56" s="2797"/>
      <c r="AE56" s="2797"/>
      <c r="AF56" s="2797"/>
      <c r="AG56" s="2797"/>
      <c r="AH56" s="2797"/>
      <c r="AI56" s="2797"/>
      <c r="AJ56" s="2797"/>
      <c r="AK56" s="2797"/>
      <c r="AL56" s="2797"/>
      <c r="AM56" s="2797"/>
      <c r="AN56" s="2797"/>
      <c r="AO56" s="2797"/>
      <c r="AP56" s="2797"/>
      <c r="AQ56" s="2797"/>
      <c r="AR56" s="2797"/>
      <c r="AS56" s="2797"/>
      <c r="AY56" s="1667">
        <v>14</v>
      </c>
    </row>
    <row customHeight="1" ht="14.699999999999998">
      <c r="O57" s="1049"/>
      <c r="AY57" s="1667">
        <v>14</v>
      </c>
    </row>
    <row customHeight="1" ht="14.699999999999998">
      <c r="O58" s="1049"/>
      <c r="S58" s="1765"/>
      <c r="T58" s="2797"/>
      <c r="U58" s="2797"/>
      <c r="V58" s="2797"/>
      <c r="W58" s="2797"/>
      <c r="X58" s="2797"/>
      <c r="Y58" s="2797"/>
      <c r="Z58" s="2797"/>
      <c r="AA58" s="2797"/>
      <c r="AB58" s="2797"/>
      <c r="AC58" s="2797"/>
      <c r="AD58" s="2797"/>
      <c r="AE58" s="2797"/>
      <c r="AF58" s="2797"/>
      <c r="AG58" s="2797"/>
      <c r="AH58" s="2797"/>
      <c r="AI58" s="2797"/>
      <c r="AJ58" s="2797"/>
      <c r="AK58" s="2797"/>
      <c r="AL58" s="2797"/>
      <c r="AM58" s="2797"/>
      <c r="AN58" s="2797"/>
      <c r="AO58" s="2797"/>
      <c r="AP58" s="2797"/>
      <c r="AQ58" s="2797"/>
      <c r="AR58" s="2797"/>
      <c r="AS58" s="2797"/>
      <c r="AY58" s="1667">
        <v>14</v>
      </c>
    </row>
    <row customHeight="1" ht="22.5" hidden="1">
      <c r="A59" s="1672" t="s">
        <v>84</v>
      </c>
      <c r="B59" s="1672">
        <v>0</v>
      </c>
      <c r="C59" s="1672">
        <v>0</v>
      </c>
      <c r="D59" s="1672">
        <v>0</v>
      </c>
      <c r="E59" s="1672">
        <v>0</v>
      </c>
      <c r="F59" s="1672">
        <v>0</v>
      </c>
      <c r="G59" s="1672">
        <v>0</v>
      </c>
      <c r="H59" s="1672">
        <v>0</v>
      </c>
      <c r="I59" s="1672">
        <v>0</v>
      </c>
      <c r="J59" s="1672">
        <v>0</v>
      </c>
      <c r="K59" s="1672">
        <v>0</v>
      </c>
      <c r="L59" s="1990">
        <v>0</v>
      </c>
      <c r="M59" s="1874">
        <v>0</v>
      </c>
      <c r="N59" s="1874">
        <v>0</v>
      </c>
      <c r="O59" s="1874">
        <v>0</v>
      </c>
      <c r="P59" s="1985">
        <v>3</v>
      </c>
      <c r="Q59" s="856">
        <v>3</v>
      </c>
      <c r="R59" s="856">
        <v>3</v>
      </c>
      <c r="S59" s="1093">
        <v>12</v>
      </c>
      <c r="T59" s="1667">
        <v>35</v>
      </c>
      <c r="U59" s="1667">
        <v>0</v>
      </c>
      <c r="V59" s="1667">
        <v>0</v>
      </c>
      <c r="W59" s="2143">
        <v>0</v>
      </c>
      <c r="X59" s="2143">
        <v>0</v>
      </c>
      <c r="Y59" s="2143">
        <v>0</v>
      </c>
      <c r="Z59" s="2143">
        <v>0</v>
      </c>
      <c r="AA59" s="2143">
        <v>0</v>
      </c>
      <c r="AB59" s="1667">
        <v>0</v>
      </c>
      <c r="AC59" s="1667">
        <v>0</v>
      </c>
      <c r="AD59" s="1667">
        <v>0</v>
      </c>
      <c r="AE59" s="1667">
        <v>0</v>
      </c>
      <c r="AF59" s="1667">
        <v>0</v>
      </c>
      <c r="AG59" s="1667">
        <v>19</v>
      </c>
      <c r="AH59" s="2143">
        <v>19</v>
      </c>
      <c r="AI59" s="2143">
        <v>19</v>
      </c>
      <c r="AJ59" s="2143">
        <v>19</v>
      </c>
      <c r="AK59" s="2143">
        <v>19</v>
      </c>
      <c r="AL59" s="2143">
        <v>19</v>
      </c>
      <c r="AM59" s="1667">
        <v>19</v>
      </c>
      <c r="AN59" s="1667">
        <v>11</v>
      </c>
      <c r="AO59" s="1667">
        <v>3</v>
      </c>
      <c r="AP59" s="1667">
        <v>11</v>
      </c>
      <c r="AQ59" s="1667">
        <v>0</v>
      </c>
      <c r="AR59" s="1667">
        <v>4</v>
      </c>
      <c r="AS59" s="1667">
        <v>115</v>
      </c>
      <c r="AT59" s="1023">
        <v>10</v>
      </c>
      <c r="AU59" s="1023">
        <v>10</v>
      </c>
      <c r="AV59" s="1023">
        <v>10</v>
      </c>
      <c r="AW59" s="1023">
        <v>10</v>
      </c>
      <c r="AX59" s="1023">
        <v>10</v>
      </c>
      <c r="AY59" s="1667">
        <v>23</v>
      </c>
    </row>
  </sheetData>
  <sheetProtection formatColumns="0" formatRows="0" autoFilter="0" sort="0" insertRows="0" insertColumns="1" deleteRows="0" deleteColumns="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DF94B84-D044-B039-78AF-FBE8C5025D39}"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46889" width="11.57421875" hidden="1" customWidth="1"/>
    <col min="2" max="2" style="46889" width="11.00390625" hidden="1" customWidth="1"/>
    <col min="3" max="3" style="46889" width="10.57421875" hidden="1"/>
    <col min="4" max="4" style="46889" width="12.8515625" hidden="1" customWidth="1"/>
    <col min="5" max="5" style="46889" width="10.00390625" hidden="1" customWidth="1"/>
    <col min="6" max="6" style="46889" width="8.7109375" hidden="1" customWidth="1"/>
    <col min="7" max="7" style="46889" width="7.57421875" hidden="1" customWidth="1"/>
    <col min="8" max="8" style="46889" width="11.421875" hidden="1" customWidth="1"/>
    <col min="9" max="9" style="46889" width="12.00390625" hidden="1" customWidth="1"/>
    <col min="10" max="10" style="46889" width="9.8515625" hidden="1" customWidth="1"/>
    <col min="11" max="11" style="46889" width="11.421875" hidden="1" customWidth="1"/>
    <col min="12" max="12" style="47738" width="19.140625" hidden="1" customWidth="1"/>
    <col min="13" max="14" style="47739" width="12.28125" hidden="1" customWidth="1"/>
    <col min="15" max="15" style="47739" width="23.421875" hidden="1" customWidth="1"/>
    <col min="16" max="16" style="47739" width="3.7109375" hidden="1" customWidth="1"/>
    <col min="17" max="17" style="47924" width="3.7109375" hidden="1" customWidth="1"/>
    <col min="18" max="18" style="47741" width="3.00390625" customWidth="1"/>
    <col min="19" max="19" style="47742" width="12.00390625" customWidth="1"/>
    <col min="20" max="20" style="46808" width="31.00390625" customWidth="1"/>
    <col min="21" max="21" style="46808" width="0.140625" customWidth="1"/>
    <col min="22" max="25" style="46808" width="21.7109375" hidden="1" customWidth="1"/>
    <col min="26" max="26" style="46808" width="11.7109375" hidden="1" customWidth="1"/>
    <col min="27" max="27" style="46808" width="3.7109375" hidden="1" customWidth="1"/>
    <col min="28" max="28" style="46808" width="11.7109375" hidden="1" customWidth="1"/>
    <col min="29" max="29" style="46808" width="8.57421875" hidden="1" customWidth="1"/>
    <col min="30" max="30" style="46808" width="3.7109375" customWidth="1"/>
    <col min="31" max="32" style="46808" width="3.00390625" customWidth="1"/>
    <col min="33" max="33" style="46808" width="24.00390625" customWidth="1"/>
    <col min="34" max="34" style="46808" width="3.7109375" customWidth="1"/>
    <col min="35" max="36" style="46808" width="3.00390625" customWidth="1"/>
    <col min="37" max="37" style="46808" width="24.00390625" customWidth="1"/>
    <col min="38" max="38" style="46808" width="3.7109375" customWidth="1"/>
    <col min="39" max="40" style="46808" width="3.00390625" customWidth="1"/>
    <col min="41" max="41" style="46808" width="18.00390625" customWidth="1"/>
    <col min="42" max="42" style="46808" width="3.7109375" customWidth="1"/>
    <col min="43" max="44" style="46808" width="3.00390625" customWidth="1"/>
    <col min="45" max="45" style="46808" width="18.00390625" customWidth="1"/>
    <col min="46" max="49" style="46808" width="21.00390625" customWidth="1"/>
    <col min="50" max="50" style="46808" width="11.00390625" customWidth="1"/>
    <col min="51" max="51" style="46808" width="3.7109375" customWidth="1"/>
    <col min="52" max="52" style="46808" width="11.00390625" customWidth="1"/>
    <col min="53" max="53" style="46808" width="8.57421875" hidden="1" customWidth="1"/>
    <col min="54" max="54" style="46808" width="4.00390625" customWidth="1"/>
    <col min="55" max="55" style="46808" width="115.00390625" customWidth="1"/>
    <col min="56" max="60" style="46890" width="10.00390625" customWidth="1"/>
    <col min="61" max="61" style="46808" width="10.57421875" hidden="1"/>
  </cols>
  <sheetData>
    <row customHeight="1" ht="22.5" hidden="1">
      <c r="W1" s="839"/>
      <c r="Y1" s="839"/>
      <c r="Z1" s="839"/>
      <c r="AW1" s="839"/>
      <c r="AX1" s="839"/>
      <c r="BI1" s="1667" t="s">
        <v>14</v>
      </c>
    </row>
    <row customHeight="1" ht="21" hidden="1">
      <c r="A2" s="1875"/>
      <c r="B2" s="1875"/>
      <c r="C2" s="1875"/>
      <c r="D2" s="1875"/>
      <c r="E2" s="2770">
        <v>1</v>
      </c>
      <c r="F2" s="1875"/>
      <c r="G2" s="1875"/>
      <c r="H2" s="1875"/>
      <c r="I2" s="1875"/>
      <c r="J2" s="1875"/>
      <c r="K2" s="1875"/>
      <c r="L2" s="1876"/>
      <c r="M2" s="1877"/>
      <c r="N2" s="1877"/>
      <c r="O2" s="1877"/>
      <c r="P2" s="1921"/>
      <c r="Q2" s="1385"/>
      <c r="R2" s="867"/>
      <c r="S2" s="2005">
        <f>INDEX(PT_DIFFERENTIATION_NUM_NTAR,MATCH(A2,PT_DIFFERENTIATION_NTAR_ID,0))</f>
      </c>
      <c r="T2" s="810" t="s">
        <v>179</v>
      </c>
      <c r="U2" s="812"/>
      <c r="V2" s="2755"/>
      <c r="W2" s="2755"/>
      <c r="X2" s="2755"/>
      <c r="Y2" s="2755"/>
      <c r="Z2" s="2755"/>
      <c r="AA2" s="2755"/>
      <c r="AB2" s="2755"/>
      <c r="AC2" s="2756"/>
      <c r="AD2" s="2754">
        <f>INDEX(PT_DIFFERENTIATION_NTAR,MATCH(A2,PT_DIFFERENTIATION_NTAR_ID,0))</f>
      </c>
      <c r="AE2" s="2755"/>
      <c r="AF2" s="2755"/>
      <c r="AG2" s="2755"/>
      <c r="AH2" s="2755"/>
      <c r="AI2" s="2755"/>
      <c r="AJ2" s="2755"/>
      <c r="AK2" s="2755"/>
      <c r="AL2" s="2755"/>
      <c r="AM2" s="2755"/>
      <c r="AN2" s="2755"/>
      <c r="AO2" s="2755"/>
      <c r="AP2" s="2755"/>
      <c r="AQ2" s="2755"/>
      <c r="AR2" s="2755"/>
      <c r="AS2" s="2755"/>
      <c r="AT2" s="2755"/>
      <c r="AU2" s="2755"/>
      <c r="AV2" s="2755"/>
      <c r="AW2" s="2755"/>
      <c r="AX2" s="2755"/>
      <c r="AY2" s="2755"/>
      <c r="AZ2" s="2755"/>
      <c r="BA2" s="2755"/>
      <c r="BB2" s="2756"/>
      <c r="BC2"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1012"/>
      <c r="BF2" s="1012" t="str">
        <f>IF(T2="","",T2)</f>
        <v>Наименование тарифа</v>
      </c>
      <c r="BG2" s="1012"/>
      <c r="BH2" s="1012"/>
      <c r="BI2" s="1667">
        <v>0</v>
      </c>
    </row>
    <row customHeight="1" ht="21" hidden="1">
      <c r="A3" s="1875"/>
      <c r="B3" s="1875"/>
      <c r="C3" s="1875"/>
      <c r="D3" s="1875"/>
      <c r="E3" s="2771"/>
      <c r="F3" s="2770">
        <v>1</v>
      </c>
      <c r="G3" s="1875"/>
      <c r="H3" s="1875"/>
      <c r="I3" s="1875"/>
      <c r="J3" s="1875"/>
      <c r="K3" s="1875"/>
      <c r="L3" s="1876"/>
      <c r="M3" s="1877"/>
      <c r="N3" s="1877"/>
      <c r="O3" s="1877"/>
      <c r="P3" s="1922"/>
      <c r="Q3" s="1923"/>
      <c r="R3" s="865"/>
      <c r="S3" s="2005">
        <f>INDEX(PT_DIFFERENTIATION_NUM_TER,MATCH(B3,PT_DIFFERENTIATION_TER_ID,0))</f>
      </c>
      <c r="T3" s="820" t="s">
        <v>515</v>
      </c>
      <c r="U3" s="812"/>
      <c r="V3" s="2755"/>
      <c r="W3" s="2755"/>
      <c r="X3" s="2755"/>
      <c r="Y3" s="2755"/>
      <c r="Z3" s="2755"/>
      <c r="AA3" s="2755"/>
      <c r="AB3" s="2755"/>
      <c r="AC3" s="2756"/>
      <c r="AD3" s="2754">
        <f>INDEX(PT_DIFFERENTIATION_TER,MATCH(B3,PT_DIFFERENTIATION_TER_ID,0))</f>
      </c>
      <c r="AE3" s="2755"/>
      <c r="AF3" s="2755"/>
      <c r="AG3" s="2755"/>
      <c r="AH3" s="2755"/>
      <c r="AI3" s="2755"/>
      <c r="AJ3" s="2755"/>
      <c r="AK3" s="2755"/>
      <c r="AL3" s="2755"/>
      <c r="AM3" s="2755"/>
      <c r="AN3" s="2755"/>
      <c r="AO3" s="2755"/>
      <c r="AP3" s="2755"/>
      <c r="AQ3" s="2755"/>
      <c r="AR3" s="2755"/>
      <c r="AS3" s="2755"/>
      <c r="AT3" s="2755"/>
      <c r="AU3" s="2755"/>
      <c r="AV3" s="2755"/>
      <c r="AW3" s="2755"/>
      <c r="AX3" s="2755"/>
      <c r="AY3" s="2755"/>
      <c r="AZ3" s="2755"/>
      <c r="BA3" s="2755"/>
      <c r="BB3" s="2756"/>
      <c r="BC3" s="1770" t="s">
        <v>516</v>
      </c>
      <c r="BE3" s="1012"/>
      <c r="BF3" s="1012" t="str">
        <f>IF(T3="","",T3)</f>
        <v>Территория действия тарифа</v>
      </c>
      <c r="BG3" s="1012"/>
      <c r="BH3" s="1012"/>
      <c r="BI3" s="1667">
        <v>0</v>
      </c>
    </row>
    <row customHeight="1" ht="33.75" hidden="1">
      <c r="A4" s="1875"/>
      <c r="B4" s="1875"/>
      <c r="C4" s="1875"/>
      <c r="D4" s="1875"/>
      <c r="E4" s="2771"/>
      <c r="F4" s="2771"/>
      <c r="G4" s="2770">
        <v>1</v>
      </c>
      <c r="H4" s="1875"/>
      <c r="I4" s="1875"/>
      <c r="J4" s="1875"/>
      <c r="K4" s="1875"/>
      <c r="L4" s="1876"/>
      <c r="M4" s="1877"/>
      <c r="N4" s="1877"/>
      <c r="O4" s="1877"/>
      <c r="P4" s="1924"/>
      <c r="Q4" s="1923"/>
      <c r="R4" s="865"/>
      <c r="S4" s="2005">
        <f>INDEX(PT_DIFFERENTIATION_NUM_CS,MATCH(C4,PT_DIFFERENTIATION_CS_ID,0))</f>
      </c>
      <c r="T4" s="821" t="s">
        <v>647</v>
      </c>
      <c r="U4" s="812"/>
      <c r="V4" s="2755"/>
      <c r="W4" s="2755"/>
      <c r="X4" s="2755"/>
      <c r="Y4" s="2755"/>
      <c r="Z4" s="2755"/>
      <c r="AA4" s="2755"/>
      <c r="AB4" s="2755"/>
      <c r="AC4" s="2756"/>
      <c r="AD4" s="2754">
        <f>INDEX(PT_DIFFERENTIATION_CS,MATCH(C4,PT_DIFFERENTIATION_CS_ID,0))</f>
      </c>
      <c r="AE4" s="2755"/>
      <c r="AF4" s="2755"/>
      <c r="AG4" s="2755"/>
      <c r="AH4" s="2755"/>
      <c r="AI4" s="2755"/>
      <c r="AJ4" s="2755"/>
      <c r="AK4" s="2755"/>
      <c r="AL4" s="2755"/>
      <c r="AM4" s="2755"/>
      <c r="AN4" s="2755"/>
      <c r="AO4" s="2755"/>
      <c r="AP4" s="2755"/>
      <c r="AQ4" s="2755"/>
      <c r="AR4" s="2755"/>
      <c r="AS4" s="2755"/>
      <c r="AT4" s="2755"/>
      <c r="AU4" s="2755"/>
      <c r="AV4" s="2755"/>
      <c r="AW4" s="2755"/>
      <c r="AX4" s="2755"/>
      <c r="AY4" s="2755"/>
      <c r="AZ4" s="2755"/>
      <c r="BA4" s="2755"/>
      <c r="BB4" s="2756"/>
      <c r="BC4" s="1770" t="s">
        <v>648</v>
      </c>
      <c r="BE4" s="1012"/>
      <c r="BF4" s="1012" t="str">
        <f>IF(T4="","",T4)</f>
        <v>Наименование централизованной системы горячего водоснабжения</v>
      </c>
      <c r="BG4" s="1012"/>
      <c r="BH4" s="1012"/>
      <c r="BI4" s="1667">
        <v>0</v>
      </c>
    </row>
    <row s="46890" customFormat="1" customHeight="1" ht="14.25" hidden="1">
      <c r="A5" s="1855"/>
      <c r="B5" s="1855"/>
      <c r="C5" s="1855"/>
      <c r="D5" s="1855"/>
      <c r="E5" s="2771"/>
      <c r="F5" s="2771"/>
      <c r="G5" s="2771"/>
      <c r="H5" s="2770">
        <v>1</v>
      </c>
      <c r="I5" s="1855"/>
      <c r="J5" s="1855"/>
      <c r="K5" s="1855"/>
      <c r="L5" s="1858"/>
      <c r="M5" s="1827"/>
      <c r="N5" s="1827"/>
      <c r="O5" s="1827"/>
      <c r="P5" s="2009"/>
      <c r="Q5" s="2010"/>
      <c r="R5" s="869"/>
      <c r="S5" s="1554"/>
      <c r="T5" s="2011"/>
      <c r="U5" s="1896"/>
      <c r="V5" s="2809"/>
      <c r="W5" s="2809"/>
      <c r="X5" s="2809"/>
      <c r="Y5" s="2809"/>
      <c r="Z5" s="2809"/>
      <c r="AA5" s="2809"/>
      <c r="AB5" s="2809"/>
      <c r="AC5" s="2810"/>
      <c r="AD5" s="2808"/>
      <c r="AE5" s="2809"/>
      <c r="AF5" s="2809"/>
      <c r="AG5" s="2809"/>
      <c r="AH5" s="2809"/>
      <c r="AI5" s="2809"/>
      <c r="AJ5" s="2809"/>
      <c r="AK5" s="2809"/>
      <c r="AL5" s="2809"/>
      <c r="AM5" s="2809"/>
      <c r="AN5" s="2809"/>
      <c r="AO5" s="2809"/>
      <c r="AP5" s="2809"/>
      <c r="AQ5" s="2809"/>
      <c r="AR5" s="2809"/>
      <c r="AS5" s="2809"/>
      <c r="AT5" s="2809"/>
      <c r="AU5" s="2809"/>
      <c r="AV5" s="2809"/>
      <c r="AW5" s="2809"/>
      <c r="AX5" s="2809"/>
      <c r="AY5" s="2809"/>
      <c r="AZ5" s="2809"/>
      <c r="BA5" s="2809"/>
      <c r="BB5" s="2810"/>
      <c r="BC5" s="1897" t="s">
        <v>520</v>
      </c>
      <c r="BE5" s="1012"/>
      <c r="BF5" s="1012" t="str">
        <f>IF(T5="","",T5)</f>
        <v/>
      </c>
      <c r="BG5" s="1012"/>
      <c r="BH5" s="1012"/>
      <c r="BI5" s="1023">
        <v>0</v>
      </c>
    </row>
    <row s="46890" customFormat="1" customHeight="1" ht="14.25" hidden="1">
      <c r="A6" s="1855"/>
      <c r="B6" s="1855"/>
      <c r="C6" s="1855"/>
      <c r="D6" s="1855"/>
      <c r="E6" s="2771"/>
      <c r="F6" s="2771"/>
      <c r="G6" s="2771"/>
      <c r="H6" s="2771"/>
      <c r="I6" s="2768" t="str">
        <f>S5&amp;".1"</f>
        <v>.1</v>
      </c>
      <c r="J6" s="1855"/>
      <c r="K6" s="1855"/>
      <c r="L6" s="1858" t="s">
        <v>521</v>
      </c>
      <c r="M6" s="1022"/>
      <c r="N6" s="1022"/>
      <c r="O6" s="1022"/>
      <c r="P6" s="2769">
        <v>1</v>
      </c>
      <c r="Q6" s="1993"/>
      <c r="R6" s="868"/>
      <c r="S6" s="1554"/>
      <c r="T6" s="1895"/>
      <c r="U6" s="1896"/>
      <c r="V6" s="2809"/>
      <c r="W6" s="2809"/>
      <c r="X6" s="2809"/>
      <c r="Y6" s="2809"/>
      <c r="Z6" s="2809"/>
      <c r="AA6" s="2809"/>
      <c r="AB6" s="2809"/>
      <c r="AC6" s="2810"/>
      <c r="AD6" s="2808"/>
      <c r="AE6" s="2809"/>
      <c r="AF6" s="2809"/>
      <c r="AG6" s="2809"/>
      <c r="AH6" s="2809"/>
      <c r="AI6" s="2809"/>
      <c r="AJ6" s="2809"/>
      <c r="AK6" s="2809"/>
      <c r="AL6" s="2809"/>
      <c r="AM6" s="2809"/>
      <c r="AN6" s="2809"/>
      <c r="AO6" s="2809"/>
      <c r="AP6" s="2809"/>
      <c r="AQ6" s="2809"/>
      <c r="AR6" s="2809"/>
      <c r="AS6" s="2809"/>
      <c r="AT6" s="2809"/>
      <c r="AU6" s="2809"/>
      <c r="AV6" s="2809"/>
      <c r="AW6" s="2809"/>
      <c r="AX6" s="2809"/>
      <c r="AY6" s="2809"/>
      <c r="AZ6" s="2809"/>
      <c r="BA6" s="2809"/>
      <c r="BB6" s="2810"/>
      <c r="BC6" s="1897"/>
      <c r="BE6" s="1012"/>
      <c r="BF6" s="1012" t="str">
        <f>IF(T6="","",T6)</f>
        <v/>
      </c>
      <c r="BG6" s="1012"/>
      <c r="BH6" s="1012"/>
      <c r="BI6" s="1023">
        <v>0</v>
      </c>
    </row>
    <row s="46890" customFormat="1" customHeight="1" ht="14.25" hidden="1">
      <c r="A7" s="1855"/>
      <c r="B7" s="1855"/>
      <c r="C7" s="1855"/>
      <c r="D7" s="1855"/>
      <c r="E7" s="2771"/>
      <c r="F7" s="2771"/>
      <c r="G7" s="2771"/>
      <c r="H7" s="2771"/>
      <c r="I7" s="2798"/>
      <c r="J7" s="2768" t="str">
        <f>S5&amp;".1"</f>
        <v>.1</v>
      </c>
      <c r="K7" s="1855"/>
      <c r="L7" s="1858"/>
      <c r="M7" s="1022"/>
      <c r="N7" s="1022"/>
      <c r="O7" s="1022"/>
      <c r="P7" s="2769"/>
      <c r="Q7" s="2769">
        <v>1</v>
      </c>
      <c r="R7" s="869"/>
      <c r="S7" s="1554"/>
      <c r="T7" s="1911"/>
      <c r="U7" s="1896"/>
      <c r="V7" s="2809"/>
      <c r="W7" s="2809"/>
      <c r="X7" s="2809"/>
      <c r="Y7" s="2809"/>
      <c r="Z7" s="2809"/>
      <c r="AA7" s="2809"/>
      <c r="AB7" s="2809"/>
      <c r="AC7" s="2810"/>
      <c r="AD7" s="2808"/>
      <c r="AE7" s="2809"/>
      <c r="AF7" s="2809"/>
      <c r="AG7" s="2809"/>
      <c r="AH7" s="2809"/>
      <c r="AI7" s="2809"/>
      <c r="AJ7" s="2809"/>
      <c r="AK7" s="2809"/>
      <c r="AL7" s="2809"/>
      <c r="AM7" s="2809"/>
      <c r="AN7" s="2809"/>
      <c r="AO7" s="2809"/>
      <c r="AP7" s="2809"/>
      <c r="AQ7" s="2809"/>
      <c r="AR7" s="2809"/>
      <c r="AS7" s="2809"/>
      <c r="AT7" s="2809"/>
      <c r="AU7" s="2809"/>
      <c r="AV7" s="2809"/>
      <c r="AW7" s="2809"/>
      <c r="AX7" s="2809"/>
      <c r="AY7" s="2809"/>
      <c r="AZ7" s="2809"/>
      <c r="BA7" s="2809"/>
      <c r="BB7" s="2810"/>
      <c r="BC7" s="1897"/>
      <c r="BE7" s="1012"/>
      <c r="BF7" s="1012" t="str">
        <f>IF(T7="","",T7)</f>
        <v/>
      </c>
      <c r="BG7" s="1012"/>
      <c r="BH7" s="1012"/>
      <c r="BI7" s="1023">
        <v>0</v>
      </c>
    </row>
    <row customHeight="1" ht="11.25" hidden="1">
      <c r="A8" s="1875"/>
      <c r="B8" s="1875"/>
      <c r="C8" s="1875"/>
      <c r="D8" s="1875"/>
      <c r="E8" s="2771"/>
      <c r="F8" s="2771"/>
      <c r="G8" s="2771"/>
      <c r="H8" s="2771"/>
      <c r="I8" s="2798"/>
      <c r="J8" s="2798"/>
      <c r="K8" s="2768">
        <f>S4&amp;".1"</f>
      </c>
      <c r="L8" s="1876"/>
      <c r="P8" s="2769"/>
      <c r="Q8" s="2769"/>
      <c r="R8" s="2859">
        <v>1</v>
      </c>
      <c r="S8" s="2853">
        <f>$K8</f>
      </c>
      <c r="T8" s="2872"/>
      <c r="U8" s="812"/>
      <c r="V8" s="1263"/>
      <c r="W8" s="1769"/>
      <c r="X8" s="1263"/>
      <c r="Y8" s="1769"/>
      <c r="Z8" s="2246"/>
      <c r="AA8" s="1981" t="s">
        <v>63</v>
      </c>
      <c r="AB8" s="2246"/>
      <c r="AC8" s="1981" t="s">
        <v>63</v>
      </c>
      <c r="AD8" s="2697" t="s">
        <v>63</v>
      </c>
      <c r="AE8" s="2838"/>
      <c r="AF8" s="2717">
        <v>1</v>
      </c>
      <c r="AG8" s="2875"/>
      <c r="AH8" s="2619" t="s">
        <v>63</v>
      </c>
      <c r="AI8" s="2838"/>
      <c r="AJ8" s="2717">
        <v>1</v>
      </c>
      <c r="AK8" s="2839" t="s">
        <v>28</v>
      </c>
      <c r="AL8" s="2619" t="s">
        <v>63</v>
      </c>
      <c r="AM8" s="2704"/>
      <c r="AN8" s="2717">
        <v>1</v>
      </c>
      <c r="AO8" s="2869"/>
      <c r="AP8" s="2870" t="s">
        <v>63</v>
      </c>
      <c r="AQ8" s="823"/>
      <c r="AR8" s="1998">
        <v>1</v>
      </c>
      <c r="AS8" s="2004" t="s">
        <v>28</v>
      </c>
      <c r="AT8" s="1263"/>
      <c r="AU8" s="1769"/>
      <c r="AV8" s="1263"/>
      <c r="AW8" s="1769"/>
      <c r="AX8" s="2246"/>
      <c r="AY8" s="1981" t="s">
        <v>63</v>
      </c>
      <c r="AZ8" s="2246"/>
      <c r="BA8" s="1981" t="s">
        <v>63</v>
      </c>
      <c r="BB8" s="1860"/>
      <c r="BC8" s="2765" t="s">
        <v>616</v>
      </c>
      <c r="BE8" s="1012"/>
      <c r="BF8" s="1012" t="str">
        <f>IF(T8="","",T8)</f>
        <v/>
      </c>
      <c r="BG8" s="1012"/>
      <c r="BH8" s="1012"/>
      <c r="BI8" s="1667">
        <v>0</v>
      </c>
    </row>
    <row customHeight="1" ht="11.25" hidden="1">
      <c r="A9" s="1875"/>
      <c r="B9" s="1875"/>
      <c r="C9" s="1875"/>
      <c r="D9" s="1875"/>
      <c r="E9" s="2771"/>
      <c r="F9" s="2771"/>
      <c r="G9" s="2771"/>
      <c r="H9" s="2771"/>
      <c r="I9" s="2798"/>
      <c r="J9" s="2798"/>
      <c r="K9" s="2768"/>
      <c r="L9" s="1876"/>
      <c r="P9" s="2769"/>
      <c r="Q9" s="2769"/>
      <c r="R9" s="2859"/>
      <c r="S9" s="2854"/>
      <c r="T9" s="2873"/>
      <c r="U9" s="812"/>
      <c r="V9" s="1905"/>
      <c r="W9" s="2008"/>
      <c r="X9" s="1905"/>
      <c r="Y9" s="2008"/>
      <c r="Z9" s="1905"/>
      <c r="AA9" s="1905"/>
      <c r="AB9" s="1905"/>
      <c r="AC9" s="1905"/>
      <c r="AD9" s="2698"/>
      <c r="AE9" s="2838"/>
      <c r="AF9" s="2717"/>
      <c r="AG9" s="2875"/>
      <c r="AH9" s="2619"/>
      <c r="AI9" s="2838"/>
      <c r="AJ9" s="2717"/>
      <c r="AK9" s="2839"/>
      <c r="AL9" s="2619"/>
      <c r="AM9" s="2712"/>
      <c r="AN9" s="2717"/>
      <c r="AO9" s="2869"/>
      <c r="AP9" s="2871"/>
      <c r="AQ9" s="828"/>
      <c r="AR9" s="928"/>
      <c r="AS9" s="928" t="s">
        <v>617</v>
      </c>
      <c r="AT9" s="1905"/>
      <c r="AU9" s="2008"/>
      <c r="AV9" s="1905"/>
      <c r="AW9" s="2008"/>
      <c r="AX9" s="1905"/>
      <c r="AY9" s="1905"/>
      <c r="AZ9" s="1905"/>
      <c r="BA9" s="1905"/>
      <c r="BB9" s="1909"/>
      <c r="BC9" s="2766"/>
      <c r="BE9" s="1012"/>
      <c r="BF9" s="1012"/>
      <c r="BG9" s="1012"/>
      <c r="BH9" s="1012"/>
      <c r="BI9" s="1667">
        <v>0</v>
      </c>
    </row>
    <row customHeight="1" ht="11.25" hidden="1">
      <c r="A10" s="1875"/>
      <c r="B10" s="1875"/>
      <c r="C10" s="1875"/>
      <c r="D10" s="1875"/>
      <c r="E10" s="2771"/>
      <c r="F10" s="2771"/>
      <c r="G10" s="2771"/>
      <c r="H10" s="2771"/>
      <c r="I10" s="2798"/>
      <c r="J10" s="2798"/>
      <c r="K10" s="2768"/>
      <c r="L10" s="1876"/>
      <c r="P10" s="2769"/>
      <c r="Q10" s="2769"/>
      <c r="R10" s="2859"/>
      <c r="S10" s="2854"/>
      <c r="T10" s="2873"/>
      <c r="U10" s="812"/>
      <c r="V10" s="1905"/>
      <c r="W10" s="2008"/>
      <c r="X10" s="1905"/>
      <c r="Y10" s="2008"/>
      <c r="Z10" s="1905"/>
      <c r="AA10" s="1905"/>
      <c r="AB10" s="1905"/>
      <c r="AC10" s="1905"/>
      <c r="AD10" s="2698"/>
      <c r="AE10" s="2838"/>
      <c r="AF10" s="2717"/>
      <c r="AG10" s="2875"/>
      <c r="AH10" s="2619"/>
      <c r="AI10" s="2838"/>
      <c r="AJ10" s="2717"/>
      <c r="AK10" s="2839"/>
      <c r="AL10" s="2619"/>
      <c r="AM10" s="828"/>
      <c r="AN10" s="2012"/>
      <c r="AO10" s="2012" t="s">
        <v>618</v>
      </c>
      <c r="AP10" s="928"/>
      <c r="AQ10" s="928"/>
      <c r="AR10" s="928"/>
      <c r="AS10" s="1905"/>
      <c r="AT10" s="1905"/>
      <c r="AU10" s="2008"/>
      <c r="AV10" s="1905"/>
      <c r="AW10" s="2008"/>
      <c r="AX10" s="1905"/>
      <c r="AY10" s="1905"/>
      <c r="AZ10" s="1905"/>
      <c r="BA10" s="1905"/>
      <c r="BB10" s="1909"/>
      <c r="BC10" s="2766"/>
      <c r="BE10" s="1012"/>
      <c r="BF10" s="1012"/>
      <c r="BG10" s="1012"/>
      <c r="BH10" s="1012"/>
      <c r="BI10" s="1667">
        <v>0</v>
      </c>
    </row>
    <row customHeight="1" ht="11.25" hidden="1">
      <c r="A11" s="1875"/>
      <c r="B11" s="1875"/>
      <c r="C11" s="1875"/>
      <c r="D11" s="1875"/>
      <c r="E11" s="2771"/>
      <c r="F11" s="2771"/>
      <c r="G11" s="2771"/>
      <c r="H11" s="2771"/>
      <c r="I11" s="2798"/>
      <c r="J11" s="2798"/>
      <c r="K11" s="2768"/>
      <c r="L11" s="1876"/>
      <c r="P11" s="2769"/>
      <c r="Q11" s="2769"/>
      <c r="R11" s="2859"/>
      <c r="S11" s="2854"/>
      <c r="T11" s="2873"/>
      <c r="U11" s="812"/>
      <c r="V11" s="1905"/>
      <c r="W11" s="2008"/>
      <c r="X11" s="1905"/>
      <c r="Y11" s="2008"/>
      <c r="Z11" s="1905"/>
      <c r="AA11" s="1905"/>
      <c r="AB11" s="1905"/>
      <c r="AC11" s="1905"/>
      <c r="AD11" s="2698"/>
      <c r="AE11" s="2838"/>
      <c r="AF11" s="2717"/>
      <c r="AG11" s="2875"/>
      <c r="AH11" s="2619"/>
      <c r="AI11" s="806"/>
      <c r="AJ11" s="927"/>
      <c r="AK11" s="825" t="s">
        <v>619</v>
      </c>
      <c r="AL11" s="1905"/>
      <c r="AM11" s="1905"/>
      <c r="AN11" s="1905"/>
      <c r="AO11" s="1905"/>
      <c r="AP11" s="1905"/>
      <c r="AQ11" s="1905"/>
      <c r="AR11" s="1905"/>
      <c r="AS11" s="1905"/>
      <c r="AT11" s="1905"/>
      <c r="AU11" s="2008"/>
      <c r="AV11" s="1905"/>
      <c r="AW11" s="2008"/>
      <c r="AX11" s="1905"/>
      <c r="AY11" s="1905"/>
      <c r="AZ11" s="1905"/>
      <c r="BA11" s="1905"/>
      <c r="BB11" s="1909"/>
      <c r="BC11" s="2766"/>
      <c r="BE11" s="1012"/>
      <c r="BF11" s="1012"/>
      <c r="BG11" s="1012"/>
      <c r="BH11" s="1012"/>
      <c r="BI11" s="1667">
        <v>0</v>
      </c>
    </row>
    <row customHeight="1" ht="11.25" hidden="1">
      <c r="A12" s="1875"/>
      <c r="B12" s="1875"/>
      <c r="C12" s="1875"/>
      <c r="D12" s="1875"/>
      <c r="E12" s="2771"/>
      <c r="F12" s="2771"/>
      <c r="G12" s="2771"/>
      <c r="H12" s="2771"/>
      <c r="I12" s="2798"/>
      <c r="J12" s="2798"/>
      <c r="K12" s="2768"/>
      <c r="L12" s="1876"/>
      <c r="P12" s="2769"/>
      <c r="Q12" s="2769"/>
      <c r="R12" s="2859"/>
      <c r="S12" s="2855"/>
      <c r="T12" s="2874"/>
      <c r="U12" s="812"/>
      <c r="V12" s="1905"/>
      <c r="W12" s="1906" t="str">
        <f>Z8&amp;"-"&amp;AB8</f>
        <v>-</v>
      </c>
      <c r="X12" s="1905"/>
      <c r="Y12" s="1906" t="str">
        <f>AB8&amp;"-"&amp;AD8</f>
        <v>-да</v>
      </c>
      <c r="Z12" s="1905"/>
      <c r="AA12" s="1905"/>
      <c r="AB12" s="1905"/>
      <c r="AC12" s="1905"/>
      <c r="AD12" s="2624"/>
      <c r="AE12" s="824"/>
      <c r="AF12" s="826"/>
      <c r="AG12" s="928" t="s">
        <v>620</v>
      </c>
      <c r="AH12" s="1905"/>
      <c r="AI12" s="1905"/>
      <c r="AJ12" s="1905"/>
      <c r="AK12" s="1905"/>
      <c r="AL12" s="1905"/>
      <c r="AM12" s="1905"/>
      <c r="AN12" s="1905"/>
      <c r="AO12" s="1905"/>
      <c r="AP12" s="1905"/>
      <c r="AQ12" s="1905"/>
      <c r="AR12" s="1905"/>
      <c r="AS12" s="1905"/>
      <c r="AT12" s="1905"/>
      <c r="AU12" s="1906" t="str">
        <f>AX8&amp;"-"&amp;AZ8</f>
        <v>-</v>
      </c>
      <c r="AV12" s="1905"/>
      <c r="AW12" s="1906" t="str">
        <f>AZ8&amp;"-"&amp;BB8</f>
        <v>-</v>
      </c>
      <c r="AX12" s="1905"/>
      <c r="AY12" s="1905"/>
      <c r="AZ12" s="1905"/>
      <c r="BA12" s="1905"/>
      <c r="BB12" s="1908" t="str">
        <f>BE8&amp;"-"&amp;BG8</f>
        <v>-</v>
      </c>
      <c r="BC12" s="2766"/>
      <c r="BE12" s="1012"/>
      <c r="BF12" s="1012" t="str">
        <f>IF(T12="","",T12)</f>
        <v/>
      </c>
      <c r="BG12" s="1012"/>
      <c r="BH12" s="1012"/>
      <c r="BI12" s="1667">
        <v>0</v>
      </c>
    </row>
    <row customHeight="1" ht="11.25" hidden="1">
      <c r="A13" s="1875"/>
      <c r="B13" s="1875"/>
      <c r="C13" s="1875"/>
      <c r="D13" s="1875"/>
      <c r="E13" s="2771"/>
      <c r="F13" s="2771"/>
      <c r="G13" s="2771"/>
      <c r="H13" s="2771"/>
      <c r="I13" s="2798"/>
      <c r="J13" s="2768"/>
      <c r="K13" s="1875"/>
      <c r="L13" s="1876"/>
      <c r="P13" s="2769"/>
      <c r="Q13" s="2769"/>
      <c r="R13" s="868"/>
      <c r="S13" s="1790"/>
      <c r="T13" s="799" t="s">
        <v>583</v>
      </c>
      <c r="U13" s="879"/>
      <c r="V13" s="879"/>
      <c r="W13" s="879"/>
      <c r="X13" s="879"/>
      <c r="Y13" s="879"/>
      <c r="Z13" s="879"/>
      <c r="AA13" s="879"/>
      <c r="AB13" s="879"/>
      <c r="AC13" s="879"/>
      <c r="AD13" s="2017"/>
      <c r="AE13" s="879"/>
      <c r="AF13" s="879"/>
      <c r="AG13" s="879"/>
      <c r="AH13" s="879"/>
      <c r="AI13" s="879"/>
      <c r="AJ13" s="879"/>
      <c r="AK13" s="879"/>
      <c r="AL13" s="879"/>
      <c r="AM13" s="879"/>
      <c r="AN13" s="879"/>
      <c r="AO13" s="879"/>
      <c r="AP13" s="879"/>
      <c r="AQ13" s="879"/>
      <c r="AR13" s="879"/>
      <c r="AS13" s="879"/>
      <c r="AT13" s="879"/>
      <c r="AU13" s="879"/>
      <c r="AV13" s="879"/>
      <c r="AW13" s="879"/>
      <c r="AX13" s="879"/>
      <c r="AY13" s="879"/>
      <c r="AZ13" s="879"/>
      <c r="BA13" s="879"/>
      <c r="BB13" s="836"/>
      <c r="BC13" s="2767"/>
      <c r="BE13" s="1012"/>
      <c r="BF13" s="1012" t="str">
        <f>IF(T13="","",T13)</f>
        <v>Добавить строку</v>
      </c>
      <c r="BG13" s="1012"/>
      <c r="BH13" s="1012"/>
      <c r="BI13" s="1667">
        <v>0</v>
      </c>
    </row>
    <row s="46890" customFormat="1" customHeight="1" ht="14.25" hidden="1">
      <c r="A14" s="1855"/>
      <c r="B14" s="1855"/>
      <c r="C14" s="1855"/>
      <c r="D14" s="1855"/>
      <c r="E14" s="2771"/>
      <c r="F14" s="2771"/>
      <c r="G14" s="2771"/>
      <c r="H14" s="2771"/>
      <c r="I14" s="2768"/>
      <c r="J14" s="1855"/>
      <c r="K14" s="1855"/>
      <c r="L14" s="1858"/>
      <c r="M14" s="1022"/>
      <c r="N14" s="1022"/>
      <c r="O14" s="1022"/>
      <c r="P14" s="2769"/>
      <c r="Q14" s="1993"/>
      <c r="R14" s="868"/>
      <c r="S14" s="1898"/>
      <c r="T14" s="1899"/>
      <c r="U14" s="1900"/>
      <c r="V14" s="1900"/>
      <c r="W14" s="1900"/>
      <c r="X14" s="1900"/>
      <c r="Y14" s="1900"/>
      <c r="Z14" s="1900"/>
      <c r="AA14" s="1900"/>
      <c r="AB14" s="1900"/>
      <c r="AC14" s="1900"/>
      <c r="AD14" s="1900"/>
      <c r="AE14" s="1900"/>
      <c r="AF14" s="1900"/>
      <c r="AG14" s="1900"/>
      <c r="AH14" s="1900"/>
      <c r="AI14" s="1900"/>
      <c r="AJ14" s="1900"/>
      <c r="AK14" s="1900"/>
      <c r="AL14" s="1900"/>
      <c r="AM14" s="1900"/>
      <c r="AN14" s="1900"/>
      <c r="AO14" s="1900"/>
      <c r="AP14" s="1900"/>
      <c r="AQ14" s="1900"/>
      <c r="AR14" s="1900"/>
      <c r="AS14" s="1900"/>
      <c r="AT14" s="1900"/>
      <c r="AU14" s="1900"/>
      <c r="AV14" s="1900"/>
      <c r="AW14" s="1900"/>
      <c r="AX14" s="1900"/>
      <c r="AY14" s="1900"/>
      <c r="AZ14" s="1900"/>
      <c r="BA14" s="1900"/>
      <c r="BB14" s="1900"/>
      <c r="BC14" s="1901"/>
      <c r="BE14" s="1012"/>
      <c r="BF14" s="1012" t="str">
        <f>IF(T14="","",T14)</f>
        <v/>
      </c>
      <c r="BG14" s="1012"/>
      <c r="BH14" s="1012"/>
      <c r="BI14" s="1023">
        <v>0</v>
      </c>
    </row>
    <row s="46890" customFormat="1" customHeight="1" ht="14.25" hidden="1">
      <c r="A15" s="1855"/>
      <c r="B15" s="1855"/>
      <c r="C15" s="1855"/>
      <c r="D15" s="1855"/>
      <c r="E15" s="2771"/>
      <c r="F15" s="2771"/>
      <c r="G15" s="2771"/>
      <c r="H15" s="2770"/>
      <c r="I15" s="1855"/>
      <c r="J15" s="1855"/>
      <c r="K15" s="1855"/>
      <c r="L15" s="1858"/>
      <c r="M15" s="1827"/>
      <c r="N15" s="1827"/>
      <c r="O15" s="1030"/>
      <c r="P15" s="892"/>
      <c r="Q15" s="1856"/>
      <c r="R15" s="1913"/>
      <c r="S15" s="1898"/>
      <c r="T15" s="1899"/>
      <c r="U15" s="1900"/>
      <c r="V15" s="1900"/>
      <c r="W15" s="1900"/>
      <c r="X15" s="1900"/>
      <c r="Y15" s="1900"/>
      <c r="Z15" s="1900"/>
      <c r="AA15" s="1900"/>
      <c r="AB15" s="1900"/>
      <c r="AC15" s="1900"/>
      <c r="AD15" s="1900"/>
      <c r="AE15" s="1900"/>
      <c r="AF15" s="1900"/>
      <c r="AG15" s="1900"/>
      <c r="AH15" s="1900"/>
      <c r="AI15" s="1900"/>
      <c r="AJ15" s="1900"/>
      <c r="AK15" s="1900"/>
      <c r="AL15" s="1900"/>
      <c r="AM15" s="1900"/>
      <c r="AN15" s="1900"/>
      <c r="AO15" s="1900"/>
      <c r="AP15" s="1900"/>
      <c r="AQ15" s="1900"/>
      <c r="AR15" s="1900"/>
      <c r="AS15" s="1900"/>
      <c r="AT15" s="1900"/>
      <c r="AU15" s="1900"/>
      <c r="AV15" s="1900"/>
      <c r="AW15" s="1900"/>
      <c r="AX15" s="1900"/>
      <c r="AY15" s="1900"/>
      <c r="AZ15" s="1900"/>
      <c r="BA15" s="1900"/>
      <c r="BB15" s="1900"/>
      <c r="BC15" s="1901"/>
      <c r="BE15" s="1012"/>
      <c r="BF15" s="1012" t="str">
        <f>IF(T15="","",T15)</f>
        <v/>
      </c>
      <c r="BG15" s="1012"/>
      <c r="BH15" s="1012"/>
      <c r="BI15" s="1023">
        <v>0</v>
      </c>
    </row>
    <row s="46890" customFormat="1" customHeight="1" ht="14.25" hidden="1">
      <c r="A16" s="1855"/>
      <c r="B16" s="1855"/>
      <c r="C16" s="1855"/>
      <c r="D16" s="1826"/>
      <c r="E16" s="2771"/>
      <c r="F16" s="2771"/>
      <c r="G16" s="2770"/>
      <c r="H16" s="1826"/>
      <c r="I16" s="1826"/>
      <c r="J16" s="1826"/>
      <c r="K16" s="1826"/>
      <c r="L16" s="2006"/>
      <c r="M16" s="1827"/>
      <c r="N16" s="1827"/>
      <c r="P16" s="1828"/>
      <c r="Q16" s="1829"/>
      <c r="R16" s="1828"/>
      <c r="S16" s="1834"/>
      <c r="T16" s="1837"/>
      <c r="U16" s="1836"/>
      <c r="V16" s="1836"/>
      <c r="W16" s="1836"/>
      <c r="X16" s="1836"/>
      <c r="Y16" s="1836"/>
      <c r="Z16" s="1836"/>
      <c r="AA16" s="1836"/>
      <c r="AB16" s="1836"/>
      <c r="AC16" s="1836"/>
      <c r="AD16" s="1836"/>
      <c r="AE16" s="1836"/>
      <c r="AF16" s="1836"/>
      <c r="AG16" s="1836"/>
      <c r="AH16" s="1836"/>
      <c r="AI16" s="1836"/>
      <c r="AJ16" s="1836"/>
      <c r="AK16" s="1836"/>
      <c r="AL16" s="1836"/>
      <c r="AM16" s="1836"/>
      <c r="AN16" s="1836"/>
      <c r="AO16" s="1836"/>
      <c r="AP16" s="1836"/>
      <c r="AQ16" s="1836"/>
      <c r="AR16" s="1836"/>
      <c r="AS16" s="1836"/>
      <c r="AT16" s="1836"/>
      <c r="AU16" s="1836"/>
      <c r="AV16" s="1836"/>
      <c r="AW16" s="1836"/>
      <c r="AX16" s="1836"/>
      <c r="AY16" s="1836"/>
      <c r="AZ16" s="1836"/>
      <c r="BA16" s="1836"/>
      <c r="BB16" s="1836"/>
      <c r="BC16" s="1836"/>
      <c r="BE16" s="1301"/>
      <c r="BF16" s="1301" t="str">
        <f>IF(T16="","",T16)</f>
        <v/>
      </c>
      <c r="BG16" s="1301"/>
      <c r="BH16" s="1301"/>
      <c r="BI16" s="1030">
        <v>0</v>
      </c>
    </row>
    <row s="46890" customFormat="1" customHeight="1" ht="14.25" hidden="1">
      <c r="A17" s="1855"/>
      <c r="B17" s="1855"/>
      <c r="C17" s="1826"/>
      <c r="D17" s="1826"/>
      <c r="E17" s="2771"/>
      <c r="F17" s="2770"/>
      <c r="G17" s="1826"/>
      <c r="H17" s="1826"/>
      <c r="I17" s="1826"/>
      <c r="J17" s="1826"/>
      <c r="K17" s="1826"/>
      <c r="L17" s="2006"/>
      <c r="M17" s="1833"/>
      <c r="N17" s="1833"/>
      <c r="P17" s="1828"/>
      <c r="Q17" s="1829"/>
      <c r="R17" s="1828"/>
      <c r="S17" s="1834"/>
      <c r="T17" s="1837" t="s">
        <v>321</v>
      </c>
      <c r="U17" s="1836"/>
      <c r="V17" s="1836"/>
      <c r="W17" s="1836"/>
      <c r="X17" s="1836"/>
      <c r="Y17" s="1836"/>
      <c r="Z17" s="1836"/>
      <c r="AA17" s="1836"/>
      <c r="AB17" s="1836"/>
      <c r="AC17" s="1836"/>
      <c r="AD17" s="1836"/>
      <c r="AE17" s="1836"/>
      <c r="AF17" s="1836"/>
      <c r="AG17" s="1836"/>
      <c r="AH17" s="1836"/>
      <c r="AI17" s="1836"/>
      <c r="AJ17" s="1836"/>
      <c r="AK17" s="1836"/>
      <c r="AL17" s="1836"/>
      <c r="AM17" s="1836"/>
      <c r="AN17" s="1836"/>
      <c r="AO17" s="1836"/>
      <c r="AP17" s="1836"/>
      <c r="AQ17" s="1836"/>
      <c r="AR17" s="1836"/>
      <c r="AS17" s="1836"/>
      <c r="AT17" s="1836"/>
      <c r="AU17" s="1836"/>
      <c r="AV17" s="1836"/>
      <c r="AW17" s="1836"/>
      <c r="AX17" s="1836"/>
      <c r="AY17" s="1836"/>
      <c r="AZ17" s="1836"/>
      <c r="BA17" s="1836"/>
      <c r="BB17" s="1836"/>
      <c r="BC17" s="1836"/>
      <c r="BE17" s="1301"/>
      <c r="BF17" s="1301" t="str">
        <f>IF(T17="","",T17)</f>
        <v>Добавить централизованную систему для дифференциации</v>
      </c>
      <c r="BG17" s="1301"/>
      <c r="BH17" s="1301"/>
      <c r="BI17" s="1030">
        <v>0</v>
      </c>
    </row>
    <row s="46890" customFormat="1" customHeight="1" ht="14.25" hidden="1">
      <c r="A18" s="1855"/>
      <c r="B18" s="1855"/>
      <c r="C18" s="1855"/>
      <c r="D18" s="1855"/>
      <c r="E18" s="2770"/>
      <c r="F18" s="1855"/>
      <c r="G18" s="1855"/>
      <c r="H18" s="1855"/>
      <c r="I18" s="1855"/>
      <c r="J18" s="1855"/>
      <c r="K18" s="1855"/>
      <c r="L18" s="1858"/>
      <c r="M18" s="1833"/>
      <c r="N18" s="1833"/>
      <c r="O18" s="1030"/>
      <c r="P18" s="892"/>
      <c r="Q18" s="1856"/>
      <c r="R18" s="892"/>
      <c r="S18" s="1834"/>
      <c r="T18" s="1837" t="s">
        <v>385</v>
      </c>
      <c r="U18" s="1836"/>
      <c r="V18" s="1836"/>
      <c r="W18" s="1836"/>
      <c r="X18" s="1836"/>
      <c r="Y18" s="1836"/>
      <c r="Z18" s="1836"/>
      <c r="AA18" s="1836"/>
      <c r="AB18" s="1836"/>
      <c r="AC18" s="1836"/>
      <c r="AD18" s="1836"/>
      <c r="AE18" s="1836"/>
      <c r="AF18" s="1836"/>
      <c r="AG18" s="1836"/>
      <c r="AH18" s="1836"/>
      <c r="AI18" s="1836"/>
      <c r="AJ18" s="1836"/>
      <c r="AK18" s="1836"/>
      <c r="AL18" s="1836"/>
      <c r="AM18" s="1836"/>
      <c r="AN18" s="1836"/>
      <c r="AO18" s="1836"/>
      <c r="AP18" s="1836"/>
      <c r="AQ18" s="1836"/>
      <c r="AR18" s="1836"/>
      <c r="AS18" s="1836"/>
      <c r="AT18" s="1836"/>
      <c r="AU18" s="1836"/>
      <c r="AV18" s="1836"/>
      <c r="AW18" s="1836"/>
      <c r="AX18" s="1836"/>
      <c r="AY18" s="1836"/>
      <c r="AZ18" s="1836"/>
      <c r="BA18" s="1836"/>
      <c r="BB18" s="1836"/>
      <c r="BC18" s="1836"/>
      <c r="BE18" s="1012"/>
      <c r="BF18" s="1012" t="str">
        <f>IF(T18="","",T18)</f>
        <v>Добавить территорию для дифференциации</v>
      </c>
      <c r="BG18" s="1012"/>
      <c r="BH18" s="1012"/>
      <c r="BI18" s="1023">
        <v>0</v>
      </c>
    </row>
    <row customHeight="1" ht="14.25" hidden="1">
      <c r="AC19" s="839"/>
      <c r="BA19" s="839"/>
      <c r="BI19" s="1667">
        <v>0</v>
      </c>
    </row>
    <row customHeight="1" ht="14.25" hidden="1">
      <c r="AD20" s="1836" t="s">
        <v>19</v>
      </c>
      <c r="AE20" s="2013"/>
      <c r="AF20" s="1060">
        <v>1</v>
      </c>
      <c r="AG20" s="2014"/>
      <c r="AH20" s="1836" t="s">
        <v>19</v>
      </c>
      <c r="AI20" s="2013"/>
      <c r="AJ20" s="1060">
        <v>1</v>
      </c>
      <c r="AK20" s="2014"/>
      <c r="AL20" s="1836" t="s">
        <v>19</v>
      </c>
      <c r="AM20" s="2015"/>
      <c r="AN20" s="1060">
        <v>1</v>
      </c>
      <c r="AO20" s="2016"/>
      <c r="AP20" s="1836" t="s">
        <v>19</v>
      </c>
      <c r="AQ20" s="2015"/>
      <c r="AR20" s="1060">
        <v>1</v>
      </c>
      <c r="AS20" s="2016"/>
      <c r="AT20" s="837"/>
      <c r="AU20" s="896"/>
      <c r="AV20" s="837"/>
      <c r="AW20" s="896"/>
      <c r="AX20" s="2248"/>
      <c r="AY20" s="1997" t="s">
        <v>63</v>
      </c>
      <c r="AZ20" s="2248"/>
      <c r="BA20" s="1997" t="s">
        <v>63</v>
      </c>
      <c r="BI20" s="1667">
        <v>0</v>
      </c>
    </row>
    <row customHeight="1" ht="14.25" hidden="1">
      <c r="BD21" s="1008"/>
      <c r="BE21" s="1008"/>
      <c r="BF21" s="1008"/>
      <c r="BG21" s="1008"/>
      <c r="BH21" s="1008"/>
      <c r="BI21" s="1667">
        <v>0</v>
      </c>
    </row>
    <row customHeight="1" ht="14.25" hidden="1">
      <c r="O22" s="1879" t="s">
        <v>533</v>
      </c>
      <c r="Z22" s="1857"/>
      <c r="AB22" s="1857"/>
      <c r="AC22" s="839"/>
      <c r="AX22" s="1857"/>
      <c r="AZ22" s="1857"/>
      <c r="BA22" s="839"/>
      <c r="BD22" s="1008"/>
      <c r="BE22" s="1008"/>
      <c r="BF22" s="1008"/>
      <c r="BG22" s="1008"/>
      <c r="BH22" s="1008"/>
      <c r="BI22" s="1667">
        <v>0</v>
      </c>
    </row>
    <row customHeight="1" ht="14.25" hidden="1">
      <c r="AC23" s="839"/>
      <c r="BA23" s="839"/>
      <c r="BD23" s="1008"/>
      <c r="BE23" s="1008"/>
      <c r="BF23" s="1008"/>
      <c r="BG23" s="1008"/>
      <c r="BH23" s="1008"/>
      <c r="BI23" s="1667">
        <v>0</v>
      </c>
    </row>
    <row s="47895" customFormat="1" customHeight="1" ht="14.25" hidden="1">
      <c r="M24" s="2020"/>
      <c r="N24" s="2020"/>
      <c r="O24" s="2021" t="s">
        <v>534</v>
      </c>
      <c r="P24" s="2020"/>
      <c r="Q24" s="2022"/>
      <c r="R24" s="2022"/>
      <c r="AA24" s="2019" t="s">
        <v>536</v>
      </c>
      <c r="AC24" s="2019" t="s">
        <v>537</v>
      </c>
      <c r="AD24" s="2019" t="s">
        <v>584</v>
      </c>
      <c r="AH24" s="2019" t="s">
        <v>584</v>
      </c>
      <c r="AK24" s="2019" t="s">
        <v>621</v>
      </c>
      <c r="AL24" s="2019" t="s">
        <v>584</v>
      </c>
      <c r="AP24" s="2019" t="s">
        <v>584</v>
      </c>
      <c r="AY24" s="2019" t="s">
        <v>536</v>
      </c>
      <c r="BA24" s="2019" t="s">
        <v>537</v>
      </c>
      <c r="BD24" s="2023"/>
      <c r="BE24" s="2023"/>
      <c r="BF24" s="2023"/>
      <c r="BG24" s="2023"/>
      <c r="BH24" s="2023"/>
      <c r="BI24" s="2019">
        <v>0</v>
      </c>
    </row>
    <row customHeight="1" ht="14.25" hidden="1">
      <c r="O25" s="1876"/>
      <c r="BD25" s="1008"/>
      <c r="BE25" s="1008"/>
      <c r="BF25" s="1008"/>
      <c r="BG25" s="1008"/>
      <c r="BH25" s="1008"/>
      <c r="BI25" s="1667">
        <v>0</v>
      </c>
    </row>
    <row customHeight="1" ht="14.25" hidden="1">
      <c r="O26" s="1876"/>
      <c r="BD26" s="1008"/>
      <c r="BE26" s="1008"/>
      <c r="BF26" s="1008"/>
      <c r="BG26" s="1008"/>
      <c r="BH26" s="1008"/>
      <c r="BI26" s="1667">
        <v>0</v>
      </c>
    </row>
    <row customHeight="1" ht="14.699999999999998">
      <c r="Q27" s="803"/>
      <c r="R27" s="888"/>
      <c r="S27" s="1787"/>
      <c r="T27" s="875"/>
      <c r="U27" s="875"/>
      <c r="V27" s="1021"/>
      <c r="W27" s="1021"/>
      <c r="X27" s="1021"/>
      <c r="Y27" s="1021"/>
      <c r="Z27" s="1021"/>
      <c r="AA27" s="1021"/>
      <c r="AB27" s="1021"/>
      <c r="AC27" s="1021"/>
      <c r="AD27" s="1021"/>
      <c r="AE27" s="1021"/>
      <c r="AF27" s="1021"/>
      <c r="AG27" s="1021"/>
      <c r="AH27" s="1021"/>
      <c r="AI27" s="1021"/>
      <c r="AJ27" s="1021"/>
      <c r="AK27" s="1021"/>
      <c r="AL27" s="1021"/>
      <c r="AM27" s="1021"/>
      <c r="AN27" s="1021"/>
      <c r="AO27" s="1021"/>
      <c r="AP27" s="1021"/>
      <c r="AQ27" s="1021"/>
      <c r="AR27" s="1021"/>
      <c r="AS27" s="1021"/>
      <c r="AT27" s="1021"/>
      <c r="AU27" s="1021"/>
      <c r="AV27" s="1021"/>
      <c r="AW27" s="1021"/>
      <c r="AX27" s="1021"/>
      <c r="AY27" s="1021"/>
      <c r="AZ27" s="1021"/>
      <c r="BA27" s="1021"/>
      <c r="BI27" s="1667">
        <v>14</v>
      </c>
    </row>
    <row customHeight="1" ht="14.699999999999998">
      <c r="Q28" s="803"/>
      <c r="R28" s="888"/>
      <c r="S28" s="2760"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760"/>
      <c r="U28" s="2760"/>
      <c r="V28" s="2760"/>
      <c r="W28" s="2760"/>
      <c r="X28" s="2760"/>
      <c r="Y28" s="2760"/>
      <c r="Z28" s="2760"/>
      <c r="AA28" s="2760"/>
      <c r="AB28" s="2760"/>
      <c r="AC28" s="2760"/>
      <c r="AD28" s="2760"/>
      <c r="AE28" s="2760"/>
      <c r="AF28" s="2760"/>
      <c r="AG28" s="2760"/>
      <c r="AH28" s="2760"/>
      <c r="AI28" s="2760"/>
      <c r="AJ28" s="2760"/>
      <c r="AK28" s="2760"/>
      <c r="AL28" s="2760"/>
      <c r="AM28" s="2760"/>
      <c r="AN28" s="2760"/>
      <c r="AO28" s="2760"/>
      <c r="AP28" s="2760"/>
      <c r="AQ28" s="2760"/>
      <c r="AR28" s="2760"/>
      <c r="AS28" s="2760"/>
      <c r="AT28" s="2760"/>
      <c r="AU28" s="2760"/>
      <c r="AV28" s="2760"/>
      <c r="AW28" s="2760"/>
      <c r="AX28" s="2760"/>
      <c r="AY28" s="2760"/>
      <c r="AZ28" s="2760"/>
      <c r="BA28" s="1755"/>
      <c r="BI28" s="1667">
        <v>14</v>
      </c>
    </row>
    <row customHeight="1" ht="14.699999999999998">
      <c r="Q29" s="803"/>
      <c r="R29" s="888"/>
      <c r="S29" s="2761" t="str">
        <f>IF(org=0,"Не определено",org)</f>
        <v>КГУП "Примтеплоэнерго"</v>
      </c>
      <c r="T29" s="2761"/>
      <c r="U29" s="2761"/>
      <c r="V29" s="2761"/>
      <c r="W29" s="2761"/>
      <c r="X29" s="2761"/>
      <c r="Y29" s="2761"/>
      <c r="Z29" s="2761"/>
      <c r="AA29" s="2761"/>
      <c r="AB29" s="2761"/>
      <c r="AC29" s="2761"/>
      <c r="AD29" s="2761"/>
      <c r="AE29" s="2761"/>
      <c r="AF29" s="2761"/>
      <c r="AG29" s="2761"/>
      <c r="AH29" s="2761"/>
      <c r="AI29" s="2761"/>
      <c r="AJ29" s="2761"/>
      <c r="AK29" s="2761"/>
      <c r="AL29" s="2761"/>
      <c r="AM29" s="2761"/>
      <c r="AN29" s="2761"/>
      <c r="AO29" s="2761"/>
      <c r="AP29" s="2761"/>
      <c r="AQ29" s="2761"/>
      <c r="AR29" s="2761"/>
      <c r="AS29" s="2761"/>
      <c r="AT29" s="2761"/>
      <c r="AU29" s="2761"/>
      <c r="AV29" s="2761"/>
      <c r="AW29" s="2761"/>
      <c r="AX29" s="2761"/>
      <c r="AY29" s="2761"/>
      <c r="AZ29" s="2761"/>
      <c r="BA29" s="1755"/>
      <c r="BI29" s="1667">
        <v>14</v>
      </c>
    </row>
    <row customHeight="1" ht="14.25">
      <c r="Q30" s="803"/>
      <c r="R30" s="888"/>
      <c r="S30" s="1787"/>
      <c r="T30" s="875"/>
      <c r="U30" s="875"/>
      <c r="V30" s="834"/>
      <c r="W30" s="834"/>
      <c r="X30" s="834"/>
      <c r="Y30" s="834"/>
      <c r="Z30" s="834"/>
      <c r="AA30" s="834"/>
      <c r="AB30" s="834"/>
      <c r="AC30" s="834"/>
      <c r="AD30" s="834"/>
      <c r="AE30" s="834"/>
      <c r="AF30" s="834"/>
      <c r="AG30" s="834"/>
      <c r="AH30" s="834"/>
      <c r="AI30" s="834"/>
      <c r="AJ30" s="834"/>
      <c r="AK30" s="834"/>
      <c r="AL30" s="834"/>
      <c r="AM30" s="834"/>
      <c r="AN30" s="834"/>
      <c r="AO30" s="834"/>
      <c r="AP30" s="834"/>
      <c r="AQ30" s="834"/>
      <c r="AR30" s="834"/>
      <c r="AS30" s="834"/>
      <c r="AT30" s="834"/>
      <c r="AU30" s="834"/>
      <c r="AV30" s="834"/>
      <c r="AW30" s="834"/>
      <c r="AX30" s="834"/>
      <c r="AY30" s="834"/>
      <c r="AZ30" s="834"/>
      <c r="BA30" s="834"/>
      <c r="BB30" s="1021"/>
      <c r="BI30" s="1667">
        <v>0</v>
      </c>
    </row>
    <row s="47026" customFormat="1" customHeight="1" ht="25.5">
      <c r="A31" s="1880"/>
      <c r="B31" s="1880"/>
      <c r="C31" s="1880"/>
      <c r="D31" s="1880"/>
      <c r="E31" s="1880"/>
      <c r="F31" s="1880"/>
      <c r="G31" s="1880"/>
      <c r="H31" s="1880"/>
      <c r="I31" s="1880"/>
      <c r="J31" s="1880"/>
      <c r="K31" s="1880"/>
      <c r="L31" s="1881"/>
      <c r="M31" s="1880"/>
      <c r="N31" s="1880"/>
      <c r="O31" s="1880"/>
      <c r="P31" s="1880"/>
      <c r="Q31" s="1880"/>
      <c r="S31" s="2762" t="s">
        <v>42</v>
      </c>
      <c r="T31" s="2762"/>
      <c r="U31" s="1884"/>
      <c r="V31" s="2763" t="str">
        <f>IF(TITLE_NAME_OR_PR_CHANGE="",IF(TITLE_NAME_OR_PR="","",TITLE_NAME_OR_PR),TITLE_NAME_OR_PR_CHANGE)</f>
        <v>Агентство по тарифам Приморского края</v>
      </c>
      <c r="W31" s="2763"/>
      <c r="X31" s="2763"/>
      <c r="Y31" s="2763"/>
      <c r="Z31" s="2763"/>
      <c r="AA31" s="2763"/>
      <c r="AB31" s="2763"/>
      <c r="AC31" s="838"/>
      <c r="AD31" s="2763" t="str">
        <f>IF(TITLE_NAME_OR_PR_CHANGE="",IF(TITLE_NAME_OR_PR="","",TITLE_NAME_OR_PR),TITLE_NAME_OR_PR_CHANGE)</f>
        <v>Агентство по тарифам Приморского края</v>
      </c>
      <c r="AE31" s="2763"/>
      <c r="AF31" s="2763"/>
      <c r="AG31" s="2763"/>
      <c r="AH31" s="2763"/>
      <c r="AI31" s="2763"/>
      <c r="AJ31" s="2763"/>
      <c r="AK31" s="2763"/>
      <c r="AL31" s="2763"/>
      <c r="AM31" s="2763"/>
      <c r="AN31" s="2763"/>
      <c r="AO31" s="2763"/>
      <c r="AP31" s="2763"/>
      <c r="AQ31" s="2763"/>
      <c r="AR31" s="2763"/>
      <c r="AS31" s="2763"/>
      <c r="AT31" s="2763"/>
      <c r="AU31" s="2763"/>
      <c r="AV31" s="2763"/>
      <c r="AW31" s="2763"/>
      <c r="AX31" s="2763"/>
      <c r="AY31" s="2763"/>
      <c r="AZ31" s="2763"/>
      <c r="BA31" s="838"/>
      <c r="BB31" s="838"/>
      <c r="BC31" s="792"/>
      <c r="BD31" s="880"/>
      <c r="BE31" s="880"/>
      <c r="BF31" s="880"/>
      <c r="BG31" s="880"/>
      <c r="BH31" s="880"/>
      <c r="BI31" s="930">
        <v>0</v>
      </c>
    </row>
    <row s="47026" customFormat="1" customHeight="1" ht="18.75">
      <c r="A32" s="1880"/>
      <c r="B32" s="1880"/>
      <c r="C32" s="1880"/>
      <c r="D32" s="1880"/>
      <c r="E32" s="1880"/>
      <c r="F32" s="1880"/>
      <c r="G32" s="1880"/>
      <c r="H32" s="1880"/>
      <c r="I32" s="1880"/>
      <c r="J32" s="1880"/>
      <c r="K32" s="1880"/>
      <c r="L32" s="1881"/>
      <c r="M32" s="1880"/>
      <c r="N32" s="1880"/>
      <c r="O32" s="1880"/>
      <c r="P32" s="1880"/>
      <c r="Q32" s="1880"/>
      <c r="S32" s="2762" t="s">
        <v>539</v>
      </c>
      <c r="T32" s="2762"/>
      <c r="U32" s="1884"/>
      <c r="V32" s="2776" t="str">
        <f>IF(TITLE_DATE_PR_CHANGE="",IF(TITLE_DATE_PR="","",TITLE_DATE_PR),TITLE_DATE_PR_CHANGE)</f>
        <v>45631.495844907404</v>
      </c>
      <c r="W32" s="2776"/>
      <c r="X32" s="2776"/>
      <c r="Y32" s="2776"/>
      <c r="Z32" s="2776"/>
      <c r="AA32" s="2776"/>
      <c r="AB32" s="2776"/>
      <c r="AC32" s="838"/>
      <c r="AD32" s="2776" t="str">
        <f>IF(TITLE_DATE_PR_CHANGE="",IF(TITLE_DATE_PR="","",TITLE_DATE_PR),TITLE_DATE_PR_CHANGE)</f>
        <v>45631.495844907404</v>
      </c>
      <c r="AE32" s="2776"/>
      <c r="AF32" s="2776"/>
      <c r="AG32" s="2776"/>
      <c r="AH32" s="2776"/>
      <c r="AI32" s="2776"/>
      <c r="AJ32" s="2776"/>
      <c r="AK32" s="2776"/>
      <c r="AL32" s="2776"/>
      <c r="AM32" s="2776"/>
      <c r="AN32" s="2776"/>
      <c r="AO32" s="2776"/>
      <c r="AP32" s="2776"/>
      <c r="AQ32" s="2776"/>
      <c r="AR32" s="2776"/>
      <c r="AS32" s="2776"/>
      <c r="AT32" s="2776"/>
      <c r="AU32" s="2776"/>
      <c r="AV32" s="2776"/>
      <c r="AW32" s="2776"/>
      <c r="AX32" s="2776"/>
      <c r="AY32" s="2776"/>
      <c r="AZ32" s="2776"/>
      <c r="BA32" s="838"/>
      <c r="BB32" s="838"/>
      <c r="BC32" s="792"/>
      <c r="BD32" s="880"/>
      <c r="BE32" s="880"/>
      <c r="BF32" s="880"/>
      <c r="BG32" s="880"/>
      <c r="BH32" s="880"/>
      <c r="BI32" s="930">
        <v>0</v>
      </c>
    </row>
    <row s="47026" customFormat="1" customHeight="1" ht="18.75">
      <c r="A33" s="1880"/>
      <c r="B33" s="1880"/>
      <c r="C33" s="1880"/>
      <c r="D33" s="1880"/>
      <c r="E33" s="1880"/>
      <c r="F33" s="1880"/>
      <c r="G33" s="1880"/>
      <c r="H33" s="1880"/>
      <c r="I33" s="1880"/>
      <c r="J33" s="1880"/>
      <c r="K33" s="1880"/>
      <c r="L33" s="1881"/>
      <c r="M33" s="1880"/>
      <c r="N33" s="1880"/>
      <c r="O33" s="1880"/>
      <c r="P33" s="1880"/>
      <c r="Q33" s="1880"/>
      <c r="S33" s="2762" t="s">
        <v>540</v>
      </c>
      <c r="T33" s="2762"/>
      <c r="U33" s="1884"/>
      <c r="V33" s="2763" t="str">
        <f>IF(TITLE_NUMBER_PR_CHANGE="",IF(TITLE_NUMBER_PR="","",TITLE_NUMBER_PR),TITLE_NUMBER_PR_CHANGE)</f>
        <v>53/9</v>
      </c>
      <c r="W33" s="2763"/>
      <c r="X33" s="2763"/>
      <c r="Y33" s="2763"/>
      <c r="Z33" s="2763"/>
      <c r="AA33" s="2763"/>
      <c r="AB33" s="2763"/>
      <c r="AC33" s="838"/>
      <c r="AD33" s="2763" t="str">
        <f>IF(TITLE_NUMBER_PR_CHANGE="",IF(TITLE_NUMBER_PR="","",TITLE_NUMBER_PR),TITLE_NUMBER_PR_CHANGE)</f>
        <v>53/9</v>
      </c>
      <c r="AE33" s="2763"/>
      <c r="AF33" s="2763"/>
      <c r="AG33" s="2763"/>
      <c r="AH33" s="2763"/>
      <c r="AI33" s="2763"/>
      <c r="AJ33" s="2763"/>
      <c r="AK33" s="2763"/>
      <c r="AL33" s="2763"/>
      <c r="AM33" s="2763"/>
      <c r="AN33" s="2763"/>
      <c r="AO33" s="2763"/>
      <c r="AP33" s="2763"/>
      <c r="AQ33" s="2763"/>
      <c r="AR33" s="2763"/>
      <c r="AS33" s="2763"/>
      <c r="AT33" s="2763"/>
      <c r="AU33" s="2763"/>
      <c r="AV33" s="2763"/>
      <c r="AW33" s="2763"/>
      <c r="AX33" s="2763"/>
      <c r="AY33" s="2763"/>
      <c r="AZ33" s="2763"/>
      <c r="BA33" s="838"/>
      <c r="BB33" s="838"/>
      <c r="BC33" s="792"/>
      <c r="BD33" s="880"/>
      <c r="BE33" s="880"/>
      <c r="BF33" s="880"/>
      <c r="BG33" s="880"/>
      <c r="BH33" s="880"/>
      <c r="BI33" s="930">
        <v>0</v>
      </c>
    </row>
    <row s="47026" customFormat="1" customHeight="1" ht="18.75">
      <c r="A34" s="1880"/>
      <c r="B34" s="1880"/>
      <c r="C34" s="1880"/>
      <c r="D34" s="1880"/>
      <c r="E34" s="1880"/>
      <c r="F34" s="1880"/>
      <c r="G34" s="1880"/>
      <c r="H34" s="1880"/>
      <c r="I34" s="1880"/>
      <c r="J34" s="1880"/>
      <c r="K34" s="1880"/>
      <c r="L34" s="1881"/>
      <c r="M34" s="1880"/>
      <c r="N34" s="1880"/>
      <c r="O34" s="1880"/>
      <c r="P34" s="1880"/>
      <c r="Q34" s="1880"/>
      <c r="S34" s="2762" t="s">
        <v>44</v>
      </c>
      <c r="T34" s="2762"/>
      <c r="U34" s="1884"/>
      <c r="V34" s="2763" t="str">
        <f>IF(TITLE_IST_PUB_CHANGE="",IF(TITLE_IST_PUB="","",TITLE_IST_PUB),TITLE_IST_PUB_CHANGE)</f>
        <v>http://pravo.gov.ru</v>
      </c>
      <c r="W34" s="2763"/>
      <c r="X34" s="2763"/>
      <c r="Y34" s="2763"/>
      <c r="Z34" s="2763"/>
      <c r="AA34" s="2763"/>
      <c r="AB34" s="2763"/>
      <c r="AC34" s="838"/>
      <c r="AD34" s="2763" t="str">
        <f>IF(TITLE_IST_PUB_CHANGE="",IF(TITLE_IST_PUB="","",TITLE_IST_PUB),TITLE_IST_PUB_CHANGE)</f>
        <v>http://pravo.gov.ru</v>
      </c>
      <c r="AE34" s="2763"/>
      <c r="AF34" s="2763"/>
      <c r="AG34" s="2763"/>
      <c r="AH34" s="2763"/>
      <c r="AI34" s="2763"/>
      <c r="AJ34" s="2763"/>
      <c r="AK34" s="2763"/>
      <c r="AL34" s="2763"/>
      <c r="AM34" s="2763"/>
      <c r="AN34" s="2763"/>
      <c r="AO34" s="2763"/>
      <c r="AP34" s="2763"/>
      <c r="AQ34" s="2763"/>
      <c r="AR34" s="2763"/>
      <c r="AS34" s="2763"/>
      <c r="AT34" s="2763"/>
      <c r="AU34" s="2763"/>
      <c r="AV34" s="2763"/>
      <c r="AW34" s="2763"/>
      <c r="AX34" s="2763"/>
      <c r="AY34" s="2763"/>
      <c r="AZ34" s="2763"/>
      <c r="BA34" s="838"/>
      <c r="BB34" s="838"/>
      <c r="BC34" s="792"/>
      <c r="BD34" s="880"/>
      <c r="BE34" s="880"/>
      <c r="BF34" s="880"/>
      <c r="BG34" s="880"/>
      <c r="BH34" s="880"/>
      <c r="BI34" s="930">
        <v>0</v>
      </c>
    </row>
    <row customHeight="1" ht="14.25" hidden="1">
      <c r="Q35" s="803"/>
      <c r="R35" s="888"/>
      <c r="S35" s="1787"/>
      <c r="T35" s="875"/>
      <c r="U35" s="875"/>
      <c r="V35" s="834"/>
      <c r="W35" s="834"/>
      <c r="X35" s="834"/>
      <c r="Y35" s="834"/>
      <c r="Z35" s="834"/>
      <c r="AA35" s="834"/>
      <c r="AB35" s="834"/>
      <c r="AC35" s="834"/>
      <c r="AD35" s="834"/>
      <c r="AE35" s="834"/>
      <c r="AF35" s="834"/>
      <c r="AG35" s="834"/>
      <c r="AH35" s="834"/>
      <c r="AI35" s="834"/>
      <c r="AJ35" s="834"/>
      <c r="AK35" s="834"/>
      <c r="AL35" s="834"/>
      <c r="AM35" s="834"/>
      <c r="AN35" s="834"/>
      <c r="AO35" s="834"/>
      <c r="AP35" s="834"/>
      <c r="AQ35" s="834"/>
      <c r="AR35" s="834"/>
      <c r="AS35" s="834"/>
      <c r="AT35" s="834"/>
      <c r="AU35" s="834"/>
      <c r="AV35" s="834"/>
      <c r="AW35" s="834"/>
      <c r="AX35" s="834"/>
      <c r="AY35" s="834"/>
      <c r="AZ35" s="834"/>
      <c r="BA35" s="834"/>
      <c r="BB35" s="1021"/>
      <c r="BI35" s="1667">
        <v>0</v>
      </c>
    </row>
    <row s="47026" customFormat="1" customHeight="1" ht="18.75" hidden="1">
      <c r="A36" s="1880"/>
      <c r="B36" s="1880"/>
      <c r="C36" s="1880"/>
      <c r="D36" s="1880"/>
      <c r="E36" s="1880"/>
      <c r="F36" s="1880"/>
      <c r="G36" s="1880"/>
      <c r="H36" s="1880"/>
      <c r="I36" s="1880"/>
      <c r="J36" s="1880"/>
      <c r="K36" s="1880"/>
      <c r="L36" s="1881"/>
      <c r="M36" s="1880"/>
      <c r="N36" s="1880"/>
      <c r="O36" s="1880"/>
      <c r="P36" s="1880"/>
      <c r="Q36" s="1880"/>
      <c r="S36" s="2762" t="s">
        <v>539</v>
      </c>
      <c r="T36" s="2762"/>
      <c r="U36" s="1884"/>
      <c r="V36" s="2776" t="str">
        <f>IF(TITLE_DATE_PR_CHANGE="",IF(TITLE_DATE_PR="","",TITLE_DATE_PR),TITLE_DATE_PR_CHANGE)</f>
        <v>45631.495844907404</v>
      </c>
      <c r="W36" s="2776"/>
      <c r="X36" s="2776"/>
      <c r="Y36" s="2776"/>
      <c r="Z36" s="2776"/>
      <c r="AA36" s="2776"/>
      <c r="AB36" s="2776"/>
      <c r="AC36" s="838"/>
      <c r="AD36" s="2776" t="str">
        <f>IF(TITLE_DATE_PR_CHANGE="",IF(TITLE_DATE_PR="","",TITLE_DATE_PR),TITLE_DATE_PR_CHANGE)</f>
        <v>45631.495844907404</v>
      </c>
      <c r="AE36" s="2776"/>
      <c r="AF36" s="2776"/>
      <c r="AG36" s="2776"/>
      <c r="AH36" s="2776"/>
      <c r="AI36" s="2776"/>
      <c r="AJ36" s="2776"/>
      <c r="AK36" s="2776"/>
      <c r="AL36" s="2776"/>
      <c r="AM36" s="2776"/>
      <c r="AN36" s="2776"/>
      <c r="AO36" s="2776"/>
      <c r="AP36" s="2776"/>
      <c r="AQ36" s="2776"/>
      <c r="AR36" s="2776"/>
      <c r="AS36" s="2776"/>
      <c r="AT36" s="2776"/>
      <c r="AU36" s="2776"/>
      <c r="AV36" s="2776"/>
      <c r="AW36" s="2776"/>
      <c r="AX36" s="2776"/>
      <c r="AY36" s="2776"/>
      <c r="AZ36" s="2776"/>
      <c r="BA36" s="838"/>
      <c r="BB36" s="838"/>
      <c r="BC36" s="792"/>
      <c r="BD36" s="880"/>
      <c r="BE36" s="880"/>
      <c r="BF36" s="880"/>
      <c r="BG36" s="880"/>
      <c r="BH36" s="880"/>
      <c r="BI36" s="930">
        <v>0</v>
      </c>
    </row>
    <row s="47026" customFormat="1" customHeight="1" ht="18.75" hidden="1">
      <c r="A37" s="1880"/>
      <c r="B37" s="1880"/>
      <c r="C37" s="1880"/>
      <c r="D37" s="1880"/>
      <c r="E37" s="1880"/>
      <c r="F37" s="1880"/>
      <c r="G37" s="1880"/>
      <c r="H37" s="1880"/>
      <c r="I37" s="1880"/>
      <c r="J37" s="1880"/>
      <c r="K37" s="1880"/>
      <c r="L37" s="1881"/>
      <c r="M37" s="1880"/>
      <c r="N37" s="1880"/>
      <c r="O37" s="1880"/>
      <c r="P37" s="1880"/>
      <c r="Q37" s="1880"/>
      <c r="S37" s="2762" t="s">
        <v>540</v>
      </c>
      <c r="T37" s="2762"/>
      <c r="U37" s="1884"/>
      <c r="V37" s="2763" t="str">
        <f>IF(TITLE_NUMBER_PR_CHANGE="",IF(TITLE_NUMBER_PR="","",TITLE_NUMBER_PR),TITLE_NUMBER_PR_CHANGE)</f>
        <v>53/9</v>
      </c>
      <c r="W37" s="2763"/>
      <c r="X37" s="2763"/>
      <c r="Y37" s="2763"/>
      <c r="Z37" s="2763"/>
      <c r="AA37" s="2763"/>
      <c r="AB37" s="2763"/>
      <c r="AC37" s="838"/>
      <c r="AD37" s="2763" t="str">
        <f>IF(TITLE_NUMBER_PR_CHANGE="",IF(TITLE_NUMBER_PR="","",TITLE_NUMBER_PR),TITLE_NUMBER_PR_CHANGE)</f>
        <v>53/9</v>
      </c>
      <c r="AE37" s="2763"/>
      <c r="AF37" s="2763"/>
      <c r="AG37" s="2763"/>
      <c r="AH37" s="2763"/>
      <c r="AI37" s="2763"/>
      <c r="AJ37" s="2763"/>
      <c r="AK37" s="2763"/>
      <c r="AL37" s="2763"/>
      <c r="AM37" s="2763"/>
      <c r="AN37" s="2763"/>
      <c r="AO37" s="2763"/>
      <c r="AP37" s="2763"/>
      <c r="AQ37" s="2763"/>
      <c r="AR37" s="2763"/>
      <c r="AS37" s="2763"/>
      <c r="AT37" s="2763"/>
      <c r="AU37" s="2763"/>
      <c r="AV37" s="2763"/>
      <c r="AW37" s="2763"/>
      <c r="AX37" s="2763"/>
      <c r="AY37" s="2763"/>
      <c r="AZ37" s="2763"/>
      <c r="BA37" s="838"/>
      <c r="BB37" s="838"/>
      <c r="BC37" s="792"/>
      <c r="BD37" s="880"/>
      <c r="BE37" s="880"/>
      <c r="BF37" s="880"/>
      <c r="BG37" s="880"/>
      <c r="BH37" s="880"/>
      <c r="BI37" s="930">
        <v>0</v>
      </c>
    </row>
    <row s="47026" customFormat="1" customHeight="1" ht="0">
      <c r="A38" s="1880"/>
      <c r="B38" s="1880"/>
      <c r="C38" s="1880"/>
      <c r="D38" s="1880"/>
      <c r="E38" s="1880"/>
      <c r="F38" s="1880"/>
      <c r="G38" s="1880"/>
      <c r="H38" s="1880"/>
      <c r="I38" s="1880"/>
      <c r="J38" s="1880"/>
      <c r="K38" s="1880"/>
      <c r="L38" s="1881"/>
      <c r="M38" s="1880"/>
      <c r="N38" s="1880"/>
      <c r="O38" s="1880"/>
      <c r="P38" s="1880"/>
      <c r="Q38" s="1880"/>
      <c r="S38" s="835"/>
      <c r="T38" s="835"/>
      <c r="U38" s="2000"/>
      <c r="V38" s="838"/>
      <c r="W38" s="838"/>
      <c r="X38" s="838"/>
      <c r="Y38" s="838"/>
      <c r="Z38" s="838"/>
      <c r="AA38" s="838"/>
      <c r="AB38" s="838"/>
      <c r="AC38" s="790" t="s">
        <v>543</v>
      </c>
      <c r="AD38" s="838"/>
      <c r="AE38" s="838"/>
      <c r="AF38" s="838"/>
      <c r="AG38" s="838"/>
      <c r="AH38" s="838"/>
      <c r="AI38" s="838"/>
      <c r="AJ38" s="838"/>
      <c r="AK38" s="838"/>
      <c r="AL38" s="838"/>
      <c r="AM38" s="838"/>
      <c r="AN38" s="838"/>
      <c r="AO38" s="838"/>
      <c r="AP38" s="838"/>
      <c r="AQ38" s="838"/>
      <c r="AR38" s="838"/>
      <c r="AS38" s="838"/>
      <c r="AT38" s="838"/>
      <c r="AU38" s="838"/>
      <c r="AV38" s="838"/>
      <c r="AW38" s="838"/>
      <c r="AX38" s="838"/>
      <c r="AY38" s="838"/>
      <c r="AZ38" s="838"/>
      <c r="BA38" s="790" t="s">
        <v>543</v>
      </c>
      <c r="BD38" s="880"/>
      <c r="BE38" s="880"/>
      <c r="BF38" s="880"/>
      <c r="BG38" s="880"/>
      <c r="BH38" s="880"/>
      <c r="BI38" s="930">
        <v>0</v>
      </c>
    </row>
    <row customHeight="1" ht="14.699999999999998">
      <c r="Q39" s="803"/>
      <c r="R39" s="888"/>
      <c r="S39" s="1787"/>
      <c r="T39" s="875"/>
      <c r="U39" s="1756"/>
      <c r="V39" s="2764"/>
      <c r="W39" s="2764"/>
      <c r="X39" s="2764"/>
      <c r="Y39" s="2764"/>
      <c r="Z39" s="2764"/>
      <c r="AA39" s="2764"/>
      <c r="AB39" s="2764"/>
      <c r="AC39" s="2764"/>
      <c r="AD39" s="2764"/>
      <c r="AE39" s="2764"/>
      <c r="AF39" s="2764"/>
      <c r="AG39" s="2764"/>
      <c r="AH39" s="2764"/>
      <c r="AI39" s="2764"/>
      <c r="AJ39" s="2764"/>
      <c r="AK39" s="2764"/>
      <c r="AL39" s="2764"/>
      <c r="AM39" s="2764"/>
      <c r="AN39" s="2764"/>
      <c r="AO39" s="2764"/>
      <c r="AP39" s="2764"/>
      <c r="AQ39" s="2764"/>
      <c r="AR39" s="2764"/>
      <c r="AS39" s="2764"/>
      <c r="AT39" s="2764"/>
      <c r="AU39" s="2764"/>
      <c r="AV39" s="2764"/>
      <c r="AW39" s="2764"/>
      <c r="AX39" s="2764"/>
      <c r="AY39" s="2764"/>
      <c r="AZ39" s="2764"/>
      <c r="BA39" s="2764"/>
      <c r="BI39" s="1667">
        <v>14</v>
      </c>
    </row>
    <row customHeight="1" ht="14.699999999999998">
      <c r="Q40" s="803"/>
      <c r="R40" s="888"/>
      <c r="S40" s="2639" t="s">
        <v>418</v>
      </c>
      <c r="T40" s="2639"/>
      <c r="U40" s="2639"/>
      <c r="V40" s="2639"/>
      <c r="W40" s="2639"/>
      <c r="X40" s="2639"/>
      <c r="Y40" s="2639"/>
      <c r="Z40" s="2639"/>
      <c r="AA40" s="2639"/>
      <c r="AB40" s="2639"/>
      <c r="AC40" s="2639"/>
      <c r="AD40" s="2639"/>
      <c r="AE40" s="2639"/>
      <c r="AF40" s="2639"/>
      <c r="AG40" s="2639"/>
      <c r="AH40" s="2639"/>
      <c r="AI40" s="2639"/>
      <c r="AJ40" s="2639"/>
      <c r="AK40" s="2639"/>
      <c r="AL40" s="2639"/>
      <c r="AM40" s="2639"/>
      <c r="AN40" s="2639"/>
      <c r="AO40" s="2639"/>
      <c r="AP40" s="2639"/>
      <c r="AQ40" s="2639"/>
      <c r="AR40" s="2639"/>
      <c r="AS40" s="2639"/>
      <c r="AT40" s="2639"/>
      <c r="AU40" s="2639"/>
      <c r="AV40" s="2639"/>
      <c r="AW40" s="2639"/>
      <c r="AX40" s="2639"/>
      <c r="AY40" s="2639"/>
      <c r="AZ40" s="2639"/>
      <c r="BA40" s="2639"/>
      <c r="BB40" s="2639"/>
      <c r="BC40" s="2639" t="s">
        <v>419</v>
      </c>
      <c r="BI40" s="1667">
        <v>14</v>
      </c>
    </row>
    <row customHeight="1" ht="14.699999999999998">
      <c r="Q41" s="803"/>
      <c r="R41" s="888"/>
      <c r="S41" s="2785" t="s">
        <v>90</v>
      </c>
      <c r="T41" s="2721" t="s">
        <v>622</v>
      </c>
      <c r="U41" s="813"/>
      <c r="V41" s="2786" t="s">
        <v>545</v>
      </c>
      <c r="W41" s="2787"/>
      <c r="X41" s="2787"/>
      <c r="Y41" s="2787"/>
      <c r="Z41" s="2787"/>
      <c r="AA41" s="2787"/>
      <c r="AB41" s="2788"/>
      <c r="AC41" s="2789" t="s">
        <v>546</v>
      </c>
      <c r="AD41" s="2840" t="s">
        <v>623</v>
      </c>
      <c r="AE41" s="2803"/>
      <c r="AF41" s="2803"/>
      <c r="AG41" s="2841"/>
      <c r="AH41" s="2840" t="s">
        <v>624</v>
      </c>
      <c r="AI41" s="2803"/>
      <c r="AJ41" s="2803"/>
      <c r="AK41" s="2841"/>
      <c r="AL41" s="2840" t="s">
        <v>625</v>
      </c>
      <c r="AM41" s="2803"/>
      <c r="AN41" s="2803"/>
      <c r="AO41" s="2841"/>
      <c r="AP41" s="2840" t="s">
        <v>626</v>
      </c>
      <c r="AQ41" s="2803"/>
      <c r="AR41" s="2803"/>
      <c r="AS41" s="2841"/>
      <c r="AT41" s="2786" t="s">
        <v>545</v>
      </c>
      <c r="AU41" s="2787"/>
      <c r="AV41" s="2787"/>
      <c r="AW41" s="2787"/>
      <c r="AX41" s="2787"/>
      <c r="AY41" s="2787"/>
      <c r="AZ41" s="2788"/>
      <c r="BA41" s="2789" t="s">
        <v>546</v>
      </c>
      <c r="BB41" s="2792" t="s">
        <v>548</v>
      </c>
      <c r="BC41" s="2639"/>
      <c r="BI41" s="1667">
        <v>14</v>
      </c>
    </row>
    <row customHeight="1" ht="35.699999999999996">
      <c r="Q42" s="803"/>
      <c r="R42" s="888"/>
      <c r="S42" s="2785"/>
      <c r="T42" s="2721"/>
      <c r="U42" s="1543"/>
      <c r="V42" s="2704" t="s">
        <v>627</v>
      </c>
      <c r="W42" s="2705"/>
      <c r="X42" s="2704" t="s">
        <v>628</v>
      </c>
      <c r="Y42" s="2705"/>
      <c r="Z42" s="2806" t="s">
        <v>629</v>
      </c>
      <c r="AA42" s="2825"/>
      <c r="AB42" s="2826"/>
      <c r="AC42" s="2790"/>
      <c r="AD42" s="2842"/>
      <c r="AE42" s="2843"/>
      <c r="AF42" s="2843"/>
      <c r="AG42" s="2844"/>
      <c r="AH42" s="2842"/>
      <c r="AI42" s="2843"/>
      <c r="AJ42" s="2843"/>
      <c r="AK42" s="2844"/>
      <c r="AL42" s="2842"/>
      <c r="AM42" s="2843"/>
      <c r="AN42" s="2843"/>
      <c r="AO42" s="2844"/>
      <c r="AP42" s="2842"/>
      <c r="AQ42" s="2843"/>
      <c r="AR42" s="2843"/>
      <c r="AS42" s="2844"/>
      <c r="AT42" s="2704" t="s">
        <v>627</v>
      </c>
      <c r="AU42" s="2705"/>
      <c r="AV42" s="2704" t="s">
        <v>628</v>
      </c>
      <c r="AW42" s="2705"/>
      <c r="AX42" s="2806" t="s">
        <v>629</v>
      </c>
      <c r="AY42" s="2825"/>
      <c r="AZ42" s="2826"/>
      <c r="BA42" s="2790"/>
      <c r="BB42" s="2793"/>
      <c r="BC42" s="2639"/>
      <c r="BI42" s="1667">
        <v>34</v>
      </c>
    </row>
    <row customHeight="1" ht="14.699999999999998">
      <c r="Q43" s="803"/>
      <c r="R43" s="888"/>
      <c r="S43" s="2785"/>
      <c r="T43" s="2721"/>
      <c r="U43" s="1543"/>
      <c r="V43" s="2712"/>
      <c r="W43" s="2713"/>
      <c r="X43" s="2712"/>
      <c r="Y43" s="2713"/>
      <c r="Z43" s="2807"/>
      <c r="AA43" s="2827"/>
      <c r="AB43" s="2828"/>
      <c r="AC43" s="2790"/>
      <c r="AD43" s="2842"/>
      <c r="AE43" s="2843"/>
      <c r="AF43" s="2843"/>
      <c r="AG43" s="2844"/>
      <c r="AH43" s="2842"/>
      <c r="AI43" s="2843"/>
      <c r="AJ43" s="2843"/>
      <c r="AK43" s="2844"/>
      <c r="AL43" s="2842"/>
      <c r="AM43" s="2843"/>
      <c r="AN43" s="2843"/>
      <c r="AO43" s="2844"/>
      <c r="AP43" s="2842"/>
      <c r="AQ43" s="2843"/>
      <c r="AR43" s="2843"/>
      <c r="AS43" s="2844"/>
      <c r="AT43" s="2712"/>
      <c r="AU43" s="2713"/>
      <c r="AV43" s="2712"/>
      <c r="AW43" s="2713"/>
      <c r="AX43" s="2807"/>
      <c r="AY43" s="2827"/>
      <c r="AZ43" s="2828"/>
      <c r="BA43" s="2790"/>
      <c r="BB43" s="2793"/>
      <c r="BC43" s="2639"/>
      <c r="BI43" s="1667">
        <v>14</v>
      </c>
    </row>
    <row customHeight="1" ht="14.699999999999998">
      <c r="A44" s="1882"/>
      <c r="B44" s="1882" t="s">
        <v>191</v>
      </c>
      <c r="C44" s="1882" t="s">
        <v>192</v>
      </c>
      <c r="D44" s="1882" t="s">
        <v>193</v>
      </c>
      <c r="E44" s="1876" t="s">
        <v>553</v>
      </c>
      <c r="F44" s="1876" t="s">
        <v>554</v>
      </c>
      <c r="G44" s="1876" t="s">
        <v>555</v>
      </c>
      <c r="H44" s="1876" t="s">
        <v>556</v>
      </c>
      <c r="I44" s="1876" t="s">
        <v>557</v>
      </c>
      <c r="J44" s="1876" t="s">
        <v>558</v>
      </c>
      <c r="K44" s="1876" t="s">
        <v>559</v>
      </c>
      <c r="L44" s="1876" t="s">
        <v>534</v>
      </c>
      <c r="Q44" s="803"/>
      <c r="R44" s="888"/>
      <c r="S44" s="2785"/>
      <c r="T44" s="2721"/>
      <c r="U44" s="814"/>
      <c r="V44" s="1991" t="s">
        <v>593</v>
      </c>
      <c r="W44" s="1991" t="s">
        <v>594</v>
      </c>
      <c r="X44" s="1991" t="s">
        <v>593</v>
      </c>
      <c r="Y44" s="1991" t="s">
        <v>594</v>
      </c>
      <c r="Z44" s="2001" t="s">
        <v>562</v>
      </c>
      <c r="AA44" s="2782" t="s">
        <v>563</v>
      </c>
      <c r="AB44" s="2783"/>
      <c r="AC44" s="2791"/>
      <c r="AD44" s="2845"/>
      <c r="AE44" s="2846"/>
      <c r="AF44" s="2846"/>
      <c r="AG44" s="2847"/>
      <c r="AH44" s="2845"/>
      <c r="AI44" s="2846"/>
      <c r="AJ44" s="2846"/>
      <c r="AK44" s="2847"/>
      <c r="AL44" s="2845"/>
      <c r="AM44" s="2846"/>
      <c r="AN44" s="2846"/>
      <c r="AO44" s="2847"/>
      <c r="AP44" s="2845"/>
      <c r="AQ44" s="2846"/>
      <c r="AR44" s="2846"/>
      <c r="AS44" s="2847"/>
      <c r="AT44" s="1991" t="s">
        <v>593</v>
      </c>
      <c r="AU44" s="1991" t="s">
        <v>594</v>
      </c>
      <c r="AV44" s="1991" t="s">
        <v>593</v>
      </c>
      <c r="AW44" s="1991" t="s">
        <v>594</v>
      </c>
      <c r="AX44" s="2001" t="s">
        <v>562</v>
      </c>
      <c r="AY44" s="2782" t="s">
        <v>563</v>
      </c>
      <c r="AZ44" s="2783"/>
      <c r="BA44" s="2791"/>
      <c r="BB44" s="2794"/>
      <c r="BC44" s="2639"/>
      <c r="BI44" s="1667">
        <v>14</v>
      </c>
    </row>
    <row s="47496" customFormat="1" customHeight="1" ht="0">
      <c r="A45" s="1882"/>
      <c r="B45" s="1882"/>
      <c r="C45" s="1882"/>
      <c r="D45" s="1882"/>
      <c r="E45" s="1882"/>
      <c r="F45" s="1882"/>
      <c r="G45" s="1882"/>
      <c r="H45" s="1882"/>
      <c r="I45" s="1882"/>
      <c r="J45" s="1882"/>
      <c r="K45" s="1882"/>
      <c r="L45" s="1876"/>
      <c r="M45" s="1874"/>
      <c r="N45" s="1874"/>
      <c r="O45" s="1874"/>
      <c r="P45" s="1022"/>
      <c r="Q45" s="1766"/>
      <c r="R45" s="1766">
        <v>1</v>
      </c>
      <c r="S45" s="1789" t="s">
        <v>101</v>
      </c>
      <c r="T45" s="1767" t="s">
        <v>105</v>
      </c>
      <c r="U45" s="1757" t="str">
        <f>OFFSET(U45,0,-1)</f>
        <v>2</v>
      </c>
      <c r="V45" s="1994">
        <f>OFFSET(V45,0,-1)+1</f>
        <v>3</v>
      </c>
      <c r="W45" s="1994">
        <f>OFFSET(W45,0,-1)+1</f>
        <v>4</v>
      </c>
      <c r="X45" s="1994">
        <f>OFFSET(X45,0,-1)+1</f>
        <v>5</v>
      </c>
      <c r="Y45" s="1994">
        <f>OFFSET(Y45,0,-1)+1</f>
        <v>6</v>
      </c>
      <c r="Z45" s="1994">
        <f>OFFSET(Z45,0,-1)+1</f>
        <v>7</v>
      </c>
      <c r="AA45" s="2784">
        <f>OFFSET(AA45,0,-1)+1</f>
        <v>8</v>
      </c>
      <c r="AB45" s="2784"/>
      <c r="AC45" s="1994">
        <f>OFFSET(AC45,0,-2)+1</f>
        <v>9</v>
      </c>
      <c r="AD45" s="1994">
        <f>OFFSET(AD45,0,-1)+1</f>
        <v>10</v>
      </c>
      <c r="AE45" s="1994"/>
      <c r="AF45" s="1994"/>
      <c r="AG45" s="1994"/>
      <c r="AH45" s="1994"/>
      <c r="AI45" s="1994"/>
      <c r="AJ45" s="1994"/>
      <c r="AK45" s="1994"/>
      <c r="AL45" s="1994"/>
      <c r="AM45" s="1994"/>
      <c r="AN45" s="1994"/>
      <c r="AO45" s="1994"/>
      <c r="AP45" s="1994"/>
      <c r="AQ45" s="1994"/>
      <c r="AR45" s="1994"/>
      <c r="AS45" s="1994"/>
      <c r="AT45" s="1994"/>
      <c r="AU45" s="1994"/>
      <c r="AV45" s="1994"/>
      <c r="AW45" s="1994">
        <f>OFFSET(AW45,0,-1)+1</f>
        <v>1</v>
      </c>
      <c r="AX45" s="1994">
        <f>OFFSET(AX45,0,-1)+1</f>
        <v>2</v>
      </c>
      <c r="AY45" s="2784">
        <f>OFFSET(AY45,0,-1)+1</f>
        <v>3</v>
      </c>
      <c r="AZ45" s="2784"/>
      <c r="BA45" s="1994">
        <f>OFFSET(BA45,0,-2)+1</f>
        <v>4</v>
      </c>
      <c r="BB45" s="1757">
        <f>OFFSET(BB45,0,-1)</f>
        <v>4</v>
      </c>
      <c r="BC45" s="1994">
        <f>OFFSET(BC45,0,-1)+1</f>
        <v>5</v>
      </c>
      <c r="BD45" s="1023"/>
      <c r="BE45" s="1023"/>
      <c r="BF45" s="1023"/>
      <c r="BG45" s="1023"/>
      <c r="BH45" s="1023"/>
      <c r="BI45" s="1008">
        <v>0</v>
      </c>
    </row>
    <row customHeight="1" ht="22.049999999999997">
      <c r="A46" s="1875" t="s">
        <v>310</v>
      </c>
      <c r="B46" s="1875"/>
      <c r="C46" s="1875"/>
      <c r="D46" s="1875"/>
      <c r="E46" s="2770">
        <v>1</v>
      </c>
      <c r="F46" s="1875"/>
      <c r="G46" s="1875"/>
      <c r="H46" s="1875"/>
      <c r="I46" s="1875"/>
      <c r="J46" s="1875"/>
      <c r="K46" s="1875"/>
      <c r="L46" s="1876"/>
      <c r="M46" s="1877"/>
      <c r="N46" s="1877"/>
      <c r="O46" s="1877"/>
      <c r="P46" s="1921"/>
      <c r="Q46" s="1385"/>
      <c r="R46" s="867"/>
      <c r="S46" s="2005">
        <f>INDEX(PT_DIFFERENTIATION_NUM_NTAR,MATCH(A46,PT_DIFFERENTIATION_NTAR_ID,0))</f>
        <v>0</v>
      </c>
      <c r="T46" s="810" t="s">
        <v>179</v>
      </c>
      <c r="U46" s="812"/>
      <c r="V46" s="2755"/>
      <c r="W46" s="2755"/>
      <c r="X46" s="2755"/>
      <c r="Y46" s="2755"/>
      <c r="Z46" s="2755"/>
      <c r="AA46" s="2755"/>
      <c r="AB46" s="2755"/>
      <c r="AC46" s="2756"/>
      <c r="AD46" s="2754" t="str">
        <f>INDEX(PT_DIFFERENTIATION_NTAR,MATCH(A46,PT_DIFFERENTIATION_NTAR_ID,0))</f>
        <v/>
      </c>
      <c r="AE46" s="2755"/>
      <c r="AF46" s="2755"/>
      <c r="AG46" s="2755"/>
      <c r="AH46" s="2755"/>
      <c r="AI46" s="2755"/>
      <c r="AJ46" s="2755"/>
      <c r="AK46" s="2755"/>
      <c r="AL46" s="2755"/>
      <c r="AM46" s="2755"/>
      <c r="AN46" s="2755"/>
      <c r="AO46" s="2755"/>
      <c r="AP46" s="2755"/>
      <c r="AQ46" s="2755"/>
      <c r="AR46" s="2755"/>
      <c r="AS46" s="2755"/>
      <c r="AT46" s="2755"/>
      <c r="AU46" s="2755"/>
      <c r="AV46" s="2755"/>
      <c r="AW46" s="2755"/>
      <c r="AX46" s="2755"/>
      <c r="AY46" s="2755"/>
      <c r="AZ46" s="2755"/>
      <c r="BA46" s="2755"/>
      <c r="BB46" s="2756"/>
      <c r="BC46"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1012"/>
      <c r="BF46" s="1012" t="str">
        <f>IF(T46="","",T46)</f>
        <v>Наименование тарифа</v>
      </c>
      <c r="BG46" s="1012"/>
      <c r="BH46" s="1012"/>
      <c r="BI46" s="1667">
        <v>21</v>
      </c>
    </row>
    <row customHeight="1" ht="22.049999999999997">
      <c r="A47" s="1875" t="s">
        <v>310</v>
      </c>
      <c r="B47" s="1875" t="s">
        <v>311</v>
      </c>
      <c r="C47" s="1875"/>
      <c r="D47" s="1875"/>
      <c r="E47" s="2771"/>
      <c r="F47" s="2770">
        <v>1</v>
      </c>
      <c r="G47" s="1875"/>
      <c r="H47" s="1875"/>
      <c r="I47" s="1875"/>
      <c r="J47" s="1875"/>
      <c r="K47" s="1875"/>
      <c r="L47" s="1876"/>
      <c r="M47" s="1877"/>
      <c r="N47" s="1877"/>
      <c r="O47" s="1877"/>
      <c r="P47" s="1922"/>
      <c r="Q47" s="1923"/>
      <c r="R47" s="865"/>
      <c r="S47" s="2005" t="str">
        <f>INDEX(PT_DIFFERENTIATION_NUM_TER,MATCH(B47,PT_DIFFERENTIATION_TER_ID,0))</f>
        <v>.</v>
      </c>
      <c r="T47" s="820" t="s">
        <v>515</v>
      </c>
      <c r="U47" s="812"/>
      <c r="V47" s="2755"/>
      <c r="W47" s="2755"/>
      <c r="X47" s="2755"/>
      <c r="Y47" s="2755"/>
      <c r="Z47" s="2755"/>
      <c r="AA47" s="2755"/>
      <c r="AB47" s="2755"/>
      <c r="AC47" s="2756"/>
      <c r="AD47" s="2754" t="str">
        <f>INDEX(PT_DIFFERENTIATION_TER,MATCH(B47,PT_DIFFERENTIATION_TER_ID,0))</f>
        <v/>
      </c>
      <c r="AE47" s="2755"/>
      <c r="AF47" s="2755"/>
      <c r="AG47" s="2755"/>
      <c r="AH47" s="2755"/>
      <c r="AI47" s="2755"/>
      <c r="AJ47" s="2755"/>
      <c r="AK47" s="2755"/>
      <c r="AL47" s="2755"/>
      <c r="AM47" s="2755"/>
      <c r="AN47" s="2755"/>
      <c r="AO47" s="2755"/>
      <c r="AP47" s="2755"/>
      <c r="AQ47" s="2755"/>
      <c r="AR47" s="2755"/>
      <c r="AS47" s="2755"/>
      <c r="AT47" s="2755"/>
      <c r="AU47" s="2755"/>
      <c r="AV47" s="2755"/>
      <c r="AW47" s="2755"/>
      <c r="AX47" s="2755"/>
      <c r="AY47" s="2755"/>
      <c r="AZ47" s="2755"/>
      <c r="BA47" s="2755"/>
      <c r="BB47" s="2756"/>
      <c r="BC47" s="1770" t="s">
        <v>516</v>
      </c>
      <c r="BE47" s="1012"/>
      <c r="BF47" s="1012" t="str">
        <f>IF(T47="","",T47)</f>
        <v>Территория действия тарифа</v>
      </c>
      <c r="BG47" s="1012"/>
      <c r="BH47" s="1012"/>
      <c r="BI47" s="1667">
        <v>21</v>
      </c>
    </row>
    <row customHeight="1" ht="35.699999999999996">
      <c r="A48" s="1875" t="s">
        <v>310</v>
      </c>
      <c r="B48" s="1875" t="s">
        <v>311</v>
      </c>
      <c r="C48" s="1875" t="s">
        <v>312</v>
      </c>
      <c r="D48" s="1875"/>
      <c r="E48" s="2771"/>
      <c r="F48" s="2771"/>
      <c r="G48" s="2770">
        <v>1</v>
      </c>
      <c r="H48" s="1875"/>
      <c r="I48" s="1875"/>
      <c r="J48" s="1875"/>
      <c r="K48" s="1875"/>
      <c r="L48" s="1876"/>
      <c r="M48" s="1877"/>
      <c r="N48" s="1877"/>
      <c r="O48" s="1877"/>
      <c r="P48" s="1924"/>
      <c r="Q48" s="1923"/>
      <c r="R48" s="865"/>
      <c r="S48" s="2005" t="str">
        <f>INDEX(PT_DIFFERENTIATION_NUM_CS,MATCH(C48,PT_DIFFERENTIATION_CS_ID,0))</f>
        <v>..</v>
      </c>
      <c r="T48" s="821" t="s">
        <v>647</v>
      </c>
      <c r="U48" s="812"/>
      <c r="V48" s="2755"/>
      <c r="W48" s="2755"/>
      <c r="X48" s="2755"/>
      <c r="Y48" s="2755"/>
      <c r="Z48" s="2755"/>
      <c r="AA48" s="2755"/>
      <c r="AB48" s="2755"/>
      <c r="AC48" s="2756"/>
      <c r="AD48" s="2754" t="str">
        <f>INDEX(PT_DIFFERENTIATION_CS,MATCH(C48,PT_DIFFERENTIATION_CS_ID,0))</f>
        <v/>
      </c>
      <c r="AE48" s="2755"/>
      <c r="AF48" s="2755"/>
      <c r="AG48" s="2755"/>
      <c r="AH48" s="2755"/>
      <c r="AI48" s="2755"/>
      <c r="AJ48" s="2755"/>
      <c r="AK48" s="2755"/>
      <c r="AL48" s="2755"/>
      <c r="AM48" s="2755"/>
      <c r="AN48" s="2755"/>
      <c r="AO48" s="2755"/>
      <c r="AP48" s="2755"/>
      <c r="AQ48" s="2755"/>
      <c r="AR48" s="2755"/>
      <c r="AS48" s="2755"/>
      <c r="AT48" s="2755"/>
      <c r="AU48" s="2755"/>
      <c r="AV48" s="2755"/>
      <c r="AW48" s="2755"/>
      <c r="AX48" s="2755"/>
      <c r="AY48" s="2755"/>
      <c r="AZ48" s="2755"/>
      <c r="BA48" s="2755"/>
      <c r="BB48" s="2756"/>
      <c r="BC48" s="1770" t="s">
        <v>648</v>
      </c>
      <c r="BE48" s="1012"/>
      <c r="BF48" s="1012" t="str">
        <f>IF(T48="","",T48)</f>
        <v>Наименование централизованной системы горячего водоснабжения</v>
      </c>
      <c r="BG48" s="1012"/>
      <c r="BH48" s="1012"/>
      <c r="BI48" s="1667">
        <v>34</v>
      </c>
    </row>
    <row s="46890" customFormat="1" customHeight="1" ht="0">
      <c r="A49" s="1855" t="s">
        <v>310</v>
      </c>
      <c r="B49" s="1855" t="s">
        <v>311</v>
      </c>
      <c r="C49" s="1855" t="s">
        <v>312</v>
      </c>
      <c r="D49" s="1855" t="s">
        <v>661</v>
      </c>
      <c r="E49" s="2771"/>
      <c r="F49" s="2771"/>
      <c r="G49" s="2771"/>
      <c r="H49" s="2770">
        <v>1</v>
      </c>
      <c r="I49" s="1855"/>
      <c r="J49" s="1855"/>
      <c r="K49" s="1855"/>
      <c r="L49" s="1858"/>
      <c r="M49" s="1827"/>
      <c r="N49" s="1827"/>
      <c r="O49" s="1827"/>
      <c r="P49" s="2009"/>
      <c r="Q49" s="2010"/>
      <c r="R49" s="869"/>
      <c r="S49" s="1554"/>
      <c r="T49" s="2011"/>
      <c r="U49" s="1896"/>
      <c r="V49" s="2809"/>
      <c r="W49" s="2809"/>
      <c r="X49" s="2809"/>
      <c r="Y49" s="2809"/>
      <c r="Z49" s="2809"/>
      <c r="AA49" s="2809"/>
      <c r="AB49" s="2809"/>
      <c r="AC49" s="2810"/>
      <c r="AD49" s="2808"/>
      <c r="AE49" s="2809"/>
      <c r="AF49" s="2809"/>
      <c r="AG49" s="2809"/>
      <c r="AH49" s="2809"/>
      <c r="AI49" s="2809"/>
      <c r="AJ49" s="2809"/>
      <c r="AK49" s="2809"/>
      <c r="AL49" s="2809"/>
      <c r="AM49" s="2809"/>
      <c r="AN49" s="2809"/>
      <c r="AO49" s="2809"/>
      <c r="AP49" s="2809"/>
      <c r="AQ49" s="2809"/>
      <c r="AR49" s="2809"/>
      <c r="AS49" s="2809"/>
      <c r="AT49" s="2809"/>
      <c r="AU49" s="2809"/>
      <c r="AV49" s="2809"/>
      <c r="AW49" s="2809"/>
      <c r="AX49" s="2809"/>
      <c r="AY49" s="2809"/>
      <c r="AZ49" s="2809"/>
      <c r="BA49" s="2809"/>
      <c r="BB49" s="2810"/>
      <c r="BC49" s="1897" t="s">
        <v>520</v>
      </c>
      <c r="BE49" s="1012"/>
      <c r="BF49" s="1012" t="str">
        <f>IF(T49="","",T49)</f>
        <v/>
      </c>
      <c r="BG49" s="1012"/>
      <c r="BH49" s="1012"/>
      <c r="BI49" s="1023">
        <v>0</v>
      </c>
    </row>
    <row s="46890" customFormat="1" customHeight="1" ht="0">
      <c r="A50" s="1855" t="s">
        <v>310</v>
      </c>
      <c r="B50" s="1855" t="s">
        <v>311</v>
      </c>
      <c r="C50" s="1855" t="s">
        <v>312</v>
      </c>
      <c r="D50" s="1855" t="s">
        <v>661</v>
      </c>
      <c r="E50" s="2771"/>
      <c r="F50" s="2771"/>
      <c r="G50" s="2771"/>
      <c r="H50" s="2771"/>
      <c r="I50" s="2768" t="str">
        <f>S49&amp;".1"</f>
        <v>.1</v>
      </c>
      <c r="J50" s="1855"/>
      <c r="K50" s="1855"/>
      <c r="L50" s="1858" t="s">
        <v>521</v>
      </c>
      <c r="M50" s="1022"/>
      <c r="N50" s="1022"/>
      <c r="O50" s="1022"/>
      <c r="P50" s="2769">
        <v>1</v>
      </c>
      <c r="Q50" s="1993"/>
      <c r="R50" s="868"/>
      <c r="S50" s="1554"/>
      <c r="T50" s="1895"/>
      <c r="U50" s="1896"/>
      <c r="V50" s="2809"/>
      <c r="W50" s="2809"/>
      <c r="X50" s="2809"/>
      <c r="Y50" s="2809"/>
      <c r="Z50" s="2809"/>
      <c r="AA50" s="2809"/>
      <c r="AB50" s="2809"/>
      <c r="AC50" s="2810"/>
      <c r="AD50" s="2808"/>
      <c r="AE50" s="2809"/>
      <c r="AF50" s="2809"/>
      <c r="AG50" s="2809"/>
      <c r="AH50" s="2809"/>
      <c r="AI50" s="2809"/>
      <c r="AJ50" s="2809"/>
      <c r="AK50" s="2809"/>
      <c r="AL50" s="2809"/>
      <c r="AM50" s="2809"/>
      <c r="AN50" s="2809"/>
      <c r="AO50" s="2809"/>
      <c r="AP50" s="2809"/>
      <c r="AQ50" s="2809"/>
      <c r="AR50" s="2809"/>
      <c r="AS50" s="2809"/>
      <c r="AT50" s="2809"/>
      <c r="AU50" s="2809"/>
      <c r="AV50" s="2809"/>
      <c r="AW50" s="2809"/>
      <c r="AX50" s="2809"/>
      <c r="AY50" s="2809"/>
      <c r="AZ50" s="2809"/>
      <c r="BA50" s="2809"/>
      <c r="BB50" s="2810"/>
      <c r="BC50" s="1897"/>
      <c r="BE50" s="1012"/>
      <c r="BF50" s="1012" t="str">
        <f>IF(T50="","",T50)</f>
        <v/>
      </c>
      <c r="BG50" s="1012"/>
      <c r="BH50" s="1012"/>
      <c r="BI50" s="1023">
        <v>0</v>
      </c>
    </row>
    <row s="46890" customFormat="1" customHeight="1" ht="0">
      <c r="A51" s="1855" t="s">
        <v>310</v>
      </c>
      <c r="B51" s="1855" t="s">
        <v>311</v>
      </c>
      <c r="C51" s="1855" t="s">
        <v>312</v>
      </c>
      <c r="D51" s="1855" t="s">
        <v>661</v>
      </c>
      <c r="E51" s="2771"/>
      <c r="F51" s="2771"/>
      <c r="G51" s="2771"/>
      <c r="H51" s="2771"/>
      <c r="I51" s="2798"/>
      <c r="J51" s="2768" t="str">
        <f>S49&amp;".1"</f>
        <v>.1</v>
      </c>
      <c r="K51" s="1855"/>
      <c r="L51" s="1858"/>
      <c r="M51" s="1022"/>
      <c r="N51" s="1022"/>
      <c r="O51" s="1022"/>
      <c r="P51" s="2769"/>
      <c r="Q51" s="2769">
        <v>1</v>
      </c>
      <c r="R51" s="869"/>
      <c r="S51" s="1554"/>
      <c r="T51" s="1911"/>
      <c r="U51" s="1896"/>
      <c r="V51" s="2809"/>
      <c r="W51" s="2809"/>
      <c r="X51" s="2809"/>
      <c r="Y51" s="2809"/>
      <c r="Z51" s="2809"/>
      <c r="AA51" s="2809"/>
      <c r="AB51" s="2809"/>
      <c r="AC51" s="2810"/>
      <c r="AD51" s="2808"/>
      <c r="AE51" s="2809"/>
      <c r="AF51" s="2809"/>
      <c r="AG51" s="2809"/>
      <c r="AH51" s="2809"/>
      <c r="AI51" s="2809"/>
      <c r="AJ51" s="2809"/>
      <c r="AK51" s="2809"/>
      <c r="AL51" s="2809"/>
      <c r="AM51" s="2809"/>
      <c r="AN51" s="2876"/>
      <c r="AO51" s="2876"/>
      <c r="AP51" s="2809"/>
      <c r="AQ51" s="2809"/>
      <c r="AR51" s="2809"/>
      <c r="AS51" s="2809"/>
      <c r="AT51" s="2809"/>
      <c r="AU51" s="2809"/>
      <c r="AV51" s="2809"/>
      <c r="AW51" s="2809"/>
      <c r="AX51" s="2809"/>
      <c r="AY51" s="2809"/>
      <c r="AZ51" s="2809"/>
      <c r="BA51" s="2809"/>
      <c r="BB51" s="2810"/>
      <c r="BC51" s="1897"/>
      <c r="BE51" s="1012"/>
      <c r="BF51" s="1012" t="str">
        <f>IF(T51="","",T51)</f>
        <v/>
      </c>
      <c r="BG51" s="1012"/>
      <c r="BH51" s="1012"/>
      <c r="BI51" s="1023">
        <v>0</v>
      </c>
    </row>
    <row customHeight="1" ht="11.549999999999999">
      <c r="A52" s="1875" t="s">
        <v>310</v>
      </c>
      <c r="B52" s="1875" t="s">
        <v>311</v>
      </c>
      <c r="C52" s="1875" t="s">
        <v>312</v>
      </c>
      <c r="D52" s="1875" t="s">
        <v>661</v>
      </c>
      <c r="E52" s="2771"/>
      <c r="F52" s="2771"/>
      <c r="G52" s="2771"/>
      <c r="H52" s="2771"/>
      <c r="I52" s="2798"/>
      <c r="J52" s="2798"/>
      <c r="K52" s="2768" t="str">
        <f>S48&amp;".1"</f>
        <v>...1</v>
      </c>
      <c r="L52" s="1876"/>
      <c r="P52" s="2769"/>
      <c r="Q52" s="2769"/>
      <c r="R52" s="869">
        <v>1</v>
      </c>
      <c r="S52" s="2853" t="str">
        <f>$K52</f>
        <v>...1</v>
      </c>
      <c r="T52" s="2872"/>
      <c r="U52" s="812"/>
      <c r="V52" s="1263"/>
      <c r="W52" s="1769"/>
      <c r="X52" s="1263"/>
      <c r="Y52" s="1769"/>
      <c r="Z52" s="2246"/>
      <c r="AA52" s="1981" t="s">
        <v>63</v>
      </c>
      <c r="AB52" s="2246"/>
      <c r="AC52" s="1981" t="s">
        <v>63</v>
      </c>
      <c r="AD52" s="2697" t="s">
        <v>63</v>
      </c>
      <c r="AE52" s="2838"/>
      <c r="AF52" s="2717">
        <v>1</v>
      </c>
      <c r="AG52" s="2875"/>
      <c r="AH52" s="2619" t="s">
        <v>63</v>
      </c>
      <c r="AI52" s="2838"/>
      <c r="AJ52" s="2717">
        <v>1</v>
      </c>
      <c r="AK52" s="2839" t="s">
        <v>28</v>
      </c>
      <c r="AL52" s="2619" t="s">
        <v>63</v>
      </c>
      <c r="AM52" s="2704"/>
      <c r="AN52" s="2717">
        <v>1</v>
      </c>
      <c r="AO52" s="2869"/>
      <c r="AP52" s="2870" t="s">
        <v>63</v>
      </c>
      <c r="AQ52" s="823"/>
      <c r="AR52" s="1998">
        <v>1</v>
      </c>
      <c r="AS52" s="2004" t="s">
        <v>28</v>
      </c>
      <c r="AT52" s="1263"/>
      <c r="AU52" s="1769"/>
      <c r="AV52" s="1263"/>
      <c r="AW52" s="1769"/>
      <c r="AX52" s="2246"/>
      <c r="AY52" s="1981" t="s">
        <v>63</v>
      </c>
      <c r="AZ52" s="2246"/>
      <c r="BA52" s="1981" t="s">
        <v>63</v>
      </c>
      <c r="BB52" s="1860"/>
      <c r="BC52" s="2765" t="s">
        <v>616</v>
      </c>
      <c r="BE52" s="1012"/>
      <c r="BF52" s="1012" t="str">
        <f>IF(T52="","",T52)</f>
        <v/>
      </c>
      <c r="BG52" s="1012"/>
      <c r="BH52" s="1012"/>
      <c r="BI52" s="1667">
        <v>11</v>
      </c>
    </row>
    <row customHeight="1" ht="11.549999999999999">
      <c r="A53" s="1875"/>
      <c r="B53" s="1875"/>
      <c r="C53" s="1875"/>
      <c r="D53" s="1875"/>
      <c r="E53" s="2771"/>
      <c r="F53" s="2771"/>
      <c r="G53" s="2771"/>
      <c r="H53" s="2771"/>
      <c r="I53" s="2798"/>
      <c r="J53" s="2798"/>
      <c r="K53" s="2768"/>
      <c r="L53" s="1876"/>
      <c r="P53" s="2769"/>
      <c r="Q53" s="2769"/>
      <c r="R53" s="869"/>
      <c r="S53" s="2854"/>
      <c r="T53" s="2873"/>
      <c r="U53" s="812"/>
      <c r="V53" s="1905"/>
      <c r="W53" s="2008"/>
      <c r="X53" s="1905"/>
      <c r="Y53" s="2008"/>
      <c r="Z53" s="1905"/>
      <c r="AA53" s="1905"/>
      <c r="AB53" s="1905"/>
      <c r="AC53" s="1905"/>
      <c r="AD53" s="2698"/>
      <c r="AE53" s="2838"/>
      <c r="AF53" s="2717"/>
      <c r="AG53" s="2875"/>
      <c r="AH53" s="2619"/>
      <c r="AI53" s="2838"/>
      <c r="AJ53" s="2717"/>
      <c r="AK53" s="2839"/>
      <c r="AL53" s="2619"/>
      <c r="AM53" s="2712"/>
      <c r="AN53" s="2717"/>
      <c r="AO53" s="2869"/>
      <c r="AP53" s="2871"/>
      <c r="AQ53" s="828"/>
      <c r="AR53" s="928"/>
      <c r="AS53" s="928" t="s">
        <v>617</v>
      </c>
      <c r="AT53" s="1905"/>
      <c r="AU53" s="2008"/>
      <c r="AV53" s="1905"/>
      <c r="AW53" s="2008"/>
      <c r="AX53" s="1905"/>
      <c r="AY53" s="1905"/>
      <c r="AZ53" s="1905"/>
      <c r="BA53" s="1905"/>
      <c r="BB53" s="1909"/>
      <c r="BC53" s="2766"/>
      <c r="BE53" s="1012"/>
      <c r="BF53" s="1012"/>
      <c r="BG53" s="1012"/>
      <c r="BH53" s="1012"/>
      <c r="BI53" s="1667">
        <v>11</v>
      </c>
    </row>
    <row customHeight="1" ht="11.549999999999999">
      <c r="A54" s="1875" t="s">
        <v>310</v>
      </c>
      <c r="B54" s="1875"/>
      <c r="C54" s="1875"/>
      <c r="D54" s="1875"/>
      <c r="E54" s="2771"/>
      <c r="F54" s="2771"/>
      <c r="G54" s="2771"/>
      <c r="H54" s="2771"/>
      <c r="I54" s="2798"/>
      <c r="J54" s="2798"/>
      <c r="K54" s="2768"/>
      <c r="L54" s="1876"/>
      <c r="P54" s="2769"/>
      <c r="Q54" s="2769"/>
      <c r="R54" s="869"/>
      <c r="S54" s="2854"/>
      <c r="T54" s="2873"/>
      <c r="U54" s="812"/>
      <c r="V54" s="1905"/>
      <c r="W54" s="2008"/>
      <c r="X54" s="1905"/>
      <c r="Y54" s="2008"/>
      <c r="Z54" s="1905"/>
      <c r="AA54" s="1905"/>
      <c r="AB54" s="1905"/>
      <c r="AC54" s="1905"/>
      <c r="AD54" s="2698"/>
      <c r="AE54" s="2838"/>
      <c r="AF54" s="2717"/>
      <c r="AG54" s="2875"/>
      <c r="AH54" s="2619"/>
      <c r="AI54" s="2838"/>
      <c r="AJ54" s="2717"/>
      <c r="AK54" s="2839"/>
      <c r="AL54" s="2619"/>
      <c r="AM54" s="828"/>
      <c r="AN54" s="2012"/>
      <c r="AO54" s="2012" t="s">
        <v>618</v>
      </c>
      <c r="AP54" s="928"/>
      <c r="AQ54" s="928"/>
      <c r="AR54" s="928"/>
      <c r="AS54" s="1905"/>
      <c r="AT54" s="1905"/>
      <c r="AU54" s="2008"/>
      <c r="AV54" s="1905"/>
      <c r="AW54" s="2008"/>
      <c r="AX54" s="1905"/>
      <c r="AY54" s="1905"/>
      <c r="AZ54" s="1905"/>
      <c r="BA54" s="1905"/>
      <c r="BB54" s="1909"/>
      <c r="BC54" s="2766"/>
      <c r="BE54" s="1012"/>
      <c r="BF54" s="1012"/>
      <c r="BG54" s="1012"/>
      <c r="BH54" s="1012"/>
      <c r="BI54" s="1667">
        <v>11</v>
      </c>
    </row>
    <row customHeight="1" ht="11.549999999999999">
      <c r="A55" s="1875" t="s">
        <v>310</v>
      </c>
      <c r="B55" s="1875"/>
      <c r="C55" s="1875"/>
      <c r="D55" s="1875"/>
      <c r="E55" s="2771"/>
      <c r="F55" s="2771"/>
      <c r="G55" s="2771"/>
      <c r="H55" s="2771"/>
      <c r="I55" s="2798"/>
      <c r="J55" s="2798"/>
      <c r="K55" s="2768"/>
      <c r="L55" s="1876"/>
      <c r="P55" s="2769"/>
      <c r="Q55" s="2769"/>
      <c r="R55" s="869"/>
      <c r="S55" s="2854"/>
      <c r="T55" s="2873"/>
      <c r="U55" s="812"/>
      <c r="V55" s="1905"/>
      <c r="W55" s="2008"/>
      <c r="X55" s="1905"/>
      <c r="Y55" s="2008"/>
      <c r="Z55" s="1905"/>
      <c r="AA55" s="1905"/>
      <c r="AB55" s="1905"/>
      <c r="AC55" s="1905"/>
      <c r="AD55" s="2698"/>
      <c r="AE55" s="2838"/>
      <c r="AF55" s="2717"/>
      <c r="AG55" s="2875"/>
      <c r="AH55" s="2619"/>
      <c r="AI55" s="806"/>
      <c r="AJ55" s="927"/>
      <c r="AK55" s="825" t="s">
        <v>619</v>
      </c>
      <c r="AL55" s="1905"/>
      <c r="AM55" s="1905"/>
      <c r="AN55" s="1905"/>
      <c r="AO55" s="1905"/>
      <c r="AP55" s="1905"/>
      <c r="AQ55" s="1905"/>
      <c r="AR55" s="1905"/>
      <c r="AS55" s="1905"/>
      <c r="AT55" s="1905"/>
      <c r="AU55" s="2008"/>
      <c r="AV55" s="1905"/>
      <c r="AW55" s="2008"/>
      <c r="AX55" s="1905"/>
      <c r="AY55" s="1905"/>
      <c r="AZ55" s="1905"/>
      <c r="BA55" s="1905"/>
      <c r="BB55" s="1909"/>
      <c r="BC55" s="2766"/>
      <c r="BE55" s="1012"/>
      <c r="BF55" s="1012"/>
      <c r="BG55" s="1012"/>
      <c r="BH55" s="1012"/>
      <c r="BI55" s="1667">
        <v>11</v>
      </c>
    </row>
    <row customHeight="1" ht="11.549999999999999">
      <c r="A56" s="1875" t="s">
        <v>310</v>
      </c>
      <c r="B56" s="1875" t="s">
        <v>311</v>
      </c>
      <c r="C56" s="1875" t="s">
        <v>312</v>
      </c>
      <c r="D56" s="1875" t="s">
        <v>661</v>
      </c>
      <c r="E56" s="2771"/>
      <c r="F56" s="2771"/>
      <c r="G56" s="2771"/>
      <c r="H56" s="2771"/>
      <c r="I56" s="2798"/>
      <c r="J56" s="2798"/>
      <c r="K56" s="2768"/>
      <c r="L56" s="1876"/>
      <c r="P56" s="2769"/>
      <c r="Q56" s="2769"/>
      <c r="R56" s="869"/>
      <c r="S56" s="2855"/>
      <c r="T56" s="2874"/>
      <c r="U56" s="812"/>
      <c r="V56" s="1905"/>
      <c r="W56" s="1906" t="str">
        <f>Z52&amp;"-"&amp;AB52</f>
        <v>-</v>
      </c>
      <c r="X56" s="1905"/>
      <c r="Y56" s="1906" t="str">
        <f>AB52&amp;"-"&amp;AD52</f>
        <v>-да</v>
      </c>
      <c r="Z56" s="1905"/>
      <c r="AA56" s="1905"/>
      <c r="AB56" s="1905"/>
      <c r="AC56" s="1905"/>
      <c r="AD56" s="2624"/>
      <c r="AE56" s="824"/>
      <c r="AF56" s="826"/>
      <c r="AG56" s="928" t="s">
        <v>620</v>
      </c>
      <c r="AH56" s="1905"/>
      <c r="AI56" s="1905"/>
      <c r="AJ56" s="1905"/>
      <c r="AK56" s="1905"/>
      <c r="AL56" s="1905"/>
      <c r="AM56" s="1905"/>
      <c r="AN56" s="1905"/>
      <c r="AO56" s="1905"/>
      <c r="AP56" s="1905"/>
      <c r="AQ56" s="1905"/>
      <c r="AR56" s="1905"/>
      <c r="AS56" s="1905"/>
      <c r="AT56" s="1905"/>
      <c r="AU56" s="1906" t="str">
        <f>AX52&amp;"-"&amp;AZ52</f>
        <v>-</v>
      </c>
      <c r="AV56" s="1905"/>
      <c r="AW56" s="1906" t="str">
        <f>AZ52&amp;"-"&amp;BB52</f>
        <v>-</v>
      </c>
      <c r="AX56" s="1905"/>
      <c r="AY56" s="1905"/>
      <c r="AZ56" s="1905"/>
      <c r="BA56" s="1905"/>
      <c r="BB56" s="1908" t="str">
        <f>BE52&amp;"-"&amp;BG52</f>
        <v>-</v>
      </c>
      <c r="BC56" s="2766"/>
      <c r="BE56" s="1012"/>
      <c r="BF56" s="1012" t="str">
        <f>IF(T56="","",T56)</f>
        <v/>
      </c>
      <c r="BG56" s="1012"/>
      <c r="BH56" s="1012"/>
      <c r="BI56" s="1667">
        <v>11</v>
      </c>
    </row>
    <row customHeight="1" ht="11.549999999999999">
      <c r="A57" s="1875" t="s">
        <v>310</v>
      </c>
      <c r="B57" s="1875" t="s">
        <v>311</v>
      </c>
      <c r="C57" s="1875" t="s">
        <v>312</v>
      </c>
      <c r="D57" s="1875" t="s">
        <v>661</v>
      </c>
      <c r="E57" s="2771"/>
      <c r="F57" s="2771"/>
      <c r="G57" s="2771"/>
      <c r="H57" s="2771"/>
      <c r="I57" s="2798"/>
      <c r="J57" s="2768"/>
      <c r="K57" s="1875"/>
      <c r="L57" s="1876"/>
      <c r="P57" s="2769"/>
      <c r="Q57" s="2769"/>
      <c r="R57" s="868"/>
      <c r="S57" s="1790"/>
      <c r="T57" s="799" t="s">
        <v>583</v>
      </c>
      <c r="U57" s="879"/>
      <c r="V57" s="879"/>
      <c r="W57" s="879"/>
      <c r="X57" s="879"/>
      <c r="Y57" s="879"/>
      <c r="Z57" s="879"/>
      <c r="AA57" s="879"/>
      <c r="AB57" s="879"/>
      <c r="AC57" s="836"/>
      <c r="AD57" s="2017"/>
      <c r="AE57" s="879"/>
      <c r="AF57" s="879"/>
      <c r="AG57" s="879"/>
      <c r="AH57" s="879"/>
      <c r="AI57" s="879"/>
      <c r="AJ57" s="879"/>
      <c r="AK57" s="879"/>
      <c r="AL57" s="879"/>
      <c r="AM57" s="879"/>
      <c r="AN57" s="879"/>
      <c r="AO57" s="879"/>
      <c r="AP57" s="879"/>
      <c r="AQ57" s="879"/>
      <c r="AR57" s="879"/>
      <c r="AS57" s="879"/>
      <c r="AT57" s="879"/>
      <c r="AU57" s="879"/>
      <c r="AV57" s="879"/>
      <c r="AW57" s="879"/>
      <c r="AX57" s="879"/>
      <c r="AY57" s="879"/>
      <c r="AZ57" s="879"/>
      <c r="BA57" s="879"/>
      <c r="BB57" s="836"/>
      <c r="BC57" s="2767"/>
      <c r="BE57" s="1012"/>
      <c r="BF57" s="1012" t="str">
        <f>IF(T57="","",T57)</f>
        <v>Добавить строку</v>
      </c>
      <c r="BG57" s="1012"/>
      <c r="BH57" s="1012"/>
      <c r="BI57" s="1667">
        <v>11</v>
      </c>
    </row>
    <row s="46890" customFormat="1" customHeight="1" ht="0">
      <c r="A58" s="1855" t="s">
        <v>310</v>
      </c>
      <c r="B58" s="1855" t="s">
        <v>311</v>
      </c>
      <c r="C58" s="1855" t="s">
        <v>312</v>
      </c>
      <c r="D58" s="1855" t="s">
        <v>661</v>
      </c>
      <c r="E58" s="2771"/>
      <c r="F58" s="2771"/>
      <c r="G58" s="2771"/>
      <c r="H58" s="2771"/>
      <c r="I58" s="2768"/>
      <c r="J58" s="1855"/>
      <c r="K58" s="1855"/>
      <c r="L58" s="1858"/>
      <c r="M58" s="1022"/>
      <c r="N58" s="1022"/>
      <c r="O58" s="1022"/>
      <c r="P58" s="2769"/>
      <c r="Q58" s="1993"/>
      <c r="R58" s="868"/>
      <c r="S58" s="1898"/>
      <c r="T58" s="1899"/>
      <c r="U58" s="1900"/>
      <c r="V58" s="1900"/>
      <c r="W58" s="1900"/>
      <c r="X58" s="1900"/>
      <c r="Y58" s="1900"/>
      <c r="Z58" s="1900"/>
      <c r="AA58" s="1900"/>
      <c r="AB58" s="1900"/>
      <c r="AC58" s="1900"/>
      <c r="AD58" s="1900"/>
      <c r="AE58" s="1900"/>
      <c r="AF58" s="1900"/>
      <c r="AG58" s="1900"/>
      <c r="AH58" s="1900"/>
      <c r="AI58" s="1900"/>
      <c r="AJ58" s="1900"/>
      <c r="AK58" s="1900"/>
      <c r="AL58" s="1900"/>
      <c r="AM58" s="1900"/>
      <c r="AN58" s="1900"/>
      <c r="AO58" s="1900"/>
      <c r="AP58" s="1900"/>
      <c r="AQ58" s="1900"/>
      <c r="AR58" s="1900"/>
      <c r="AS58" s="1900"/>
      <c r="AT58" s="1900"/>
      <c r="AU58" s="1900"/>
      <c r="AV58" s="1900"/>
      <c r="AW58" s="1900"/>
      <c r="AX58" s="1900"/>
      <c r="AY58" s="1900"/>
      <c r="AZ58" s="1900"/>
      <c r="BA58" s="1900"/>
      <c r="BB58" s="1900"/>
      <c r="BC58" s="1901"/>
      <c r="BE58" s="1012"/>
      <c r="BF58" s="1012" t="str">
        <f>IF(T58="","",T58)</f>
        <v/>
      </c>
      <c r="BG58" s="1012"/>
      <c r="BH58" s="1012"/>
      <c r="BI58" s="1023">
        <v>0</v>
      </c>
    </row>
    <row s="46890" customFormat="1" customHeight="1" ht="0">
      <c r="A59" s="1855" t="s">
        <v>310</v>
      </c>
      <c r="B59" s="1855" t="s">
        <v>311</v>
      </c>
      <c r="C59" s="1855" t="s">
        <v>312</v>
      </c>
      <c r="D59" s="1855" t="s">
        <v>661</v>
      </c>
      <c r="E59" s="2771"/>
      <c r="F59" s="2771"/>
      <c r="G59" s="2771"/>
      <c r="H59" s="2770"/>
      <c r="I59" s="1855"/>
      <c r="J59" s="1855"/>
      <c r="K59" s="1855"/>
      <c r="L59" s="1858"/>
      <c r="M59" s="1827"/>
      <c r="N59" s="1827"/>
      <c r="O59" s="1030"/>
      <c r="P59" s="892"/>
      <c r="Q59" s="1856"/>
      <c r="R59" s="1913"/>
      <c r="S59" s="1898"/>
      <c r="T59" s="1899"/>
      <c r="U59" s="1900"/>
      <c r="V59" s="1900"/>
      <c r="W59" s="1900"/>
      <c r="X59" s="1900"/>
      <c r="Y59" s="1900"/>
      <c r="Z59" s="1900"/>
      <c r="AA59" s="1900"/>
      <c r="AB59" s="1900"/>
      <c r="AC59" s="1900"/>
      <c r="AD59" s="1900"/>
      <c r="AE59" s="1900"/>
      <c r="AF59" s="1900"/>
      <c r="AG59" s="1900"/>
      <c r="AH59" s="1900"/>
      <c r="AI59" s="1900"/>
      <c r="AJ59" s="1900"/>
      <c r="AK59" s="1900"/>
      <c r="AL59" s="1900"/>
      <c r="AM59" s="1900"/>
      <c r="AN59" s="1900"/>
      <c r="AO59" s="1900"/>
      <c r="AP59" s="1900"/>
      <c r="AQ59" s="1900"/>
      <c r="AR59" s="1900"/>
      <c r="AS59" s="1900"/>
      <c r="AT59" s="1900"/>
      <c r="AU59" s="1900"/>
      <c r="AV59" s="1900"/>
      <c r="AW59" s="1900"/>
      <c r="AX59" s="1900"/>
      <c r="AY59" s="1900"/>
      <c r="AZ59" s="1900"/>
      <c r="BA59" s="1900"/>
      <c r="BB59" s="1900"/>
      <c r="BC59" s="1901"/>
      <c r="BE59" s="1012"/>
      <c r="BF59" s="1012" t="str">
        <f>IF(T59="","",T59)</f>
        <v/>
      </c>
      <c r="BG59" s="1012"/>
      <c r="BH59" s="1012"/>
      <c r="BI59" s="1023">
        <v>0</v>
      </c>
    </row>
    <row s="46890" customFormat="1" customHeight="1" ht="0">
      <c r="A60" s="1855" t="s">
        <v>310</v>
      </c>
      <c r="B60" s="1855" t="s">
        <v>311</v>
      </c>
      <c r="C60" s="1855" t="s">
        <v>312</v>
      </c>
      <c r="D60" s="1826"/>
      <c r="E60" s="2771"/>
      <c r="F60" s="2771"/>
      <c r="G60" s="2770"/>
      <c r="H60" s="1826"/>
      <c r="I60" s="1826"/>
      <c r="J60" s="1826"/>
      <c r="K60" s="1826"/>
      <c r="L60" s="2006"/>
      <c r="M60" s="1827"/>
      <c r="N60" s="1827"/>
      <c r="P60" s="1828"/>
      <c r="Q60" s="1829"/>
      <c r="R60" s="1828"/>
      <c r="S60" s="1834"/>
      <c r="T60" s="1837"/>
      <c r="U60" s="1836"/>
      <c r="V60" s="1836"/>
      <c r="W60" s="1836"/>
      <c r="X60" s="1836"/>
      <c r="Y60" s="1836"/>
      <c r="Z60" s="1836"/>
      <c r="AA60" s="1836"/>
      <c r="AB60" s="1836"/>
      <c r="AC60" s="1836"/>
      <c r="AD60" s="1836"/>
      <c r="AE60" s="1836"/>
      <c r="AF60" s="1836"/>
      <c r="AG60" s="1836"/>
      <c r="AH60" s="1836"/>
      <c r="AI60" s="1836"/>
      <c r="AJ60" s="1836"/>
      <c r="AK60" s="1836"/>
      <c r="AL60" s="1836"/>
      <c r="AM60" s="1836"/>
      <c r="AN60" s="1836"/>
      <c r="AO60" s="1836"/>
      <c r="AP60" s="1836"/>
      <c r="AQ60" s="1836"/>
      <c r="AR60" s="1836"/>
      <c r="AS60" s="1836"/>
      <c r="AT60" s="1836"/>
      <c r="AU60" s="1836"/>
      <c r="AV60" s="1836"/>
      <c r="AW60" s="1836"/>
      <c r="AX60" s="1836"/>
      <c r="AY60" s="1836"/>
      <c r="AZ60" s="1836"/>
      <c r="BA60" s="1836"/>
      <c r="BB60" s="1836"/>
      <c r="BC60" s="1836"/>
      <c r="BE60" s="1301"/>
      <c r="BF60" s="1301" t="str">
        <f>IF(T60="","",T60)</f>
        <v/>
      </c>
      <c r="BG60" s="1301"/>
      <c r="BH60" s="1301"/>
      <c r="BI60" s="1030">
        <v>0</v>
      </c>
    </row>
    <row s="46890" customFormat="1" customHeight="1" ht="0">
      <c r="A61" s="1855" t="s">
        <v>310</v>
      </c>
      <c r="B61" s="1855" t="s">
        <v>311</v>
      </c>
      <c r="C61" s="1826"/>
      <c r="D61" s="1826"/>
      <c r="E61" s="2771"/>
      <c r="F61" s="2770"/>
      <c r="G61" s="1826"/>
      <c r="H61" s="1826"/>
      <c r="I61" s="1826"/>
      <c r="J61" s="1826"/>
      <c r="K61" s="1826"/>
      <c r="L61" s="2006"/>
      <c r="M61" s="1833"/>
      <c r="N61" s="1833"/>
      <c r="P61" s="1828"/>
      <c r="Q61" s="1829"/>
      <c r="R61" s="1828"/>
      <c r="S61" s="1834"/>
      <c r="T61" s="1837" t="s">
        <v>321</v>
      </c>
      <c r="U61" s="1836"/>
      <c r="V61" s="1836"/>
      <c r="W61" s="1836"/>
      <c r="X61" s="1836"/>
      <c r="Y61" s="1836"/>
      <c r="Z61" s="1836"/>
      <c r="AA61" s="1836"/>
      <c r="AB61" s="1836"/>
      <c r="AC61" s="1836"/>
      <c r="AD61" s="1836"/>
      <c r="AE61" s="1836"/>
      <c r="AF61" s="1836"/>
      <c r="AG61" s="1836"/>
      <c r="AH61" s="1836"/>
      <c r="AI61" s="1836"/>
      <c r="AJ61" s="1836"/>
      <c r="AK61" s="1836"/>
      <c r="AL61" s="1836"/>
      <c r="AM61" s="1836"/>
      <c r="AN61" s="1836"/>
      <c r="AO61" s="1836"/>
      <c r="AP61" s="1836"/>
      <c r="AQ61" s="1836"/>
      <c r="AR61" s="1836"/>
      <c r="AS61" s="1836"/>
      <c r="AT61" s="1836"/>
      <c r="AU61" s="1836"/>
      <c r="AV61" s="1836"/>
      <c r="AW61" s="1836"/>
      <c r="AX61" s="1836"/>
      <c r="AY61" s="1836"/>
      <c r="AZ61" s="1836"/>
      <c r="BA61" s="1836"/>
      <c r="BB61" s="1836"/>
      <c r="BC61" s="1836"/>
      <c r="BE61" s="1301"/>
      <c r="BF61" s="1301" t="str">
        <f>IF(T61="","",T61)</f>
        <v>Добавить централизованную систему для дифференциации</v>
      </c>
      <c r="BG61" s="1301"/>
      <c r="BH61" s="1301"/>
      <c r="BI61" s="1030">
        <v>0</v>
      </c>
    </row>
    <row s="46890" customFormat="1" customHeight="1" ht="0">
      <c r="A62" s="1855" t="s">
        <v>310</v>
      </c>
      <c r="B62" s="1855"/>
      <c r="C62" s="1855"/>
      <c r="D62" s="1855"/>
      <c r="E62" s="2770"/>
      <c r="F62" s="1855"/>
      <c r="G62" s="1855"/>
      <c r="H62" s="1855"/>
      <c r="I62" s="1855"/>
      <c r="J62" s="1855"/>
      <c r="K62" s="1855"/>
      <c r="L62" s="1858"/>
      <c r="M62" s="1833"/>
      <c r="N62" s="1833"/>
      <c r="O62" s="1030"/>
      <c r="P62" s="892"/>
      <c r="Q62" s="1856"/>
      <c r="R62" s="892"/>
      <c r="S62" s="1834"/>
      <c r="T62" s="1837" t="s">
        <v>385</v>
      </c>
      <c r="U62" s="1836"/>
      <c r="V62" s="1836"/>
      <c r="W62" s="1836"/>
      <c r="X62" s="1836"/>
      <c r="Y62" s="1836"/>
      <c r="Z62" s="1836"/>
      <c r="AA62" s="1836"/>
      <c r="AB62" s="1836"/>
      <c r="AC62" s="1836"/>
      <c r="AD62" s="1836"/>
      <c r="AE62" s="1836"/>
      <c r="AF62" s="1836"/>
      <c r="AG62" s="1836"/>
      <c r="AH62" s="1836"/>
      <c r="AI62" s="1836"/>
      <c r="AJ62" s="1836"/>
      <c r="AK62" s="1836"/>
      <c r="AL62" s="1836"/>
      <c r="AM62" s="1836"/>
      <c r="AN62" s="1836"/>
      <c r="AO62" s="1836"/>
      <c r="AP62" s="1836"/>
      <c r="AQ62" s="1836"/>
      <c r="AR62" s="1836"/>
      <c r="AS62" s="1836"/>
      <c r="AT62" s="1836"/>
      <c r="AU62" s="1836"/>
      <c r="AV62" s="1836"/>
      <c r="AW62" s="1836"/>
      <c r="AX62" s="1836"/>
      <c r="AY62" s="1836"/>
      <c r="AZ62" s="1836"/>
      <c r="BA62" s="1836"/>
      <c r="BB62" s="1836"/>
      <c r="BC62" s="1836"/>
      <c r="BE62" s="1012"/>
      <c r="BF62" s="1012" t="str">
        <f>IF(T62="","",T62)</f>
        <v>Добавить территорию для дифференциации</v>
      </c>
      <c r="BG62" s="1012"/>
      <c r="BH62" s="1012"/>
      <c r="BI62" s="1023">
        <v>0</v>
      </c>
    </row>
    <row s="46890" customFormat="1" customHeight="1" ht="0">
      <c r="A63" s="1826"/>
      <c r="B63" s="1826"/>
      <c r="C63" s="1826"/>
      <c r="D63" s="1826"/>
      <c r="E63" s="1855"/>
      <c r="F63" s="1826"/>
      <c r="G63" s="1826"/>
      <c r="H63" s="1826"/>
      <c r="I63" s="1826"/>
      <c r="J63" s="1826"/>
      <c r="K63" s="1826"/>
      <c r="L63" s="2006"/>
      <c r="M63" s="1833"/>
      <c r="N63" s="1833"/>
      <c r="P63" s="1828"/>
      <c r="Q63" s="1829"/>
      <c r="R63" s="1828"/>
      <c r="S63" s="1834"/>
      <c r="T63" s="1837" t="s">
        <v>386</v>
      </c>
      <c r="U63" s="1836"/>
      <c r="V63" s="1836"/>
      <c r="W63" s="1836"/>
      <c r="X63" s="1836"/>
      <c r="Y63" s="1836"/>
      <c r="Z63" s="1836"/>
      <c r="AA63" s="1836"/>
      <c r="AB63" s="1836"/>
      <c r="AC63" s="1836"/>
      <c r="AD63" s="1836"/>
      <c r="AE63" s="1836"/>
      <c r="AF63" s="1836"/>
      <c r="AG63" s="1836"/>
      <c r="AH63" s="1836"/>
      <c r="AI63" s="1836"/>
      <c r="AJ63" s="1836"/>
      <c r="AK63" s="1836"/>
      <c r="AL63" s="1836"/>
      <c r="AM63" s="1836"/>
      <c r="AN63" s="1836"/>
      <c r="AO63" s="1836"/>
      <c r="AP63" s="1836"/>
      <c r="AQ63" s="1836"/>
      <c r="AR63" s="1836"/>
      <c r="AS63" s="1836"/>
      <c r="AT63" s="1836"/>
      <c r="AU63" s="1836"/>
      <c r="AV63" s="1836"/>
      <c r="AW63" s="1836"/>
      <c r="AX63" s="1836"/>
      <c r="AY63" s="1836"/>
      <c r="AZ63" s="1836"/>
      <c r="BA63" s="1836"/>
      <c r="BB63" s="1836"/>
      <c r="BC63" s="1836"/>
      <c r="BE63" s="1301"/>
      <c r="BF63" s="1301" t="str">
        <f>IF(T63="","",T63)</f>
        <v>Добавить наименование тарифа</v>
      </c>
      <c r="BG63" s="1301"/>
      <c r="BH63" s="1301"/>
      <c r="BI63" s="1030">
        <v>0</v>
      </c>
    </row>
    <row customHeight="1" ht="11.549999999999999">
      <c r="M64" s="1672"/>
      <c r="N64" s="1672"/>
      <c r="O64" s="1049"/>
      <c r="P64" s="1672"/>
      <c r="Q64" s="1672"/>
      <c r="R64" s="1667"/>
      <c r="S64" s="1667"/>
      <c r="BD64" s="1667"/>
      <c r="BE64" s="1667"/>
      <c r="BF64" s="1667"/>
      <c r="BG64" s="1667"/>
      <c r="BH64" s="1667"/>
      <c r="BI64" s="1667">
        <v>11</v>
      </c>
    </row>
    <row customHeight="1" ht="19.95">
      <c r="O65" s="1049"/>
      <c r="S65" s="1765"/>
      <c r="T65" s="2797"/>
      <c r="U65" s="2797"/>
      <c r="V65" s="2797"/>
      <c r="W65" s="2797"/>
      <c r="X65" s="2797"/>
      <c r="Y65" s="2797"/>
      <c r="Z65" s="2797"/>
      <c r="AA65" s="2797"/>
      <c r="AB65" s="2797"/>
      <c r="AC65" s="2797"/>
      <c r="AD65" s="2797"/>
      <c r="AE65" s="2797"/>
      <c r="AF65" s="2797"/>
      <c r="AG65" s="2797"/>
      <c r="AH65" s="2797"/>
      <c r="AI65" s="2797"/>
      <c r="AJ65" s="2797"/>
      <c r="AK65" s="2797"/>
      <c r="AL65" s="2797"/>
      <c r="AM65" s="2797"/>
      <c r="AN65" s="2797"/>
      <c r="AO65" s="2797"/>
      <c r="AP65" s="2797"/>
      <c r="AQ65" s="2797"/>
      <c r="AR65" s="2797"/>
      <c r="AS65" s="2797"/>
      <c r="AT65" s="2797"/>
      <c r="AU65" s="2797"/>
      <c r="AV65" s="2797"/>
      <c r="AW65" s="2797"/>
      <c r="AX65" s="2797"/>
      <c r="AY65" s="2797"/>
      <c r="AZ65" s="2797"/>
      <c r="BA65" s="2797"/>
      <c r="BB65" s="2797"/>
      <c r="BC65" s="2797"/>
      <c r="BI65" s="1667">
        <v>19</v>
      </c>
    </row>
    <row customHeight="1" ht="14.699999999999998">
      <c r="O66" s="1049"/>
      <c r="T66" s="1992"/>
      <c r="U66" s="1992"/>
      <c r="V66" s="1992"/>
      <c r="W66" s="1992"/>
      <c r="X66" s="1992"/>
      <c r="Y66" s="1992"/>
      <c r="Z66" s="1992"/>
      <c r="AA66" s="1992"/>
      <c r="AB66" s="1992"/>
      <c r="AC66" s="1992"/>
      <c r="AD66" s="1992"/>
      <c r="AE66" s="1992"/>
      <c r="AF66" s="1992"/>
      <c r="AG66" s="1992"/>
      <c r="AH66" s="1992"/>
      <c r="AI66" s="1992"/>
      <c r="AJ66" s="1992"/>
      <c r="AK66" s="1992"/>
      <c r="AL66" s="1992"/>
      <c r="AM66" s="1992"/>
      <c r="AN66" s="1992"/>
      <c r="AO66" s="1992"/>
      <c r="AP66" s="1992"/>
      <c r="AQ66" s="1992"/>
      <c r="AR66" s="1992"/>
      <c r="AS66" s="1992"/>
      <c r="AT66" s="1992"/>
      <c r="AU66" s="1992"/>
      <c r="AV66" s="1992"/>
      <c r="AW66" s="1992"/>
      <c r="AX66" s="1992"/>
      <c r="AY66" s="1992"/>
      <c r="AZ66" s="1992"/>
      <c r="BA66" s="1992"/>
      <c r="BB66" s="1992"/>
      <c r="BC66" s="1992"/>
      <c r="BI66" s="1667">
        <v>14</v>
      </c>
    </row>
    <row customHeight="1" ht="19.95">
      <c r="O67" s="1049"/>
      <c r="S67" s="1765"/>
      <c r="T67" s="2797"/>
      <c r="U67" s="2797"/>
      <c r="V67" s="2797"/>
      <c r="W67" s="2797"/>
      <c r="X67" s="2797"/>
      <c r="Y67" s="2797"/>
      <c r="Z67" s="2797"/>
      <c r="AA67" s="2797"/>
      <c r="AB67" s="2797"/>
      <c r="AC67" s="2797"/>
      <c r="AD67" s="2797"/>
      <c r="AE67" s="2797"/>
      <c r="AF67" s="2797"/>
      <c r="AG67" s="2797"/>
      <c r="AH67" s="2797"/>
      <c r="AI67" s="2797"/>
      <c r="AJ67" s="2797"/>
      <c r="AK67" s="2797"/>
      <c r="AL67" s="2797"/>
      <c r="AM67" s="2797"/>
      <c r="AN67" s="2797"/>
      <c r="AO67" s="2797"/>
      <c r="AP67" s="2797"/>
      <c r="AQ67" s="2797"/>
      <c r="AR67" s="2797"/>
      <c r="AS67" s="2797"/>
      <c r="AT67" s="2797"/>
      <c r="AU67" s="2797"/>
      <c r="AV67" s="2797"/>
      <c r="AW67" s="2797"/>
      <c r="AX67" s="2797"/>
      <c r="AY67" s="2797"/>
      <c r="AZ67" s="2797"/>
      <c r="BA67" s="2797"/>
      <c r="BB67" s="2797"/>
      <c r="BC67" s="2797"/>
      <c r="BI67" s="1667">
        <v>19</v>
      </c>
    </row>
    <row customHeight="1" ht="14.699999999999998">
      <c r="O68" s="1049"/>
      <c r="BI68" s="1667">
        <v>14</v>
      </c>
    </row>
    <row customHeight="1" ht="14.25" hidden="1">
      <c r="A69" s="1672" t="s">
        <v>84</v>
      </c>
      <c r="B69" s="1672">
        <v>0</v>
      </c>
      <c r="C69" s="1672">
        <v>0</v>
      </c>
      <c r="D69" s="1672">
        <v>0</v>
      </c>
      <c r="E69" s="1672">
        <v>0</v>
      </c>
      <c r="F69" s="1672">
        <v>0</v>
      </c>
      <c r="G69" s="1672">
        <v>0</v>
      </c>
      <c r="H69" s="1672">
        <v>0</v>
      </c>
      <c r="I69" s="1672">
        <v>0</v>
      </c>
      <c r="J69" s="1672">
        <v>0</v>
      </c>
      <c r="K69" s="1672">
        <v>0</v>
      </c>
      <c r="L69" s="1990">
        <v>0</v>
      </c>
      <c r="M69" s="1874">
        <v>0</v>
      </c>
      <c r="N69" s="1874">
        <v>0</v>
      </c>
      <c r="O69" s="1874">
        <v>0</v>
      </c>
      <c r="P69" s="1874">
        <v>0</v>
      </c>
      <c r="Q69" s="1883">
        <v>0</v>
      </c>
      <c r="R69" s="856">
        <v>3</v>
      </c>
      <c r="S69" s="1093">
        <v>12</v>
      </c>
      <c r="T69" s="1667">
        <v>31</v>
      </c>
      <c r="U69" s="1667">
        <v>0</v>
      </c>
      <c r="V69" s="1667">
        <v>0</v>
      </c>
      <c r="W69" s="1667">
        <v>0</v>
      </c>
      <c r="X69" s="1667">
        <v>0</v>
      </c>
      <c r="Y69" s="1667">
        <v>0</v>
      </c>
      <c r="Z69" s="1667">
        <v>0</v>
      </c>
      <c r="AA69" s="1667">
        <v>0</v>
      </c>
      <c r="AB69" s="1667">
        <v>0</v>
      </c>
      <c r="AC69" s="1667">
        <v>0</v>
      </c>
      <c r="AD69" s="1667">
        <v>3</v>
      </c>
      <c r="AE69" s="1667">
        <v>3</v>
      </c>
      <c r="AF69" s="1667">
        <v>3</v>
      </c>
      <c r="AG69" s="1667">
        <v>24</v>
      </c>
      <c r="AH69" s="1667">
        <v>3</v>
      </c>
      <c r="AI69" s="1667">
        <v>3</v>
      </c>
      <c r="AJ69" s="1667">
        <v>3</v>
      </c>
      <c r="AK69" s="1667">
        <v>24</v>
      </c>
      <c r="AL69" s="1667">
        <v>3</v>
      </c>
      <c r="AM69" s="1667">
        <v>3</v>
      </c>
      <c r="AN69" s="1667">
        <v>3</v>
      </c>
      <c r="AO69" s="1667">
        <v>18</v>
      </c>
      <c r="AP69" s="1667">
        <v>3</v>
      </c>
      <c r="AQ69" s="1667">
        <v>3</v>
      </c>
      <c r="AR69" s="1667">
        <v>3</v>
      </c>
      <c r="AS69" s="1667">
        <v>18</v>
      </c>
      <c r="AT69" s="1667">
        <v>21</v>
      </c>
      <c r="AU69" s="1667">
        <v>21</v>
      </c>
      <c r="AV69" s="1667">
        <v>21</v>
      </c>
      <c r="AW69" s="1667">
        <v>21</v>
      </c>
      <c r="AX69" s="1667">
        <v>11</v>
      </c>
      <c r="AY69" s="1667">
        <v>3</v>
      </c>
      <c r="AZ69" s="1667">
        <v>11</v>
      </c>
      <c r="BA69" s="1667">
        <v>0</v>
      </c>
      <c r="BB69" s="1667">
        <v>4</v>
      </c>
      <c r="BC69" s="1667">
        <v>115</v>
      </c>
      <c r="BD69" s="1023">
        <v>10</v>
      </c>
      <c r="BE69" s="1023">
        <v>10</v>
      </c>
      <c r="BF69" s="1023">
        <v>10</v>
      </c>
      <c r="BG69" s="1023">
        <v>10</v>
      </c>
      <c r="BH69" s="1023">
        <v>10</v>
      </c>
      <c r="BI69" s="1667">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39B4962-8EFC-73B3-8DE6-0B834FA7B98C}" mc:Ignorable="x14ac xr xr2 xr3">
  <sheetPr>
    <tabColor theme="9" tint="-0.25"/>
  </sheetPr>
  <dimension ref="A1:AF303"/>
  <sheetViews>
    <sheetView topLeftCell="A1" showGridLines="0" zoomScale="90" workbookViewId="0">
      <selection activeCell="A1" sqref="A1"/>
    </sheetView>
  </sheetViews>
  <sheetFormatPr defaultColWidth="9.140625" customHeight="1" defaultRowHeight="11.25"/>
  <cols>
    <col min="1" max="1" style="54680" width="10.7109375" hidden="1" customWidth="1"/>
    <col min="2" max="2" style="46889" width="16.8515625" hidden="1" customWidth="1"/>
    <col min="3" max="3" style="46890" width="5.57421875" hidden="1" customWidth="1"/>
    <col min="4" max="4" style="46808" width="3.00390625" customWidth="1"/>
    <col min="5" max="5" style="46808" width="7.00390625" customWidth="1"/>
    <col min="6" max="6" style="46808" width="54.00390625" customWidth="1"/>
    <col min="7" max="7" style="46808" width="10.00390625" customWidth="1"/>
    <col min="8" max="8" style="46808" width="40.7109375" hidden="1" customWidth="1"/>
    <col min="9" max="9" style="46808" width="40.7109375" customWidth="1"/>
    <col min="10" max="10" style="46808" width="102.00390625" customWidth="1"/>
    <col min="11" max="11" style="46889" width="9.00390625" customWidth="1"/>
    <col min="12" max="12" style="46890" width="5.00390625" customWidth="1"/>
    <col min="13" max="13" style="46890" width="3.00390625" customWidth="1"/>
    <col min="14" max="17" style="46889" width="3.00390625" customWidth="1"/>
    <col min="18" max="18" style="46890" width="10.00390625" customWidth="1"/>
    <col min="19" max="19" style="46889" width="34.00390625" customWidth="1"/>
    <col min="20" max="20" style="46889" width="9.00390625" customWidth="1"/>
    <col min="21" max="21" style="54681" width="8.00390625" customWidth="1"/>
    <col min="22" max="26" style="46889" width="8.00390625" customWidth="1"/>
    <col min="27" max="31" style="46772" width="8.00390625" customWidth="1"/>
    <col min="32" max="32" style="46808" width="9.140625" hidden="1"/>
  </cols>
  <sheetData>
    <row customHeight="1" ht="22.5" hidden="1">
      <c r="AF1" s="2143" t="s">
        <v>14</v>
      </c>
    </row>
    <row customHeight="1" ht="23.25" hidden="1">
      <c r="B2" s="2611"/>
      <c r="C2" s="1679" t="s">
        <v>662</v>
      </c>
      <c r="D2" s="2150"/>
      <c r="E2" s="1058">
        <f>B2</f>
        <v>0</v>
      </c>
      <c r="F2" s="1059"/>
      <c r="G2" s="2158" t="s">
        <v>663</v>
      </c>
      <c r="H2" s="2158" t="s">
        <v>663</v>
      </c>
      <c r="I2" s="2158" t="s">
        <v>663</v>
      </c>
      <c r="J2" s="801" t="s">
        <v>664</v>
      </c>
      <c r="K2" s="1055"/>
      <c r="AF2" s="2143">
        <v>0</v>
      </c>
    </row>
    <row s="46890" customFormat="1" customHeight="1" ht="0.75" hidden="1">
      <c r="B3" s="2611"/>
      <c r="C3" s="1679"/>
      <c r="D3" s="1060"/>
      <c r="E3" s="1061"/>
      <c r="F3" s="1062" t="s">
        <v>665</v>
      </c>
      <c r="G3" s="1063"/>
      <c r="H3" s="1063">
        <f>H4*H5+H7</f>
        <v>0</v>
      </c>
      <c r="I3" s="1063">
        <f>I4*I5+I6</f>
        <v>0</v>
      </c>
      <c r="J3" s="1064"/>
      <c r="AF3" s="2148">
        <v>0</v>
      </c>
    </row>
    <row customHeight="1" ht="23.25" hidden="1">
      <c r="B4" s="2611"/>
      <c r="C4" s="1679"/>
      <c r="D4" s="2150"/>
      <c r="E4" s="1058" t="str">
        <f>B2&amp;".1"</f>
        <v>.1</v>
      </c>
      <c r="F4" s="1065" t="s">
        <v>666</v>
      </c>
      <c r="G4" s="1066"/>
      <c r="H4" s="1053"/>
      <c r="I4" s="1053"/>
      <c r="J4" s="801" t="s">
        <v>667</v>
      </c>
      <c r="K4" s="1055"/>
      <c r="AF4" s="2143">
        <v>0</v>
      </c>
    </row>
    <row customHeight="1" ht="18.75" hidden="1">
      <c r="B5" s="2611"/>
      <c r="C5" s="1679"/>
      <c r="D5" s="2150"/>
      <c r="E5" s="1058" t="str">
        <f>B2&amp;".2"</f>
        <v>.2</v>
      </c>
      <c r="F5" s="1065" t="s">
        <v>668</v>
      </c>
      <c r="G5" s="2158" t="s">
        <v>669</v>
      </c>
      <c r="H5" s="1053"/>
      <c r="I5" s="1053"/>
      <c r="J5" s="801"/>
      <c r="K5" s="1055"/>
      <c r="AF5" s="2143">
        <v>0</v>
      </c>
    </row>
    <row customHeight="1" ht="18.75" hidden="1">
      <c r="B6" s="2611"/>
      <c r="C6" s="1679"/>
      <c r="D6" s="2150"/>
      <c r="E6" s="1058" t="str">
        <f>B2&amp;".3"</f>
        <v>.3</v>
      </c>
      <c r="F6" s="1065" t="s">
        <v>670</v>
      </c>
      <c r="G6" s="2158" t="s">
        <v>669</v>
      </c>
      <c r="H6" s="1053"/>
      <c r="I6" s="1053"/>
      <c r="J6" s="801"/>
      <c r="K6" s="1055"/>
      <c r="AF6" s="2143">
        <v>0</v>
      </c>
    </row>
    <row customHeight="1" ht="18.75" hidden="1">
      <c r="B7" s="2611"/>
      <c r="C7" s="1679"/>
      <c r="D7" s="2150"/>
      <c r="E7" s="1058" t="str">
        <f>B2&amp;".4"</f>
        <v>.4</v>
      </c>
      <c r="F7" s="1065" t="s">
        <v>671</v>
      </c>
      <c r="G7" s="2158" t="s">
        <v>663</v>
      </c>
      <c r="H7" s="1067"/>
      <c r="I7" s="1067"/>
      <c r="J7" s="801"/>
      <c r="K7" s="1055"/>
      <c r="AF7" s="2143">
        <v>0</v>
      </c>
    </row>
    <row s="46889" customFormat="1" customHeight="1" ht="11.25" hidden="1">
      <c r="A8" s="1499"/>
      <c r="C8" s="2148"/>
      <c r="D8" s="1049"/>
      <c r="H8" s="1672">
        <v>4</v>
      </c>
      <c r="I8" s="1672">
        <v>4</v>
      </c>
      <c r="L8" s="2148"/>
      <c r="M8" s="2148"/>
      <c r="R8" s="2148"/>
      <c r="AF8" s="1672">
        <v>0</v>
      </c>
    </row>
    <row s="46889" customFormat="1" customHeight="1" ht="22.5" hidden="1">
      <c r="A9" s="1499"/>
      <c r="C9" s="2148"/>
      <c r="D9" s="1050"/>
      <c r="E9" s="2160"/>
      <c r="F9" s="1052"/>
      <c r="G9" s="2158" t="s">
        <v>669</v>
      </c>
      <c r="H9" s="1053"/>
      <c r="I9" s="1053"/>
      <c r="J9" s="1054" t="s">
        <v>672</v>
      </c>
      <c r="K9" s="1055"/>
      <c r="L9" s="2148"/>
      <c r="M9" s="2148"/>
      <c r="R9" s="2148"/>
      <c r="U9" s="1056"/>
      <c r="AA9" s="2144"/>
      <c r="AB9" s="2144"/>
      <c r="AC9" s="2144"/>
      <c r="AD9" s="2144"/>
      <c r="AE9" s="2144"/>
      <c r="AF9" s="1672">
        <v>0</v>
      </c>
    </row>
    <row customHeight="1" ht="11.25" hidden="1">
      <c r="AF10" s="2143">
        <v>0</v>
      </c>
    </row>
    <row customHeight="1" ht="18.75" hidden="1">
      <c r="D11" s="2150"/>
      <c r="E11" s="1058"/>
      <c r="F11" s="1052"/>
      <c r="G11" s="2158" t="s">
        <v>673</v>
      </c>
      <c r="H11" s="1053"/>
      <c r="I11" s="1053"/>
      <c r="J11" s="801" t="s">
        <v>674</v>
      </c>
      <c r="K11" s="1055"/>
      <c r="AF11" s="2143">
        <v>0</v>
      </c>
    </row>
    <row customHeight="1" ht="11.25" hidden="1">
      <c r="AF12" s="2143">
        <v>0</v>
      </c>
    </row>
    <row customHeight="1" ht="22.5" hidden="1">
      <c r="D13" s="2150"/>
      <c r="E13" s="1058"/>
      <c r="F13" s="1052"/>
      <c r="G13" s="1481" t="s">
        <v>675</v>
      </c>
      <c r="H13" s="1057"/>
      <c r="I13" s="1057"/>
      <c r="J13" s="1257" t="s">
        <v>676</v>
      </c>
      <c r="K13" s="1055"/>
      <c r="AF13" s="2143">
        <v>0</v>
      </c>
    </row>
    <row customHeight="1" ht="11.25" hidden="1">
      <c r="AF14" s="2143">
        <v>0</v>
      </c>
    </row>
    <row customHeight="1" ht="22.5" hidden="1">
      <c r="D15" s="2150"/>
      <c r="E15" s="1058"/>
      <c r="F15" s="1052"/>
      <c r="G15" s="2158" t="s">
        <v>677</v>
      </c>
      <c r="H15" s="1057"/>
      <c r="I15" s="1057"/>
      <c r="J15" s="801" t="s">
        <v>678</v>
      </c>
      <c r="K15" s="1055"/>
      <c r="AF15" s="2143">
        <v>0</v>
      </c>
    </row>
    <row customHeight="1" ht="11.25" hidden="1">
      <c r="AF16" s="2143">
        <v>0</v>
      </c>
    </row>
    <row customHeight="1" ht="22.5" hidden="1">
      <c r="D17" s="2150"/>
      <c r="E17" s="1058"/>
      <c r="F17" s="1052"/>
      <c r="G17" s="2158" t="s">
        <v>679</v>
      </c>
      <c r="H17" s="1057"/>
      <c r="I17" s="1057"/>
      <c r="J17" s="801" t="s">
        <v>680</v>
      </c>
      <c r="K17" s="1055"/>
      <c r="AF17" s="2143">
        <v>0</v>
      </c>
    </row>
    <row customHeight="1" ht="11.25" hidden="1">
      <c r="AF18" s="2143">
        <v>0</v>
      </c>
    </row>
    <row s="46772" customFormat="1" customHeight="1" ht="11.25" hidden="1">
      <c r="A19" s="1499"/>
      <c r="B19" s="1672"/>
      <c r="C19" s="2148"/>
      <c r="D19" s="874"/>
      <c r="J19" s="2144">
        <v>4</v>
      </c>
      <c r="K19" s="1672"/>
      <c r="L19" s="2148"/>
      <c r="M19" s="2148"/>
      <c r="N19" s="1672"/>
      <c r="O19" s="1672"/>
      <c r="P19" s="1672"/>
      <c r="Q19" s="1672"/>
      <c r="R19" s="2148"/>
      <c r="S19" s="1672"/>
      <c r="T19" s="1672"/>
      <c r="U19" s="1056"/>
      <c r="V19" s="1672"/>
      <c r="W19" s="1672"/>
      <c r="X19" s="1672"/>
      <c r="Y19" s="1672"/>
      <c r="Z19" s="1672"/>
      <c r="AF19" s="2144">
        <v>0</v>
      </c>
    </row>
    <row customHeight="1" ht="11.549999999999999">
      <c r="AF20" s="2143">
        <v>11</v>
      </c>
    </row>
    <row customHeight="1" ht="25.2">
      <c r="E21" s="2760" t="str">
        <f>FHD_NAME_FORM</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21" s="2760"/>
      <c r="G21" s="2760"/>
      <c r="H21" s="2760"/>
      <c r="I21" s="2760"/>
      <c r="J21" s="1068"/>
      <c r="AF21" s="2143">
        <v>24</v>
      </c>
    </row>
    <row customHeight="1" ht="25.2">
      <c r="E22" s="2761" t="str">
        <f>IF(org=0,"Не определено",org)</f>
        <v>КГУП "Примтеплоэнерго"</v>
      </c>
      <c r="F22" s="2761"/>
      <c r="G22" s="2761"/>
      <c r="H22" s="2761"/>
      <c r="I22" s="2761"/>
      <c r="AF22" s="2143">
        <v>24</v>
      </c>
    </row>
    <row customHeight="1" ht="11.549999999999999">
      <c r="E23" s="1647"/>
      <c r="F23" s="1647"/>
      <c r="G23" s="1647"/>
      <c r="H23" s="1647"/>
      <c r="I23" s="1647"/>
      <c r="AF23" s="2143">
        <v>11</v>
      </c>
    </row>
    <row s="46890" customFormat="1" customHeight="1" ht="1.05">
      <c r="A24" s="1679"/>
      <c r="D24" s="2154"/>
      <c r="H24" s="1401"/>
      <c r="I24" s="1401" t="s">
        <v>173</v>
      </c>
      <c r="AF24" s="2148">
        <v>1</v>
      </c>
    </row>
    <row customHeight="1" ht="11.549999999999999">
      <c r="E25" s="1223"/>
      <c r="F25" s="2879" t="s">
        <v>165</v>
      </c>
      <c r="G25" s="2880"/>
      <c r="H25" s="2164" t="str">
        <f>IF(H24="","",INDEX(DIFFERENTIATION_UNMERGE_VD,MATCH(H24,DIFFERENTIATION_ID_DIFF,0)))</f>
        <v/>
      </c>
      <c r="I25" s="2164">
        <f>IF(I24="","",INDEX(DIFFERENTIATION_UNMERGE_VD,MATCH(I24,DIFFERENTIATION_ID_DIFF,0)))</f>
        <v>0</v>
      </c>
      <c r="J25" s="2639"/>
      <c r="AF25" s="2143">
        <v>11</v>
      </c>
    </row>
    <row customHeight="1" ht="11.549999999999999">
      <c r="E26" s="1223"/>
      <c r="F26" s="2879" t="s">
        <v>681</v>
      </c>
      <c r="G26" s="2880"/>
      <c r="H26" s="2164" t="str">
        <f>IF(H24="","",INDEX(DIFFERENTIATION_UNMERGE_AREA,MATCH(H24,DIFFERENTIATION_ID_DIFF,0)))</f>
        <v/>
      </c>
      <c r="I26" s="2164" t="str">
        <f>IF(I24="","",INDEX(DIFFERENTIATION_UNMERGE_AREA,MATCH(I24,DIFFERENTIATION_ID_DIFF,0)))</f>
        <v/>
      </c>
      <c r="J26" s="2639"/>
      <c r="AF26" s="2143">
        <v>11</v>
      </c>
    </row>
    <row customHeight="1" ht="11.549999999999999">
      <c r="E27" s="1223"/>
      <c r="F27" s="2879" t="s">
        <v>682</v>
      </c>
      <c r="G27" s="2880"/>
      <c r="H27" s="2164" t="str">
        <f>IF(H24="","",INDEX(DIFFERENTIATION_UNMERGE_SYSTEM,MATCH(H24,DIFFERENTIATION_ID_DIFF,0)))</f>
        <v/>
      </c>
      <c r="I27" s="2164" t="str">
        <f>IF(I24="","",INDEX(DIFFERENTIATION_UNMERGE_SYSTEM,MATCH(I24,DIFFERENTIATION_ID_DIFF,0)))</f>
        <v>без дифференциации</v>
      </c>
      <c r="J27" s="2639"/>
      <c r="AF27" s="2143">
        <v>11</v>
      </c>
    </row>
    <row customHeight="1" ht="11.549999999999999">
      <c r="E28" s="2881" t="s">
        <v>418</v>
      </c>
      <c r="F28" s="2882"/>
      <c r="G28" s="2882"/>
      <c r="H28" s="2157"/>
      <c r="I28" s="2157"/>
      <c r="J28" s="2639"/>
      <c r="AF28" s="2143">
        <v>11</v>
      </c>
    </row>
    <row customHeight="1" ht="24">
      <c r="E29" s="2158" t="s">
        <v>90</v>
      </c>
      <c r="F29" s="2165" t="s">
        <v>420</v>
      </c>
      <c r="G29" s="2165" t="s">
        <v>683</v>
      </c>
      <c r="H29" s="2165" t="s">
        <v>421</v>
      </c>
      <c r="I29" s="2165" t="s">
        <v>421</v>
      </c>
      <c r="J29" s="2639"/>
      <c r="AF29" s="2143">
        <v>23</v>
      </c>
    </row>
    <row customHeight="1" ht="19.95">
      <c r="D30" s="2150"/>
      <c r="E30" s="1058">
        <f>FHD_NUM_P_1</f>
        <v>1</v>
      </c>
      <c r="F30" s="2392" t="str">
        <f>FHD_P_1</f>
        <v>Выручка от регулируемых видов деятельности в сфере водоотведения</v>
      </c>
      <c r="G30" s="2390" t="s">
        <v>669</v>
      </c>
      <c r="H30" s="1069"/>
      <c r="I30" s="1069"/>
      <c r="J30" s="801" t="str">
        <f>FHD_NOTE_P_1</f>
        <v>Указывается выручка с распределением по видам деятельности.</v>
      </c>
      <c r="K30" s="1055"/>
      <c r="AF30" s="2143">
        <v>19</v>
      </c>
    </row>
    <row customHeight="1" ht="11.549999999999999">
      <c r="D31" s="2150"/>
      <c r="E31" s="1058">
        <f>FHD_NUM_P_2</f>
        <v>2</v>
      </c>
      <c r="F31" s="2392" t="str">
        <f>FHD_P_2</f>
        <v>Себестоимость производимых товаров (оказываемых услуг) по регулируемым видам деятельности в сфере водоотведения, включая:</v>
      </c>
      <c r="G31" s="2390" t="s">
        <v>669</v>
      </c>
      <c r="H31" s="1070">
        <f>SUMIF($K33:$K71,$K31,H33:H71)</f>
        <v>0</v>
      </c>
      <c r="I31" s="1070">
        <f>SUMIF($K33:$K71,$K31,I33:I71)</f>
        <v>0</v>
      </c>
      <c r="J31" s="801" t="str">
        <f>FHD_NOTE_P_2</f>
        <v>Указывается суммарная себестоимость производимых товаров.</v>
      </c>
      <c r="K31" s="2148" t="s">
        <v>684</v>
      </c>
      <c r="AF31" s="2143">
        <v>11</v>
      </c>
    </row>
    <row customHeight="1" ht="11.549999999999999">
      <c r="D32" s="2150"/>
      <c r="E32" s="1058" t="str">
        <f>FHD_NUM_P_3</f>
        <v>2.1</v>
      </c>
      <c r="F32" s="2036" t="str">
        <f>FHD_P_3</f>
        <v>Расходы на оплату услуг по приему, транспортировке и очистке сточных вод другими организациями</v>
      </c>
      <c r="G32" s="2390" t="s">
        <v>669</v>
      </c>
      <c r="H32" s="1069"/>
      <c r="I32" s="1069"/>
      <c r="J32" s="801" t="str">
        <f>FHD_NOTE_P_3</f>
        <v/>
      </c>
      <c r="K32" s="2148" t="str">
        <f>IF((LEN(E32)-LEN(SUBSTITUTE(E32,".","")))/LEN(".")=1,"p","")</f>
        <v>p</v>
      </c>
      <c r="AF32" s="2143">
        <v>11</v>
      </c>
    </row>
    <row customHeight="1" ht="11.25" hidden="1">
      <c r="A33" s="2883" t="s">
        <v>685</v>
      </c>
      <c r="D33" s="2150"/>
      <c r="E33" s="1058" t="str">
        <f>FHD_NUM_P_4</f>
        <v/>
      </c>
      <c r="F33" s="2036" t="str">
        <f>FHD_P_4</f>
        <v/>
      </c>
      <c r="G33" s="2390" t="s">
        <v>669</v>
      </c>
      <c r="H33" s="1070">
        <f>SUMIF($F34:$F40,$F3,H34:H40)</f>
        <v>0</v>
      </c>
      <c r="I33" s="1070">
        <f>SUMIF($F34:$F40,$F3,I34:I40)</f>
        <v>0</v>
      </c>
      <c r="J33" s="801" t="str">
        <f>FHD_NOTE_P_4</f>
        <v/>
      </c>
      <c r="K33" s="2148" t="str">
        <f>IF((LEN(E33)-LEN(SUBSTITUTE(E33,".","")))/LEN(".")=1,"p","")</f>
        <v/>
      </c>
      <c r="AF33" s="2143">
        <v>0</v>
      </c>
    </row>
    <row s="47496" customFormat="1" customHeight="1" ht="0.75" hidden="1">
      <c r="A34" s="2883"/>
      <c r="B34" s="2884" t="str">
        <f>E33&amp;".0"</f>
        <v>.0</v>
      </c>
      <c r="C34" s="1679"/>
      <c r="D34" s="1072"/>
      <c r="E34" s="1073"/>
      <c r="F34" s="1074"/>
      <c r="G34" s="1075"/>
      <c r="H34" s="1009"/>
      <c r="I34" s="1009"/>
      <c r="J34" s="1076"/>
      <c r="K34" s="2148" t="str">
        <f>IF((LEN(E34)-LEN(SUBSTITUTE(E34,".","")))/LEN(".")=1,"p","")</f>
        <v/>
      </c>
      <c r="L34" s="2148"/>
      <c r="M34" s="2148"/>
      <c r="N34" s="2148"/>
      <c r="O34" s="2148"/>
      <c r="P34" s="2148"/>
      <c r="Q34" s="2148"/>
      <c r="R34" s="2148"/>
      <c r="S34" s="2148"/>
      <c r="T34" s="2148"/>
      <c r="U34" s="1077"/>
      <c r="V34" s="2148"/>
      <c r="W34" s="2148"/>
      <c r="X34" s="2148"/>
      <c r="Y34" s="2148"/>
      <c r="Z34" s="2148"/>
      <c r="AA34" s="1078"/>
      <c r="AB34" s="1078"/>
      <c r="AC34" s="1078"/>
      <c r="AD34" s="1078"/>
      <c r="AE34" s="1078"/>
      <c r="AF34" s="2153">
        <v>0</v>
      </c>
    </row>
    <row s="47496" customFormat="1" customHeight="1" ht="0.75" hidden="1">
      <c r="A35" s="2883"/>
      <c r="B35" s="2884"/>
      <c r="C35" s="1679"/>
      <c r="D35" s="1072"/>
      <c r="E35" s="1079"/>
      <c r="F35" s="1080"/>
      <c r="G35" s="1075"/>
      <c r="H35" s="1081"/>
      <c r="I35" s="1081"/>
      <c r="J35" s="1076"/>
      <c r="K35" s="2148" t="str">
        <f>IF((LEN(E35)-LEN(SUBSTITUTE(E35,".","")))/LEN(".")=1,"p","")</f>
        <v/>
      </c>
      <c r="L35" s="2148"/>
      <c r="M35" s="2148"/>
      <c r="N35" s="2148"/>
      <c r="O35" s="2148"/>
      <c r="P35" s="2148"/>
      <c r="Q35" s="2148"/>
      <c r="R35" s="2148"/>
      <c r="S35" s="2148"/>
      <c r="T35" s="2148"/>
      <c r="U35" s="1077"/>
      <c r="V35" s="2148"/>
      <c r="W35" s="2148"/>
      <c r="X35" s="2148"/>
      <c r="Y35" s="2148"/>
      <c r="Z35" s="2148"/>
      <c r="AA35" s="1078"/>
      <c r="AB35" s="1078"/>
      <c r="AC35" s="1078"/>
      <c r="AD35" s="1078"/>
      <c r="AE35" s="1078"/>
      <c r="AF35" s="2153">
        <v>0</v>
      </c>
    </row>
    <row s="47496" customFormat="1" customHeight="1" ht="0.75" hidden="1">
      <c r="A36" s="2883"/>
      <c r="B36" s="2884"/>
      <c r="C36" s="1679"/>
      <c r="D36" s="1072"/>
      <c r="E36" s="1079"/>
      <c r="F36" s="1080"/>
      <c r="G36" s="1075"/>
      <c r="H36" s="1081"/>
      <c r="I36" s="1081"/>
      <c r="J36" s="1076"/>
      <c r="K36" s="2148" t="str">
        <f>IF((LEN(E36)-LEN(SUBSTITUTE(E36,".","")))/LEN(".")=1,"p","")</f>
        <v/>
      </c>
      <c r="L36" s="2148"/>
      <c r="M36" s="2148"/>
      <c r="N36" s="2148"/>
      <c r="O36" s="2148"/>
      <c r="P36" s="2148"/>
      <c r="Q36" s="2148"/>
      <c r="R36" s="2148"/>
      <c r="S36" s="2148"/>
      <c r="T36" s="2148"/>
      <c r="U36" s="1077"/>
      <c r="V36" s="2148"/>
      <c r="W36" s="2148"/>
      <c r="X36" s="2148"/>
      <c r="Y36" s="2148"/>
      <c r="Z36" s="2148"/>
      <c r="AA36" s="1078"/>
      <c r="AB36" s="1078"/>
      <c r="AC36" s="1078"/>
      <c r="AD36" s="1078"/>
      <c r="AE36" s="1078"/>
      <c r="AF36" s="2153">
        <v>0</v>
      </c>
    </row>
    <row s="47496" customFormat="1" customHeight="1" ht="0.75" hidden="1">
      <c r="A37" s="2883"/>
      <c r="B37" s="2884"/>
      <c r="C37" s="1679"/>
      <c r="D37" s="1072"/>
      <c r="E37" s="1079"/>
      <c r="F37" s="1080"/>
      <c r="G37" s="1075"/>
      <c r="H37" s="1081"/>
      <c r="I37" s="1081"/>
      <c r="J37" s="1076"/>
      <c r="K37" s="2148" t="str">
        <f>IF((LEN(E37)-LEN(SUBSTITUTE(E37,".","")))/LEN(".")=1,"p","")</f>
        <v/>
      </c>
      <c r="L37" s="2148"/>
      <c r="M37" s="2148"/>
      <c r="N37" s="2148"/>
      <c r="O37" s="2148"/>
      <c r="P37" s="2148"/>
      <c r="Q37" s="2148"/>
      <c r="R37" s="2148"/>
      <c r="S37" s="2148"/>
      <c r="T37" s="2148"/>
      <c r="U37" s="1077"/>
      <c r="V37" s="2148"/>
      <c r="W37" s="2148"/>
      <c r="X37" s="2148"/>
      <c r="Y37" s="2148"/>
      <c r="Z37" s="2148"/>
      <c r="AA37" s="1078"/>
      <c r="AB37" s="1078"/>
      <c r="AC37" s="1078"/>
      <c r="AD37" s="1078"/>
      <c r="AE37" s="1078"/>
      <c r="AF37" s="2153">
        <v>0</v>
      </c>
    </row>
    <row s="47496" customFormat="1" customHeight="1" ht="0.75" hidden="1">
      <c r="A38" s="2883"/>
      <c r="B38" s="2884"/>
      <c r="C38" s="1679"/>
      <c r="D38" s="1072"/>
      <c r="E38" s="1079"/>
      <c r="F38" s="1080"/>
      <c r="G38" s="1075"/>
      <c r="H38" s="1081"/>
      <c r="I38" s="1081"/>
      <c r="J38" s="1076"/>
      <c r="K38" s="2148" t="str">
        <f>IF((LEN(E38)-LEN(SUBSTITUTE(E38,".","")))/LEN(".")=1,"p","")</f>
        <v/>
      </c>
      <c r="L38" s="2148"/>
      <c r="M38" s="2148"/>
      <c r="N38" s="2148"/>
      <c r="O38" s="2148"/>
      <c r="P38" s="2148"/>
      <c r="Q38" s="2148"/>
      <c r="R38" s="2148"/>
      <c r="S38" s="2148"/>
      <c r="T38" s="2148"/>
      <c r="U38" s="1077"/>
      <c r="V38" s="2148"/>
      <c r="W38" s="2148"/>
      <c r="X38" s="2148"/>
      <c r="Y38" s="2148"/>
      <c r="Z38" s="2148"/>
      <c r="AA38" s="1078"/>
      <c r="AB38" s="1078"/>
      <c r="AC38" s="1078"/>
      <c r="AD38" s="1078"/>
      <c r="AE38" s="1078"/>
      <c r="AF38" s="2153">
        <v>0</v>
      </c>
    </row>
    <row s="47496" customFormat="1" customHeight="1" ht="0.75" hidden="1">
      <c r="A39" s="2883"/>
      <c r="B39" s="2884"/>
      <c r="C39" s="1679"/>
      <c r="D39" s="1072"/>
      <c r="E39" s="1079"/>
      <c r="F39" s="1080"/>
      <c r="G39" s="1075"/>
      <c r="H39" s="1009"/>
      <c r="I39" s="1009"/>
      <c r="J39" s="1076"/>
      <c r="K39" s="2148" t="str">
        <f>IF((LEN(E39)-LEN(SUBSTITUTE(E39,".","")))/LEN(".")=1,"p","")</f>
        <v/>
      </c>
      <c r="L39" s="2148"/>
      <c r="M39" s="2148"/>
      <c r="N39" s="2148"/>
      <c r="O39" s="2148"/>
      <c r="P39" s="2148"/>
      <c r="Q39" s="2148"/>
      <c r="R39" s="2148"/>
      <c r="S39" s="2148"/>
      <c r="T39" s="2148"/>
      <c r="U39" s="1077"/>
      <c r="V39" s="2148"/>
      <c r="W39" s="2148"/>
      <c r="X39" s="2148"/>
      <c r="Y39" s="2148"/>
      <c r="Z39" s="2148"/>
      <c r="AA39" s="1078"/>
      <c r="AB39" s="1078"/>
      <c r="AC39" s="1078"/>
      <c r="AD39" s="1078"/>
      <c r="AE39" s="1078"/>
      <c r="AF39" s="2153">
        <v>0</v>
      </c>
    </row>
    <row s="46889" customFormat="1" customHeight="1" ht="15" hidden="1">
      <c r="A40" s="2883"/>
      <c r="C40" s="2148"/>
      <c r="D40" s="2145"/>
      <c r="E40" s="1082"/>
      <c r="F40" s="1083" t="s">
        <v>686</v>
      </c>
      <c r="G40" s="1084"/>
      <c r="H40" s="1085"/>
      <c r="I40" s="1085"/>
      <c r="J40" s="813"/>
      <c r="K40" s="2148" t="str">
        <f>IF((LEN(E40)-LEN(SUBSTITUTE(E40,".","")))/LEN(".")=1,"p","")</f>
        <v/>
      </c>
      <c r="L40" s="2148"/>
      <c r="M40" s="2148"/>
      <c r="R40" s="2148"/>
      <c r="U40" s="1056"/>
      <c r="AA40" s="2144"/>
      <c r="AB40" s="2144"/>
      <c r="AC40" s="2144"/>
      <c r="AD40" s="2144"/>
      <c r="AE40" s="2144"/>
      <c r="AF40" s="1672">
        <v>0</v>
      </c>
    </row>
    <row customHeight="1" ht="11.25" hidden="1">
      <c r="A41" s="2883" t="s">
        <v>687</v>
      </c>
      <c r="D41" s="2150"/>
      <c r="E41" s="1058" t="str">
        <f>FHD_NUM_P_5</f>
        <v/>
      </c>
      <c r="F41" s="2036" t="str">
        <f>FHD_P_5</f>
        <v/>
      </c>
      <c r="G41" s="2390" t="s">
        <v>669</v>
      </c>
      <c r="H41" s="1069"/>
      <c r="I41" s="1069"/>
      <c r="J41" s="801" t="str">
        <f>FHD_NOTE_P_5</f>
        <v/>
      </c>
      <c r="K41" s="2148" t="str">
        <f>IF((LEN(E41)-LEN(SUBSTITUTE(E41,".","")))/LEN(".")=1,"p","")</f>
        <v/>
      </c>
      <c r="AF41" s="2143">
        <v>0</v>
      </c>
    </row>
    <row customHeight="1" ht="11.25" hidden="1">
      <c r="A42" s="2883"/>
      <c r="D42" s="2150"/>
      <c r="E42" s="1058" t="str">
        <f>FHD_NUM_P_6</f>
        <v/>
      </c>
      <c r="F42" s="2036" t="str">
        <f>FHD_P_6</f>
        <v/>
      </c>
      <c r="G42" s="2390" t="s">
        <v>669</v>
      </c>
      <c r="H42" s="1069"/>
      <c r="I42" s="1069"/>
      <c r="J42" s="801" t="str">
        <f>FHD_NOTE_P_6</f>
        <v/>
      </c>
      <c r="K42" s="2148" t="str">
        <f>IF((LEN(E42)-LEN(SUBSTITUTE(E42,".","")))/LEN(".")=1,"p","")</f>
        <v/>
      </c>
      <c r="AF42" s="2143">
        <v>0</v>
      </c>
    </row>
    <row customHeight="1" ht="11.25" hidden="1">
      <c r="A43" s="2883"/>
      <c r="D43" s="2150"/>
      <c r="E43" s="1058" t="str">
        <f>FHD_NUM_P_7</f>
        <v/>
      </c>
      <c r="F43" s="2036" t="str">
        <f>FHD_P_7</f>
        <v/>
      </c>
      <c r="G43" s="2390" t="s">
        <v>669</v>
      </c>
      <c r="H43" s="1069"/>
      <c r="I43" s="1069"/>
      <c r="J43" s="801" t="str">
        <f>FHD_NOTE_P_7</f>
        <v/>
      </c>
      <c r="K43" s="2148" t="str">
        <f>IF((LEN(E43)-LEN(SUBSTITUTE(E43,".","")))/LEN(".")=1,"p","")</f>
        <v/>
      </c>
      <c r="AF43" s="2143">
        <v>0</v>
      </c>
    </row>
    <row customHeight="1" ht="11.549999999999999">
      <c r="D44" s="2150"/>
      <c r="E44" s="1058" t="str">
        <f>FHD_NUM_P_8</f>
        <v>2.2</v>
      </c>
      <c r="F44" s="2036" t="str">
        <f>FHD_P_8</f>
        <v>Расходы на приобретаемую электрическую энергию (мощность), используемую в технологическом процессе</v>
      </c>
      <c r="G44" s="2390" t="s">
        <v>669</v>
      </c>
      <c r="H44" s="1069"/>
      <c r="I44" s="1069"/>
      <c r="J44" s="801" t="str">
        <f>FHD_NOTE_P_8</f>
        <v/>
      </c>
      <c r="K44" s="2148" t="str">
        <f>IF((LEN(E44)-LEN(SUBSTITUTE(E44,".","")))/LEN(".")=1,"p","")</f>
        <v>p</v>
      </c>
      <c r="AF44" s="2143">
        <v>11</v>
      </c>
    </row>
    <row customHeight="1" ht="11.549999999999999">
      <c r="D45" s="2150"/>
      <c r="E45" s="1058" t="str">
        <f>FHD_NUM_P_9</f>
        <v>2.2.1</v>
      </c>
      <c r="F45" s="2162" t="str">
        <f>FHD_P_9</f>
        <v>Средневзвешенная стоимость 1 кВт.ч (с учетом мощности)</v>
      </c>
      <c r="G45" s="2390" t="s">
        <v>688</v>
      </c>
      <c r="H45" s="1069"/>
      <c r="I45" s="1069"/>
      <c r="J45" s="801" t="str">
        <f>FHD_NOTE_P_9</f>
        <v/>
      </c>
      <c r="K45" s="2148" t="str">
        <f>IF((LEN(E45)-LEN(SUBSTITUTE(E45,".","")))/LEN(".")=1,"p","")</f>
        <v/>
      </c>
      <c r="AF45" s="2143">
        <v>11</v>
      </c>
    </row>
    <row s="46889" customFormat="1" customHeight="1" ht="11.549999999999999">
      <c r="A46" s="1499"/>
      <c r="C46" s="2148"/>
      <c r="D46" s="1086"/>
      <c r="E46" s="1058" t="str">
        <f>FHD_NUM_P_10</f>
        <v>2.2.2</v>
      </c>
      <c r="F46" s="2162" t="str">
        <f>FHD_P_10</f>
        <v>Объём приобретения электрической энергии</v>
      </c>
      <c r="G46" s="2390" t="s">
        <v>689</v>
      </c>
      <c r="H46" s="1069"/>
      <c r="I46" s="1069"/>
      <c r="J46" s="801" t="str">
        <f>FHD_NOTE_P_10</f>
        <v/>
      </c>
      <c r="K46" s="2148" t="str">
        <f>IF((LEN(E46)-LEN(SUBSTITUTE(E46,".","")))/LEN(".")=1,"p","")</f>
        <v/>
      </c>
      <c r="L46" s="2148"/>
      <c r="M46" s="2148"/>
      <c r="R46" s="2148"/>
      <c r="U46" s="1056"/>
      <c r="AA46" s="2144"/>
      <c r="AB46" s="2144"/>
      <c r="AC46" s="2144"/>
      <c r="AD46" s="2144"/>
      <c r="AE46" s="2144"/>
      <c r="AF46" s="1672">
        <v>11</v>
      </c>
    </row>
    <row s="46889" customFormat="1" customHeight="1" ht="11.25" hidden="1">
      <c r="A47" s="1501" t="s">
        <v>690</v>
      </c>
      <c r="C47" s="2148"/>
      <c r="D47" s="1087"/>
      <c r="E47" s="1058" t="str">
        <f>FHD_NUM_P_11</f>
        <v/>
      </c>
      <c r="F47" s="2036" t="str">
        <f>FHD_P_11</f>
        <v/>
      </c>
      <c r="G47" s="2390" t="s">
        <v>669</v>
      </c>
      <c r="H47" s="1069"/>
      <c r="I47" s="1069"/>
      <c r="J47" s="801" t="str">
        <f>FHD_NOTE_P_11</f>
        <v/>
      </c>
      <c r="K47" s="2148" t="str">
        <f>IF((LEN(E47)-LEN(SUBSTITUTE(E47,".","")))/LEN(".")=1,"p","")</f>
        <v/>
      </c>
      <c r="L47" s="2148"/>
      <c r="M47" s="2148"/>
      <c r="R47" s="2148"/>
      <c r="U47" s="1056"/>
      <c r="AA47" s="2144"/>
      <c r="AB47" s="2144"/>
      <c r="AC47" s="2144"/>
      <c r="AD47" s="2144"/>
      <c r="AE47" s="2144"/>
      <c r="AF47" s="1672">
        <v>0</v>
      </c>
    </row>
    <row s="46889" customFormat="1" customHeight="1" ht="18.75">
      <c r="A48" s="1501" t="s">
        <v>691</v>
      </c>
      <c r="C48" s="2148"/>
      <c r="D48" s="2150"/>
      <c r="E48" s="1058" t="str">
        <f>FHD_NUM_P_12</f>
        <v>2.3</v>
      </c>
      <c r="F48" s="2036" t="str">
        <f>FHD_P_12</f>
        <v>Расходы на химические реагенты, используемые в технологическом процессе</v>
      </c>
      <c r="G48" s="2390" t="s">
        <v>669</v>
      </c>
      <c r="H48" s="1089"/>
      <c r="I48" s="1089"/>
      <c r="J48" s="801" t="str">
        <f>FHD_NOTE_P_12</f>
        <v/>
      </c>
      <c r="K48" s="2148" t="str">
        <f>IF((LEN(E48)-LEN(SUBSTITUTE(E48,".","")))/LEN(".")=1,"p","")</f>
        <v>p</v>
      </c>
      <c r="L48" s="2148"/>
      <c r="M48" s="2148"/>
      <c r="R48" s="2148"/>
      <c r="U48" s="1056"/>
      <c r="AA48" s="2144"/>
      <c r="AB48" s="2144"/>
      <c r="AC48" s="2144"/>
      <c r="AD48" s="2144"/>
      <c r="AE48" s="2144"/>
      <c r="AF48" s="1672">
        <v>18</v>
      </c>
    </row>
    <row s="54619" customFormat="1" customHeight="1" ht="11.549999999999999">
      <c r="A49" s="1500"/>
      <c r="C49" s="1242"/>
      <c r="D49" s="1185"/>
      <c r="E49" s="1058" t="str">
        <f>FHD_NUM_P_13</f>
        <v>2.4</v>
      </c>
      <c r="F49" s="2036"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2390" t="s">
        <v>669</v>
      </c>
      <c r="H49" s="1069"/>
      <c r="I49" s="1069"/>
      <c r="J49" s="801" t="str">
        <f>FHD_NOTE_P_13</f>
        <v>Указывается общая сумма расходов на оплату труда и отчислений на социальные нужды основного производственного персонала.</v>
      </c>
      <c r="K49" s="2148" t="str">
        <f>IF((LEN(E49)-LEN(SUBSTITUTE(E49,".","")))/LEN(".")=1,"p","")</f>
        <v>p</v>
      </c>
      <c r="L49" s="1242"/>
      <c r="M49" s="1242"/>
      <c r="R49" s="1242"/>
      <c r="U49" s="1243"/>
      <c r="AA49" s="1244"/>
      <c r="AB49" s="1244"/>
      <c r="AC49" s="1244"/>
      <c r="AD49" s="1244"/>
      <c r="AE49" s="1244"/>
      <c r="AF49" s="1241">
        <v>11</v>
      </c>
    </row>
    <row s="54619" customFormat="1" customHeight="1" ht="11.549999999999999">
      <c r="A50" s="1500"/>
      <c r="C50" s="1242"/>
      <c r="D50" s="1185"/>
      <c r="E50" s="1058" t="str">
        <f>FHD_NUM_P_14</f>
        <v>2.4.1</v>
      </c>
      <c r="F50" s="2162" t="str">
        <f>FHD_P_14</f>
        <v>Расходы на оплату труда основного производственного персонала</v>
      </c>
      <c r="G50" s="2390" t="s">
        <v>669</v>
      </c>
      <c r="H50" s="1069"/>
      <c r="I50" s="1069"/>
      <c r="J50" s="801" t="str">
        <f>FHD_NOTE_P_14</f>
        <v/>
      </c>
      <c r="K50" s="2148" t="str">
        <f>IF((LEN(E50)-LEN(SUBSTITUTE(E50,".","")))/LEN(".")=1,"p","")</f>
        <v/>
      </c>
      <c r="L50" s="1242"/>
      <c r="M50" s="1242"/>
      <c r="R50" s="1242"/>
      <c r="U50" s="1243"/>
      <c r="AA50" s="1244"/>
      <c r="AB50" s="1244"/>
      <c r="AC50" s="1244"/>
      <c r="AD50" s="1244"/>
      <c r="AE50" s="1244"/>
      <c r="AF50" s="1241">
        <v>11</v>
      </c>
    </row>
    <row s="54619" customFormat="1" customHeight="1" ht="11.549999999999999">
      <c r="A51" s="1500"/>
      <c r="C51" s="1242"/>
      <c r="D51" s="1185"/>
      <c r="E51" s="1058" t="str">
        <f>FHD_NUM_P_15</f>
        <v>2.4.2</v>
      </c>
      <c r="F51" s="2162" t="str">
        <f>FHD_P_15</f>
        <v>Страховые взносы на обязательное социальное страхование, выплачиваемые из фонда оплаты труда основного производственного персонала</v>
      </c>
      <c r="G51" s="2390" t="s">
        <v>669</v>
      </c>
      <c r="H51" s="1069"/>
      <c r="I51" s="1069"/>
      <c r="J51" s="801" t="str">
        <f>FHD_NOTE_P_15</f>
        <v/>
      </c>
      <c r="K51" s="2148" t="str">
        <f>IF((LEN(E51)-LEN(SUBSTITUTE(E51,".","")))/LEN(".")=1,"p","")</f>
        <v/>
      </c>
      <c r="L51" s="1242"/>
      <c r="M51" s="1242"/>
      <c r="R51" s="1242"/>
      <c r="U51" s="1243"/>
      <c r="AA51" s="1244"/>
      <c r="AB51" s="1244"/>
      <c r="AC51" s="1244"/>
      <c r="AD51" s="1244"/>
      <c r="AE51" s="1244"/>
      <c r="AF51" s="1241">
        <v>11</v>
      </c>
    </row>
    <row s="46889" customFormat="1" customHeight="1" ht="11.549999999999999">
      <c r="A52" s="1499"/>
      <c r="C52" s="2148"/>
      <c r="D52" s="2150"/>
      <c r="E52" s="1058" t="str">
        <f>FHD_NUM_P_16</f>
        <v>2.5</v>
      </c>
      <c r="F52" s="2036"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2390" t="s">
        <v>669</v>
      </c>
      <c r="H52" s="1069"/>
      <c r="I52" s="1069"/>
      <c r="J52" s="801" t="str">
        <f>FHD_NOTE_P_16</f>
        <v>Указывается общая сумма расходов на оплату труда и отчислений на социальные нужды административно-управленческого персонала.</v>
      </c>
      <c r="K52" s="2148" t="str">
        <f>IF((LEN(E52)-LEN(SUBSTITUTE(E52,".","")))/LEN(".")=1,"p","")</f>
        <v>p</v>
      </c>
      <c r="L52" s="2148"/>
      <c r="M52" s="2154"/>
      <c r="N52" s="1049"/>
      <c r="O52" s="1049"/>
      <c r="R52" s="2148"/>
      <c r="U52" s="1056"/>
      <c r="AA52" s="2144"/>
      <c r="AB52" s="2144"/>
      <c r="AC52" s="2144"/>
      <c r="AD52" s="2144"/>
      <c r="AE52" s="2144"/>
      <c r="AF52" s="1672">
        <v>11</v>
      </c>
    </row>
    <row s="46889" customFormat="1" customHeight="1" ht="11.549999999999999">
      <c r="A53" s="1499"/>
      <c r="C53" s="2148"/>
      <c r="D53" s="2150"/>
      <c r="E53" s="1058" t="str">
        <f>FHD_NUM_P_17</f>
        <v>2.5.1</v>
      </c>
      <c r="F53" s="2162" t="str">
        <f>FHD_P_17</f>
        <v>Расходы на оплату труда административно-управленческого персонала, в том числе:</v>
      </c>
      <c r="G53" s="2390" t="s">
        <v>669</v>
      </c>
      <c r="H53" s="1069"/>
      <c r="I53" s="1069"/>
      <c r="J53" s="801" t="str">
        <f>FHD_NOTE_P_17</f>
        <v/>
      </c>
      <c r="K53" s="2148" t="str">
        <f>IF((LEN(E53)-LEN(SUBSTITUTE(E53,".","")))/LEN(".")=1,"p","")</f>
        <v/>
      </c>
      <c r="L53" s="2148"/>
      <c r="M53" s="2154"/>
      <c r="N53" s="1049"/>
      <c r="O53" s="1049"/>
      <c r="R53" s="2148"/>
      <c r="U53" s="1056"/>
      <c r="AA53" s="2144"/>
      <c r="AB53" s="2144"/>
      <c r="AC53" s="2144"/>
      <c r="AD53" s="2144"/>
      <c r="AE53" s="2144"/>
      <c r="AF53" s="1672">
        <v>11</v>
      </c>
    </row>
    <row s="46889" customFormat="1" customHeight="1" ht="11.549999999999999">
      <c r="A54" s="1499"/>
      <c r="C54" s="2148"/>
      <c r="D54" s="2150"/>
      <c r="E54" s="1058" t="str">
        <f>FHD_NUM_P_18</f>
        <v>2.5.2</v>
      </c>
      <c r="F54" s="2162"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2390" t="s">
        <v>669</v>
      </c>
      <c r="H54" s="1069"/>
      <c r="I54" s="1069"/>
      <c r="J54" s="801" t="str">
        <f>FHD_NOTE_P_18</f>
        <v/>
      </c>
      <c r="K54" s="2148" t="str">
        <f>IF((LEN(E54)-LEN(SUBSTITUTE(E54,".","")))/LEN(".")=1,"p","")</f>
        <v/>
      </c>
      <c r="L54" s="2148"/>
      <c r="M54" s="2154"/>
      <c r="N54" s="1049"/>
      <c r="O54" s="1049"/>
      <c r="R54" s="2148"/>
      <c r="U54" s="1056"/>
      <c r="AA54" s="2144"/>
      <c r="AB54" s="2144"/>
      <c r="AC54" s="2144"/>
      <c r="AD54" s="2144"/>
      <c r="AE54" s="2144"/>
      <c r="AF54" s="1672">
        <v>11</v>
      </c>
    </row>
    <row s="46889" customFormat="1" customHeight="1" ht="11.549999999999999">
      <c r="A55" s="1499"/>
      <c r="C55" s="2148"/>
      <c r="D55" s="1087"/>
      <c r="E55" s="1058" t="str">
        <f>FHD_NUM_P_19</f>
        <v>2.6</v>
      </c>
      <c r="F55" s="2036" t="str">
        <f>FHD_P_19</f>
        <v>Расходы на амортизацию основных средств и нематериальных активов</v>
      </c>
      <c r="G55" s="2390" t="s">
        <v>669</v>
      </c>
      <c r="H55" s="1069"/>
      <c r="I55" s="1069"/>
      <c r="J55" s="801" t="str">
        <f>FHD_NOTE_P_19</f>
        <v/>
      </c>
      <c r="K55" s="2148" t="str">
        <f>IF((LEN(E55)-LEN(SUBSTITUTE(E55,".","")))/LEN(".")=1,"p","")</f>
        <v>p</v>
      </c>
      <c r="L55" s="2148"/>
      <c r="M55" s="2148"/>
      <c r="R55" s="2148"/>
      <c r="U55" s="1056"/>
      <c r="AA55" s="2144"/>
      <c r="AB55" s="2144"/>
      <c r="AC55" s="2144"/>
      <c r="AD55" s="2144"/>
      <c r="AE55" s="2144"/>
      <c r="AF55" s="1672">
        <v>11</v>
      </c>
    </row>
    <row s="46889" customFormat="1" customHeight="1" ht="11.549999999999999">
      <c r="A56" s="1499"/>
      <c r="C56" s="2148"/>
      <c r="D56" s="1087"/>
      <c r="E56" s="1058" t="str">
        <f>FHD_NUM_P_20</f>
        <v>2.6.1</v>
      </c>
      <c r="F56" s="2162" t="str">
        <f>FHD_P_20</f>
        <v>Расходы на амортизацию основных средств</v>
      </c>
      <c r="G56" s="2390" t="s">
        <v>669</v>
      </c>
      <c r="H56" s="1069"/>
      <c r="I56" s="1069"/>
      <c r="J56" s="801" t="str">
        <f>FHD_NOTE_P_20</f>
        <v/>
      </c>
      <c r="K56" s="2148" t="str">
        <f>IF((LEN(E56)-LEN(SUBSTITUTE(E56,".","")))/LEN(".")=1,"p","")</f>
        <v/>
      </c>
      <c r="L56" s="2148"/>
      <c r="M56" s="2148"/>
      <c r="R56" s="2148"/>
      <c r="U56" s="1056"/>
      <c r="AA56" s="2144"/>
      <c r="AB56" s="2144"/>
      <c r="AC56" s="2144"/>
      <c r="AD56" s="2144"/>
      <c r="AE56" s="2144"/>
      <c r="AF56" s="1672">
        <v>11</v>
      </c>
    </row>
    <row s="46889" customFormat="1" customHeight="1" ht="11.549999999999999">
      <c r="A57" s="1499"/>
      <c r="C57" s="2148"/>
      <c r="D57" s="1087"/>
      <c r="E57" s="1058" t="str">
        <f>FHD_NUM_P_21</f>
        <v>2.6.2</v>
      </c>
      <c r="F57" s="2162" t="str">
        <f>FHD_P_21</f>
        <v>Расходы на амортизацию нематериальных активов</v>
      </c>
      <c r="G57" s="2390" t="s">
        <v>669</v>
      </c>
      <c r="H57" s="1069"/>
      <c r="I57" s="1069"/>
      <c r="J57" s="801" t="str">
        <f>FHD_NOTE_P_21</f>
        <v/>
      </c>
      <c r="K57" s="2148" t="str">
        <f>IF((LEN(E57)-LEN(SUBSTITUTE(E57,".","")))/LEN(".")=1,"p","")</f>
        <v/>
      </c>
      <c r="L57" s="2148"/>
      <c r="M57" s="2148"/>
      <c r="R57" s="2148"/>
      <c r="U57" s="1056"/>
      <c r="AA57" s="2144"/>
      <c r="AB57" s="2144"/>
      <c r="AC57" s="2144"/>
      <c r="AD57" s="2144"/>
      <c r="AE57" s="2144"/>
      <c r="AF57" s="1672">
        <v>11</v>
      </c>
    </row>
    <row s="46889" customFormat="1" customHeight="1" ht="11.549999999999999">
      <c r="A58" s="1499"/>
      <c r="C58" s="2148"/>
      <c r="D58" s="2150"/>
      <c r="E58" s="1058" t="str">
        <f>FHD_NUM_P_22</f>
        <v>2.7</v>
      </c>
      <c r="F58" s="2036" t="str">
        <f>FHD_P_22</f>
        <v>Расходы на аренду имущества, используемого для осуществления регулируемых видов деятельности в сфере водоотведения</v>
      </c>
      <c r="G58" s="2390" t="s">
        <v>669</v>
      </c>
      <c r="H58" s="1069"/>
      <c r="I58" s="1069"/>
      <c r="J58" s="801" t="str">
        <f>FHD_NOTE_P_22</f>
        <v/>
      </c>
      <c r="K58" s="2148" t="str">
        <f>IF((LEN(E58)-LEN(SUBSTITUTE(E58,".","")))/LEN(".")=1,"p","")</f>
        <v>p</v>
      </c>
      <c r="L58" s="2148"/>
      <c r="M58" s="2148"/>
      <c r="R58" s="2148"/>
      <c r="U58" s="1056"/>
      <c r="AA58" s="2144"/>
      <c r="AB58" s="2144"/>
      <c r="AC58" s="2144"/>
      <c r="AD58" s="2144"/>
      <c r="AE58" s="2144"/>
      <c r="AF58" s="1672">
        <v>11</v>
      </c>
    </row>
    <row s="46889" customFormat="1" customHeight="1" ht="11.549999999999999">
      <c r="A59" s="1499"/>
      <c r="C59" s="2148"/>
      <c r="D59" s="1087"/>
      <c r="E59" s="1058" t="str">
        <f>FHD_NUM_P_23</f>
        <v>2.8</v>
      </c>
      <c r="F59" s="2036" t="str">
        <f>FHD_P_23</f>
        <v>Общепроизводственные расходы, в том числе:</v>
      </c>
      <c r="G59" s="2390" t="s">
        <v>669</v>
      </c>
      <c r="H59" s="1069"/>
      <c r="I59" s="1069"/>
      <c r="J59" s="801" t="str">
        <f>FHD_NOTE_P_23</f>
        <v>Указывается общая сумма общепроизводственных расходов.</v>
      </c>
      <c r="K59" s="2148" t="str">
        <f>IF((LEN(E59)-LEN(SUBSTITUTE(E59,".","")))/LEN(".")=1,"p","")</f>
        <v>p</v>
      </c>
      <c r="L59" s="2148"/>
      <c r="M59" s="2148"/>
      <c r="R59" s="2148"/>
      <c r="U59" s="1056"/>
      <c r="AA59" s="2144"/>
      <c r="AB59" s="2144"/>
      <c r="AC59" s="2144"/>
      <c r="AD59" s="2144"/>
      <c r="AE59" s="2144"/>
      <c r="AF59" s="1672">
        <v>11</v>
      </c>
    </row>
    <row s="46889" customFormat="1" customHeight="1" ht="11.549999999999999">
      <c r="A60" s="1499"/>
      <c r="C60" s="2148"/>
      <c r="D60" s="1087"/>
      <c r="E60" s="1058" t="str">
        <f>FHD_NUM_P_24</f>
        <v>2.8.1</v>
      </c>
      <c r="F60" s="2162" t="str">
        <f>FHD_P_24</f>
        <v>Расходы на текущий ремонт</v>
      </c>
      <c r="G60" s="2390" t="s">
        <v>669</v>
      </c>
      <c r="H60" s="1069"/>
      <c r="I60" s="1069"/>
      <c r="J60" s="801" t="str">
        <f>FHD_NOTE_P_24</f>
        <v>Указываются расходы на текущий ремонт, отнесенные к общепроизводственным расходам.</v>
      </c>
      <c r="K60" s="2148" t="str">
        <f>IF((LEN(E60)-LEN(SUBSTITUTE(E60,".","")))/LEN(".")=1,"p","")</f>
        <v/>
      </c>
      <c r="L60" s="2148"/>
      <c r="M60" s="2148"/>
      <c r="R60" s="2148"/>
      <c r="U60" s="1056"/>
      <c r="AA60" s="2144"/>
      <c r="AB60" s="2144"/>
      <c r="AC60" s="2144"/>
      <c r="AD60" s="2144"/>
      <c r="AE60" s="2144"/>
      <c r="AF60" s="1672">
        <v>11</v>
      </c>
    </row>
    <row s="46889" customFormat="1" customHeight="1" ht="11.549999999999999">
      <c r="A61" s="1499"/>
      <c r="C61" s="2148"/>
      <c r="D61" s="1087"/>
      <c r="E61" s="1058" t="str">
        <f>FHD_NUM_P_25</f>
        <v>2.8.2</v>
      </c>
      <c r="F61" s="2162" t="str">
        <f>FHD_P_25</f>
        <v>Расходы на капитальный ремонт</v>
      </c>
      <c r="G61" s="2390" t="s">
        <v>669</v>
      </c>
      <c r="H61" s="1069"/>
      <c r="I61" s="1069"/>
      <c r="J61" s="801" t="str">
        <f>FHD_NOTE_P_25</f>
        <v>Указываются расходы на капитальный ремонт, отнесенные к общепроизводственным расходам.</v>
      </c>
      <c r="K61" s="2148" t="str">
        <f>IF((LEN(E61)-LEN(SUBSTITUTE(E61,".","")))/LEN(".")=1,"p","")</f>
        <v/>
      </c>
      <c r="L61" s="2148"/>
      <c r="M61" s="2148"/>
      <c r="R61" s="2148"/>
      <c r="U61" s="1056"/>
      <c r="AA61" s="2144"/>
      <c r="AB61" s="2144"/>
      <c r="AC61" s="2144"/>
      <c r="AD61" s="2144"/>
      <c r="AE61" s="2144"/>
      <c r="AF61" s="1672">
        <v>11</v>
      </c>
    </row>
    <row s="46889" customFormat="1" customHeight="1" ht="11.549999999999999">
      <c r="A62" s="1499"/>
      <c r="C62" s="2148"/>
      <c r="D62" s="2150"/>
      <c r="E62" s="1058" t="str">
        <f>FHD_NUM_P_26</f>
        <v>2.9</v>
      </c>
      <c r="F62" s="2036" t="str">
        <f>FHD_P_26</f>
        <v>Общехозяйственные расходы, в том числе:</v>
      </c>
      <c r="G62" s="2390" t="s">
        <v>669</v>
      </c>
      <c r="H62" s="1069"/>
      <c r="I62" s="1069"/>
      <c r="J62" s="801" t="str">
        <f>FHD_NOTE_P_26</f>
        <v>Указывается общая сумма общехозяйственных расходов.</v>
      </c>
      <c r="K62" s="2148" t="str">
        <f>IF((LEN(E62)-LEN(SUBSTITUTE(E62,".","")))/LEN(".")=1,"p","")</f>
        <v>p</v>
      </c>
      <c r="L62" s="2148"/>
      <c r="M62" s="2148"/>
      <c r="R62" s="2148"/>
      <c r="U62" s="1056"/>
      <c r="AA62" s="2144"/>
      <c r="AB62" s="2144"/>
      <c r="AC62" s="2144"/>
      <c r="AD62" s="2144"/>
      <c r="AE62" s="2144"/>
      <c r="AF62" s="1672">
        <v>11</v>
      </c>
    </row>
    <row s="46889" customFormat="1" customHeight="1" ht="11.549999999999999">
      <c r="A63" s="1499"/>
      <c r="C63" s="2148"/>
      <c r="D63" s="2150"/>
      <c r="E63" s="1058" t="str">
        <f>FHD_NUM_P_27</f>
        <v>2.9.1</v>
      </c>
      <c r="F63" s="2162" t="str">
        <f>FHD_P_27</f>
        <v>Расходы на текущий ремонт</v>
      </c>
      <c r="G63" s="2390" t="s">
        <v>669</v>
      </c>
      <c r="H63" s="1069"/>
      <c r="I63" s="1069"/>
      <c r="J63" s="801" t="str">
        <f>FHD_NOTE_P_27</f>
        <v>Указываются расходы на текущий ремонт, отнесенные к общехозяйственным расходам.</v>
      </c>
      <c r="K63" s="2148" t="str">
        <f>IF((LEN(E63)-LEN(SUBSTITUTE(E63,".","")))/LEN(".")=1,"p","")</f>
        <v/>
      </c>
      <c r="L63" s="2148"/>
      <c r="M63" s="2148"/>
      <c r="R63" s="2148"/>
      <c r="U63" s="1056"/>
      <c r="AA63" s="2144"/>
      <c r="AB63" s="2144"/>
      <c r="AC63" s="2144"/>
      <c r="AD63" s="2144"/>
      <c r="AE63" s="2144"/>
      <c r="AF63" s="1672">
        <v>11</v>
      </c>
    </row>
    <row s="46889" customFormat="1" customHeight="1" ht="11.549999999999999">
      <c r="A64" s="1499"/>
      <c r="C64" s="2148"/>
      <c r="D64" s="2150"/>
      <c r="E64" s="1058" t="str">
        <f>FHD_NUM_P_28</f>
        <v>2.9.2</v>
      </c>
      <c r="F64" s="2162" t="str">
        <f>FHD_P_28</f>
        <v>Расходы на капитальный ремонт</v>
      </c>
      <c r="G64" s="2390" t="s">
        <v>669</v>
      </c>
      <c r="H64" s="1069"/>
      <c r="I64" s="1069"/>
      <c r="J64" s="801" t="str">
        <f>FHD_NOTE_P_28</f>
        <v>Указываются расходы на капитальный ремонт, отнесенные к общехозяйственным расходам.</v>
      </c>
      <c r="K64" s="2148" t="str">
        <f>IF((LEN(E64)-LEN(SUBSTITUTE(E64,".","")))/LEN(".")=1,"p","")</f>
        <v/>
      </c>
      <c r="L64" s="2148"/>
      <c r="M64" s="2148"/>
      <c r="R64" s="2148"/>
      <c r="U64" s="1056"/>
      <c r="AA64" s="2144"/>
      <c r="AB64" s="2144"/>
      <c r="AC64" s="2144"/>
      <c r="AD64" s="2144"/>
      <c r="AE64" s="2144"/>
      <c r="AF64" s="1672">
        <v>11</v>
      </c>
    </row>
    <row s="46889" customFormat="1" customHeight="1" ht="11.549999999999999">
      <c r="A65" s="1499"/>
      <c r="C65" s="2148"/>
      <c r="D65" s="2150"/>
      <c r="E65" s="1058" t="str">
        <f>FHD_NUM_P_29</f>
        <v>2.10</v>
      </c>
      <c r="F65" s="2036" t="str">
        <f>FHD_P_29</f>
        <v>Расходы на капитальный и текущий ремонт основных средств</v>
      </c>
      <c r="G65" s="2390" t="s">
        <v>669</v>
      </c>
      <c r="H65" s="1069"/>
      <c r="I65" s="1069"/>
      <c r="J65" s="801"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2148" t="str">
        <f>IF((LEN(E65)-LEN(SUBSTITUTE(E65,".","")))/LEN(".")=1,"p","")</f>
        <v>p</v>
      </c>
      <c r="L65" s="2148"/>
      <c r="M65" s="2148"/>
      <c r="R65" s="2148"/>
      <c r="U65" s="1056"/>
      <c r="AA65" s="2144"/>
      <c r="AB65" s="2144"/>
      <c r="AC65" s="2144"/>
      <c r="AD65" s="2144"/>
      <c r="AE65" s="2144"/>
      <c r="AF65" s="1672">
        <v>11</v>
      </c>
    </row>
    <row s="46889" customFormat="1" customHeight="1" ht="11.549999999999999">
      <c r="A66" s="1499"/>
      <c r="C66" s="2148"/>
      <c r="D66" s="2150"/>
      <c r="E66" s="1058" t="str">
        <f>FHD_NUM_P_30</f>
        <v>2.10.1</v>
      </c>
      <c r="F66" s="2162"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2390" t="s">
        <v>424</v>
      </c>
      <c r="H66" s="2161" t="s">
        <v>692</v>
      </c>
      <c r="I66" s="2161" t="s">
        <v>692</v>
      </c>
      <c r="J66" s="801" t="str">
        <f>FHD_NOTE_P_30</f>
        <v/>
      </c>
      <c r="K66" s="2148" t="str">
        <f>IF((LEN(E66)-LEN(SUBSTITUTE(E66,".","")))/LEN(".")=1,"p","")</f>
        <v/>
      </c>
      <c r="L66" s="2148">
        <f>_xlfn.IFERROR(MATCH("есть",B_FHD_FLAG_INDEX_1,0),0)</f>
        <v>0</v>
      </c>
      <c r="M66" s="2148"/>
      <c r="R66" s="2148"/>
      <c r="U66" s="1056"/>
      <c r="AA66" s="2144"/>
      <c r="AB66" s="2144"/>
      <c r="AC66" s="2144"/>
      <c r="AD66" s="2144"/>
      <c r="AE66" s="2144"/>
      <c r="AF66" s="1672">
        <v>11</v>
      </c>
    </row>
    <row s="46889" customFormat="1" customHeight="1" ht="23.25">
      <c r="A67" s="2883" t="s">
        <v>693</v>
      </c>
      <c r="C67" s="2148"/>
      <c r="D67" s="2150"/>
      <c r="E67" s="1058" t="str">
        <f>FHD_NUM_P_31</f>
        <v>2.11</v>
      </c>
      <c r="F67" s="2036"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2390" t="s">
        <v>669</v>
      </c>
      <c r="H67" s="1069"/>
      <c r="I67" s="1069"/>
      <c r="J67" s="801"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2148" t="str">
        <f>IF((LEN(E67)-LEN(SUBSTITUTE(E67,".","")))/LEN(".")=1,"p","")</f>
        <v>p</v>
      </c>
      <c r="L67" s="2148"/>
      <c r="M67" s="2148"/>
      <c r="R67" s="2148"/>
      <c r="U67" s="1056"/>
      <c r="AA67" s="2144"/>
      <c r="AB67" s="2144"/>
      <c r="AC67" s="2144"/>
      <c r="AD67" s="2144"/>
      <c r="AE67" s="2144"/>
      <c r="AF67" s="1672">
        <v>22</v>
      </c>
    </row>
    <row s="46889" customFormat="1" customHeight="1" ht="47.25">
      <c r="A68" s="2883"/>
      <c r="C68" s="2148"/>
      <c r="D68" s="2150"/>
      <c r="E68" s="1058" t="str">
        <f>FHD_NUM_P_32</f>
        <v>2.11.1</v>
      </c>
      <c r="F68" s="2162"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2390" t="s">
        <v>424</v>
      </c>
      <c r="H68" s="2161" t="s">
        <v>692</v>
      </c>
      <c r="I68" s="2161" t="s">
        <v>692</v>
      </c>
      <c r="J68" s="801" t="str">
        <f>FHD_NOTE_P_32</f>
        <v/>
      </c>
      <c r="K68" s="2148" t="str">
        <f>IF((LEN(E68)-LEN(SUBSTITUTE(E68,".","")))/LEN(".")=1,"p","")</f>
        <v/>
      </c>
      <c r="L68" s="2148">
        <f>_xlfn.IFERROR(MATCH("есть",B_FHD_FLAG_INDEX_2,0),0)</f>
        <v>0</v>
      </c>
      <c r="M68" s="2148"/>
      <c r="R68" s="2148"/>
      <c r="U68" s="1056"/>
      <c r="AA68" s="2144"/>
      <c r="AB68" s="2144"/>
      <c r="AC68" s="2144"/>
      <c r="AD68" s="2144"/>
      <c r="AE68" s="2144"/>
      <c r="AF68" s="1672">
        <v>45</v>
      </c>
    </row>
    <row s="46889" customFormat="1" customHeight="1" ht="11.549999999999999">
      <c r="A69" s="1499"/>
      <c r="C69" s="2148"/>
      <c r="D69" s="2150"/>
      <c r="E69" s="1058" t="str">
        <f>FHD_NUM_P_33</f>
        <v>2.12</v>
      </c>
      <c r="F69" s="2036" t="str">
        <f>FHD_P_33</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G69" s="2391" t="s">
        <v>669</v>
      </c>
      <c r="H69" s="1091">
        <f>SUM(H70:H71)</f>
        <v>0</v>
      </c>
      <c r="I69" s="1091">
        <f>SUM(I70:I71)</f>
        <v>0</v>
      </c>
      <c r="J69" s="801"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2148" t="str">
        <f>IF((LEN(E69)-LEN(SUBSTITUTE(E69,".","")))/LEN(".")=1,"p","")</f>
        <v>p</v>
      </c>
      <c r="L69" s="2148"/>
      <c r="M69" s="2148"/>
      <c r="R69" s="2148"/>
      <c r="U69" s="1056"/>
      <c r="AA69" s="2144"/>
      <c r="AB69" s="2144"/>
      <c r="AC69" s="2144"/>
      <c r="AD69" s="2144"/>
      <c r="AE69" s="2144"/>
      <c r="AF69" s="1672">
        <v>11</v>
      </c>
    </row>
    <row s="46890" customFormat="1" customHeight="1" ht="1.05">
      <c r="A70" s="1679"/>
      <c r="D70" s="1060"/>
      <c r="E70" s="1525" t="str">
        <f>E69&amp;".0"</f>
        <v>2.12.0</v>
      </c>
      <c r="F70" s="1503"/>
      <c r="G70" s="1525"/>
      <c r="H70" s="1504"/>
      <c r="I70" s="1504"/>
      <c r="J70" s="1505"/>
      <c r="K70" s="2148" t="str">
        <f>IF((LEN(E70)-LEN(SUBSTITUTE(E70,".","")))/LEN(".")=1,"p","")</f>
        <v/>
      </c>
      <c r="AF70" s="2148">
        <v>1</v>
      </c>
    </row>
    <row s="46889" customFormat="1" customHeight="1" ht="14.699999999999998">
      <c r="A71" s="1499"/>
      <c r="C71" s="2148"/>
      <c r="D71" s="2145"/>
      <c r="E71" s="1082"/>
      <c r="F71" s="1083" t="s">
        <v>694</v>
      </c>
      <c r="G71" s="1084"/>
      <c r="H71" s="1085"/>
      <c r="I71" s="1085"/>
      <c r="J71" s="813"/>
      <c r="K71" s="2148"/>
      <c r="L71" s="2148"/>
      <c r="M71" s="2148"/>
      <c r="R71" s="2148"/>
      <c r="U71" s="1056"/>
      <c r="AA71" s="2144"/>
      <c r="AB71" s="2144"/>
      <c r="AC71" s="2144"/>
      <c r="AD71" s="2144"/>
      <c r="AE71" s="2144"/>
      <c r="AF71" s="1672">
        <v>14</v>
      </c>
    </row>
    <row s="46889" customFormat="1" customHeight="1" ht="18.75" hidden="1">
      <c r="A72" s="1501" t="s">
        <v>695</v>
      </c>
      <c r="C72" s="2148"/>
      <c r="D72" s="2150"/>
      <c r="E72" s="1058" t="str">
        <f>FHD_NUM_P_34</f>
        <v/>
      </c>
      <c r="F72" s="2392" t="str">
        <f>FHD_P_34</f>
        <v/>
      </c>
      <c r="G72" s="2390" t="s">
        <v>669</v>
      </c>
      <c r="H72" s="1069"/>
      <c r="I72" s="1069"/>
      <c r="J72" s="801" t="str">
        <f>FHD_NOTE_P_34</f>
        <v/>
      </c>
      <c r="K72" s="1055"/>
      <c r="L72" s="2148"/>
      <c r="M72" s="2148"/>
      <c r="R72" s="2148"/>
      <c r="U72" s="1056"/>
      <c r="AA72" s="2144"/>
      <c r="AB72" s="2144"/>
      <c r="AC72" s="2144"/>
      <c r="AD72" s="2144"/>
      <c r="AE72" s="2144"/>
      <c r="AF72" s="1672">
        <v>0</v>
      </c>
    </row>
    <row s="46889" customFormat="1" customHeight="1" ht="19.95">
      <c r="A73" s="1499"/>
      <c r="C73" s="2148"/>
      <c r="D73" s="1087"/>
      <c r="E73" s="1058" t="str">
        <f>FHD_NUM_P_35</f>
        <v>3</v>
      </c>
      <c r="F73" s="2392" t="str">
        <f>FHD_P_35</f>
        <v>Чистая прибыль, полученная от регулируемого вида деятельности в сфере водоотведения, в том числе:</v>
      </c>
      <c r="G73" s="2390" t="s">
        <v>669</v>
      </c>
      <c r="H73" s="1069"/>
      <c r="I73" s="1069"/>
      <c r="J73" s="801" t="str">
        <f>FHD_NOTE_P_35</f>
        <v>Указывается общая сумма чистой прибыли, полученной от регулируемого вида деятельности.</v>
      </c>
      <c r="K73" s="1055"/>
      <c r="L73" s="2148"/>
      <c r="M73" s="2148"/>
      <c r="R73" s="2148"/>
      <c r="U73" s="1056"/>
      <c r="AA73" s="2144"/>
      <c r="AB73" s="2144"/>
      <c r="AC73" s="2144"/>
      <c r="AD73" s="2144"/>
      <c r="AE73" s="2144"/>
      <c r="AF73" s="1672">
        <v>19</v>
      </c>
    </row>
    <row s="46889" customFormat="1" customHeight="1" ht="19.95">
      <c r="A74" s="1499"/>
      <c r="C74" s="2148"/>
      <c r="D74" s="2150"/>
      <c r="E74" s="1058" t="str">
        <f>FHD_NUM_P_36</f>
        <v>3.1</v>
      </c>
      <c r="F74" s="2036"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2390" t="s">
        <v>669</v>
      </c>
      <c r="H74" s="1069"/>
      <c r="I74" s="1069"/>
      <c r="J74" s="801" t="str">
        <f>FHD_NOTE_P_36</f>
        <v/>
      </c>
      <c r="K74" s="1055"/>
      <c r="L74" s="2148"/>
      <c r="M74" s="2148"/>
      <c r="R74" s="2148"/>
      <c r="U74" s="1056"/>
      <c r="AA74" s="2144"/>
      <c r="AB74" s="2144"/>
      <c r="AC74" s="2144"/>
      <c r="AD74" s="2144"/>
      <c r="AE74" s="2144"/>
      <c r="AF74" s="1672">
        <v>19</v>
      </c>
    </row>
    <row s="46889" customFormat="1" customHeight="1" ht="19.95">
      <c r="A75" s="1499"/>
      <c r="C75" s="2148"/>
      <c r="D75" s="2150"/>
      <c r="E75" s="1058" t="str">
        <f>FHD_NUM_P_37</f>
        <v>4</v>
      </c>
      <c r="F75" s="2392" t="str">
        <f>FHD_P_37</f>
        <v>Изменение стоимости основных фондов, в том числе:</v>
      </c>
      <c r="G75" s="2390" t="s">
        <v>669</v>
      </c>
      <c r="H75" s="1069"/>
      <c r="I75" s="1069"/>
      <c r="J75" s="801" t="str">
        <f>FHD_NOTE_P_37</f>
        <v>Указывается общее изменение стоимости основных фондов.</v>
      </c>
      <c r="K75" s="1055"/>
      <c r="L75" s="2148"/>
      <c r="M75" s="2148"/>
      <c r="R75" s="2148"/>
      <c r="U75" s="1056"/>
      <c r="AA75" s="2144"/>
      <c r="AB75" s="2144"/>
      <c r="AC75" s="2144"/>
      <c r="AD75" s="2144"/>
      <c r="AE75" s="2144"/>
      <c r="AF75" s="1672">
        <v>19</v>
      </c>
    </row>
    <row s="46889" customFormat="1" customHeight="1" ht="19.95">
      <c r="A76" s="1499"/>
      <c r="C76" s="2148"/>
      <c r="D76" s="2150"/>
      <c r="E76" s="1058" t="str">
        <f>FHD_NUM_P_38</f>
        <v>4.1</v>
      </c>
      <c r="F76" s="2036" t="str">
        <f>FHD_P_38</f>
        <v>Изменение стоимости основных фондов за счет их ввода в эксплуатацию (вывода из эксплуатации)</v>
      </c>
      <c r="G76" s="2390" t="s">
        <v>669</v>
      </c>
      <c r="H76" s="1069"/>
      <c r="I76" s="1069"/>
      <c r="J76" s="801" t="str">
        <f>FHD_NOTE_P_38</f>
        <v>Указываются общее изменение стоимости основных фондов за счет их ввода в эксплуатацию и вывода из эксплуатации.</v>
      </c>
      <c r="K76" s="1055"/>
      <c r="L76" s="2148"/>
      <c r="M76" s="2148"/>
      <c r="R76" s="2148"/>
      <c r="U76" s="1056"/>
      <c r="AA76" s="2144"/>
      <c r="AB76" s="2144"/>
      <c r="AC76" s="2144"/>
      <c r="AD76" s="2144"/>
      <c r="AE76" s="2144"/>
      <c r="AF76" s="1672">
        <v>19</v>
      </c>
    </row>
    <row s="46889" customFormat="1" customHeight="1" ht="19.95">
      <c r="A77" s="1499"/>
      <c r="C77" s="2148"/>
      <c r="D77" s="2150"/>
      <c r="E77" s="1058" t="str">
        <f>FHD_NUM_P_39</f>
        <v>4.1.1</v>
      </c>
      <c r="F77" s="2162" t="str">
        <f>FHD_P_39</f>
        <v>Изменение стоимости основных фондов за счет их ввода в эксплуатацию</v>
      </c>
      <c r="G77" s="2584" t="s">
        <v>669</v>
      </c>
      <c r="H77" s="1069"/>
      <c r="I77" s="1069"/>
      <c r="J77" s="801" t="str">
        <f>FHD_NOTE_P_39</f>
        <v>Указываются изменение стоимости основных фондов за счет их ввода в эксплуатацию.</v>
      </c>
      <c r="K77" s="1055"/>
      <c r="L77" s="2148"/>
      <c r="M77" s="2148"/>
      <c r="R77" s="2148"/>
      <c r="U77" s="1056"/>
      <c r="AA77" s="2144"/>
      <c r="AB77" s="2144"/>
      <c r="AC77" s="2144"/>
      <c r="AD77" s="2144"/>
      <c r="AE77" s="2144"/>
      <c r="AF77" s="1672">
        <v>19</v>
      </c>
    </row>
    <row s="46889" customFormat="1" customHeight="1" ht="19.95">
      <c r="A78" s="1499"/>
      <c r="C78" s="2148"/>
      <c r="D78" s="2150"/>
      <c r="E78" s="1058" t="str">
        <f>FHD_NUM_P_40</f>
        <v>4.1.2</v>
      </c>
      <c r="F78" s="2588" t="str">
        <f>FHD_P_40</f>
        <v>Изменение стоимости основных фондов за счет их вывода в эксплуатацию</v>
      </c>
      <c r="G78" s="2583" t="s">
        <v>669</v>
      </c>
      <c r="H78" s="1488"/>
      <c r="I78" s="1069"/>
      <c r="J78" s="801" t="str">
        <f>FHD_NOTE_P_40</f>
        <v>Указываются изменение стоимости основных фондов за счет их вывода из эксплуатации.</v>
      </c>
      <c r="K78" s="1055"/>
      <c r="L78" s="2148"/>
      <c r="M78" s="2148"/>
      <c r="R78" s="2148"/>
      <c r="U78" s="1056"/>
      <c r="AA78" s="2144"/>
      <c r="AB78" s="2144"/>
      <c r="AC78" s="2144"/>
      <c r="AD78" s="2144"/>
      <c r="AE78" s="2144"/>
      <c r="AF78" s="1672">
        <v>19</v>
      </c>
    </row>
    <row s="46889" customFormat="1" customHeight="1" ht="19.95">
      <c r="A79" s="1499"/>
      <c r="C79" s="2148"/>
      <c r="D79" s="2150"/>
      <c r="E79" s="1058" t="str">
        <f>FHD_NUM_P_41</f>
        <v>4.2</v>
      </c>
      <c r="F79" s="2587" t="str">
        <f>FHD_P_41</f>
        <v>Изменение стоимости основных фондов за счет их переоценки</v>
      </c>
      <c r="G79" s="2583" t="s">
        <v>669</v>
      </c>
      <c r="H79" s="1488"/>
      <c r="I79" s="1069"/>
      <c r="J79" s="801" t="str">
        <f>FHD_NOTE_P_41</f>
        <v/>
      </c>
      <c r="K79" s="1055"/>
      <c r="L79" s="2148"/>
      <c r="M79" s="2148"/>
      <c r="R79" s="2148"/>
      <c r="U79" s="1056"/>
      <c r="AA79" s="2144"/>
      <c r="AB79" s="2144"/>
      <c r="AC79" s="2144"/>
      <c r="AD79" s="2144"/>
      <c r="AE79" s="2144"/>
      <c r="AF79" s="1672">
        <v>19</v>
      </c>
    </row>
    <row s="46889" customFormat="1" customHeight="1" ht="19.95">
      <c r="A80" s="1501" t="s">
        <v>696</v>
      </c>
      <c r="C80" s="2148"/>
      <c r="D80" s="2150"/>
      <c r="E80" s="1058" t="str">
        <f>FHD_NUM_P_42</f>
        <v>5</v>
      </c>
      <c r="F80" s="2585" t="str">
        <f>FHD_P_42</f>
        <v>Валовая прибыль (убытки) от продажи товаров и услуг по регулируемым видам деятельности в сфере водоотведения</v>
      </c>
      <c r="G80" s="2583" t="s">
        <v>669</v>
      </c>
      <c r="H80" s="1488"/>
      <c r="I80" s="1069"/>
      <c r="J80" s="801" t="str">
        <f>FHD_NOTE_P_42</f>
        <v/>
      </c>
      <c r="K80" s="1055"/>
      <c r="L80" s="2148"/>
      <c r="M80" s="2148"/>
      <c r="R80" s="2148"/>
      <c r="U80" s="1056"/>
      <c r="AA80" s="2144"/>
      <c r="AB80" s="2144"/>
      <c r="AC80" s="2144"/>
      <c r="AD80" s="2144"/>
      <c r="AE80" s="2144"/>
      <c r="AF80" s="1672">
        <v>19</v>
      </c>
    </row>
    <row s="46889" customFormat="1" customHeight="1" ht="19.95">
      <c r="A81" s="1499"/>
      <c r="C81" s="2148"/>
      <c r="D81" s="2150"/>
      <c r="E81" s="1058" t="str">
        <f>FHD_NUM_P_43</f>
        <v>6</v>
      </c>
      <c r="F81" s="2392" t="str">
        <f>FHD_P_43</f>
        <v>Годовая бухгалтерская (финансовая) отчетность, включая бухгалтерский баланс и приложения к нему</v>
      </c>
      <c r="G81" s="2586" t="s">
        <v>424</v>
      </c>
      <c r="H81" s="1567"/>
      <c r="I81" s="1330"/>
      <c r="J81" s="801" t="str">
        <f>FHD_NOTE_P_43</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1055"/>
      <c r="L81" s="2148"/>
      <c r="M81" s="2148"/>
      <c r="R81" s="2148"/>
      <c r="U81" s="1056"/>
      <c r="AA81" s="2144"/>
      <c r="AB81" s="2144"/>
      <c r="AC81" s="2144"/>
      <c r="AD81" s="2144"/>
      <c r="AE81" s="2144"/>
      <c r="AF81" s="1672">
        <v>19</v>
      </c>
    </row>
    <row s="46889" customFormat="1" customHeight="1" ht="18.75" hidden="1">
      <c r="A82" s="2883" t="s">
        <v>697</v>
      </c>
      <c r="C82" s="1247"/>
      <c r="D82" s="1245"/>
      <c r="E82" s="1058" t="str">
        <f>FHD_NUM_P_44</f>
        <v/>
      </c>
      <c r="F82" s="2392" t="str">
        <f>FHD_P_44</f>
        <v/>
      </c>
      <c r="G82" s="2393" t="s">
        <v>698</v>
      </c>
      <c r="H82" s="1489"/>
      <c r="I82" s="1089"/>
      <c r="J82" s="801" t="str">
        <f>FHD_NOTE_P_44</f>
        <v/>
      </c>
      <c r="K82" s="1246"/>
      <c r="L82" s="1247"/>
      <c r="M82" s="1247"/>
      <c r="R82" s="1247"/>
      <c r="U82" s="1248"/>
      <c r="AA82" s="1249"/>
      <c r="AB82" s="1249"/>
      <c r="AC82" s="1249"/>
      <c r="AD82" s="1249"/>
      <c r="AE82" s="1249"/>
      <c r="AF82" s="1422">
        <v>0</v>
      </c>
    </row>
    <row s="46889" customFormat="1" customHeight="1" ht="18.75" hidden="1">
      <c r="A83" s="2883"/>
      <c r="C83" s="1247"/>
      <c r="D83" s="1245"/>
      <c r="E83" s="1058" t="str">
        <f>FHD_NUM_P_45</f>
        <v/>
      </c>
      <c r="F83" s="2392" t="str">
        <f>FHD_P_45</f>
        <v/>
      </c>
      <c r="G83" s="2393" t="s">
        <v>698</v>
      </c>
      <c r="H83" s="1489"/>
      <c r="I83" s="1089"/>
      <c r="J83" s="801" t="str">
        <f>FHD_NOTE_P_45</f>
        <v/>
      </c>
      <c r="K83" s="1246"/>
      <c r="L83" s="1247"/>
      <c r="M83" s="1247"/>
      <c r="R83" s="1247"/>
      <c r="U83" s="1248"/>
      <c r="AA83" s="1249"/>
      <c r="AB83" s="1249"/>
      <c r="AC83" s="1249"/>
      <c r="AD83" s="1249"/>
      <c r="AE83" s="1249"/>
      <c r="AF83" s="1422">
        <v>0</v>
      </c>
    </row>
    <row s="46889" customFormat="1" customHeight="1" ht="18.75" hidden="1">
      <c r="A84" s="2883"/>
      <c r="C84" s="1247"/>
      <c r="D84" s="1250"/>
      <c r="E84" s="1058" t="str">
        <f>FHD_NUM_P_46</f>
        <v/>
      </c>
      <c r="F84" s="2392" t="str">
        <f>FHD_P_46</f>
        <v/>
      </c>
      <c r="G84" s="2393" t="s">
        <v>698</v>
      </c>
      <c r="H84" s="1489"/>
      <c r="I84" s="1089"/>
      <c r="J84" s="801" t="str">
        <f>FHD_NOTE_P_46</f>
        <v/>
      </c>
      <c r="K84" s="1246"/>
      <c r="L84" s="1247"/>
      <c r="M84" s="1247"/>
      <c r="R84" s="1247"/>
      <c r="U84" s="1248"/>
      <c r="AA84" s="1249"/>
      <c r="AB84" s="1249"/>
      <c r="AC84" s="1249"/>
      <c r="AD84" s="1249"/>
      <c r="AE84" s="1249"/>
      <c r="AF84" s="1422">
        <v>0</v>
      </c>
    </row>
    <row s="46889" customFormat="1" customHeight="1" ht="18.75" hidden="1">
      <c r="A85" s="2883"/>
      <c r="C85" s="1247"/>
      <c r="D85" s="1245"/>
      <c r="E85" s="1058" t="str">
        <f>FHD_NUM_P_47</f>
        <v/>
      </c>
      <c r="F85" s="2392" t="str">
        <f>FHD_P_47</f>
        <v/>
      </c>
      <c r="G85" s="2393" t="s">
        <v>698</v>
      </c>
      <c r="H85" s="1489"/>
      <c r="I85" s="1089"/>
      <c r="J85" s="801" t="str">
        <f>FHD_NOTE_P_47</f>
        <v/>
      </c>
      <c r="K85" s="1246"/>
      <c r="L85" s="1247"/>
      <c r="M85" s="1247"/>
      <c r="R85" s="1247"/>
      <c r="U85" s="1248"/>
      <c r="AA85" s="1249"/>
      <c r="AB85" s="1249"/>
      <c r="AC85" s="1249"/>
      <c r="AD85" s="1249"/>
      <c r="AE85" s="1249"/>
      <c r="AF85" s="1422">
        <v>0</v>
      </c>
    </row>
    <row s="46808" customFormat="1" customHeight="1" ht="18.75" hidden="1">
      <c r="A86" s="2883"/>
      <c r="B86" s="1422"/>
      <c r="C86" s="1247"/>
      <c r="D86" s="1245"/>
      <c r="E86" s="1058" t="str">
        <f>FHD_NUM_P_48</f>
        <v/>
      </c>
      <c r="F86" s="2392" t="str">
        <f>FHD_P_48</f>
        <v/>
      </c>
      <c r="G86" s="2393" t="s">
        <v>698</v>
      </c>
      <c r="H86" s="1489"/>
      <c r="I86" s="1089"/>
      <c r="J86" s="801" t="str">
        <f>FHD_NOTE_P_48</f>
        <v/>
      </c>
      <c r="K86" s="1246"/>
      <c r="L86" s="1247"/>
      <c r="M86" s="1247"/>
      <c r="N86" s="1422"/>
      <c r="O86" s="1422"/>
      <c r="P86" s="1422"/>
      <c r="Q86" s="1422"/>
      <c r="R86" s="1247"/>
      <c r="S86" s="1422"/>
      <c r="T86" s="1422"/>
      <c r="U86" s="1248"/>
      <c r="V86" s="1422"/>
      <c r="W86" s="1422"/>
      <c r="X86" s="1422"/>
      <c r="Y86" s="1422"/>
      <c r="Z86" s="1422"/>
      <c r="AA86" s="1249"/>
      <c r="AB86" s="1249"/>
      <c r="AC86" s="1249"/>
      <c r="AD86" s="1249"/>
      <c r="AE86" s="1249"/>
      <c r="AF86" s="1251">
        <v>0</v>
      </c>
    </row>
    <row s="46808" customFormat="1" customHeight="1" ht="18.75" hidden="1">
      <c r="A87" s="2883"/>
      <c r="B87" s="1422"/>
      <c r="C87" s="1247"/>
      <c r="D87" s="1245"/>
      <c r="E87" s="1058" t="str">
        <f>FHD_NUM_P_49</f>
        <v/>
      </c>
      <c r="F87" s="2392" t="str">
        <f>FHD_P_49</f>
        <v/>
      </c>
      <c r="G87" s="2393" t="s">
        <v>698</v>
      </c>
      <c r="H87" s="1490">
        <f>SUM(H88:H89)</f>
        <v>0</v>
      </c>
      <c r="I87" s="1261">
        <f>SUM(I88:I89)</f>
        <v>0</v>
      </c>
      <c r="J87" s="801" t="str">
        <f>FHD_NOTE_P_49</f>
        <v/>
      </c>
      <c r="K87" s="1246"/>
      <c r="L87" s="1247"/>
      <c r="M87" s="1247"/>
      <c r="N87" s="1422"/>
      <c r="O87" s="1422"/>
      <c r="P87" s="1422"/>
      <c r="Q87" s="1422"/>
      <c r="R87" s="1247"/>
      <c r="S87" s="1422"/>
      <c r="T87" s="1422"/>
      <c r="U87" s="1248"/>
      <c r="V87" s="1422"/>
      <c r="W87" s="1422"/>
      <c r="X87" s="1422"/>
      <c r="Y87" s="1422"/>
      <c r="Z87" s="1422"/>
      <c r="AA87" s="1249"/>
      <c r="AB87" s="1249"/>
      <c r="AC87" s="1249"/>
      <c r="AD87" s="1249"/>
      <c r="AE87" s="1249"/>
      <c r="AF87" s="1251">
        <v>0</v>
      </c>
    </row>
    <row s="46808" customFormat="1" customHeight="1" ht="18.75" hidden="1">
      <c r="A88" s="2883"/>
      <c r="B88" s="1422"/>
      <c r="C88" s="1247"/>
      <c r="D88" s="1245"/>
      <c r="E88" s="1058" t="str">
        <f>FHD_NUM_P_50</f>
        <v/>
      </c>
      <c r="F88" s="2392" t="str">
        <f>FHD_P_50</f>
        <v/>
      </c>
      <c r="G88" s="2393" t="s">
        <v>698</v>
      </c>
      <c r="H88" s="1489"/>
      <c r="I88" s="1089"/>
      <c r="J88" s="801" t="str">
        <f>FHD_NOTE_P_50</f>
        <v/>
      </c>
      <c r="K88" s="1246"/>
      <c r="L88" s="1247"/>
      <c r="M88" s="1247"/>
      <c r="N88" s="1422"/>
      <c r="O88" s="1422"/>
      <c r="P88" s="1422"/>
      <c r="Q88" s="1422"/>
      <c r="R88" s="1247"/>
      <c r="S88" s="1422"/>
      <c r="T88" s="1422"/>
      <c r="U88" s="1248"/>
      <c r="V88" s="1422"/>
      <c r="W88" s="1422"/>
      <c r="X88" s="1422"/>
      <c r="Y88" s="1422"/>
      <c r="Z88" s="1422"/>
      <c r="AA88" s="1249"/>
      <c r="AB88" s="1249"/>
      <c r="AC88" s="1249"/>
      <c r="AD88" s="1249"/>
      <c r="AE88" s="1249"/>
      <c r="AF88" s="1251">
        <v>0</v>
      </c>
    </row>
    <row s="46808" customFormat="1" customHeight="1" ht="18.75" hidden="1">
      <c r="A89" s="2883"/>
      <c r="B89" s="1422"/>
      <c r="C89" s="1247"/>
      <c r="D89" s="1245"/>
      <c r="E89" s="1058" t="str">
        <f>FHD_NUM_P_51</f>
        <v/>
      </c>
      <c r="F89" s="2392" t="str">
        <f>FHD_P_51</f>
        <v/>
      </c>
      <c r="G89" s="2393" t="s">
        <v>698</v>
      </c>
      <c r="H89" s="1489"/>
      <c r="I89" s="1089"/>
      <c r="J89" s="801" t="str">
        <f>FHD_NOTE_P_51</f>
        <v/>
      </c>
      <c r="K89" s="1246"/>
      <c r="L89" s="1247"/>
      <c r="M89" s="1247"/>
      <c r="N89" s="1422"/>
      <c r="O89" s="1422"/>
      <c r="P89" s="1422"/>
      <c r="Q89" s="1422"/>
      <c r="R89" s="1247"/>
      <c r="S89" s="1422"/>
      <c r="T89" s="1422"/>
      <c r="U89" s="1248"/>
      <c r="V89" s="1422"/>
      <c r="W89" s="1422"/>
      <c r="X89" s="1422"/>
      <c r="Y89" s="1422"/>
      <c r="Z89" s="1422"/>
      <c r="AA89" s="1249"/>
      <c r="AB89" s="1249"/>
      <c r="AC89" s="1249"/>
      <c r="AD89" s="1249"/>
      <c r="AE89" s="1249"/>
      <c r="AF89" s="1251">
        <v>0</v>
      </c>
    </row>
    <row s="46808" customFormat="1" customHeight="1" ht="18.75" hidden="1">
      <c r="A90" s="2883"/>
      <c r="B90" s="1422"/>
      <c r="C90" s="1247"/>
      <c r="D90" s="1245"/>
      <c r="E90" s="1058" t="str">
        <f>FHD_NUM_P_52</f>
        <v/>
      </c>
      <c r="F90" s="2392" t="str">
        <f>FHD_P_52</f>
        <v/>
      </c>
      <c r="G90" s="2393" t="s">
        <v>675</v>
      </c>
      <c r="H90" s="1488"/>
      <c r="I90" s="1069"/>
      <c r="J90" s="801" t="str">
        <f>FHD_NOTE_P_52</f>
        <v/>
      </c>
      <c r="K90" s="1246"/>
      <c r="L90" s="1247"/>
      <c r="M90" s="1247"/>
      <c r="N90" s="1422"/>
      <c r="O90" s="1422"/>
      <c r="P90" s="1422"/>
      <c r="Q90" s="1422"/>
      <c r="R90" s="1247"/>
      <c r="S90" s="1422"/>
      <c r="T90" s="1422"/>
      <c r="U90" s="1248"/>
      <c r="V90" s="1422"/>
      <c r="W90" s="1422"/>
      <c r="X90" s="1422"/>
      <c r="Y90" s="1422"/>
      <c r="Z90" s="1422"/>
      <c r="AA90" s="1249"/>
      <c r="AB90" s="1249"/>
      <c r="AC90" s="1249"/>
      <c r="AD90" s="1249"/>
      <c r="AE90" s="1249"/>
      <c r="AF90" s="1251">
        <v>0</v>
      </c>
    </row>
    <row s="46889" customFormat="1" customHeight="1" ht="18.75" hidden="1">
      <c r="A91" s="2885" t="s">
        <v>699</v>
      </c>
      <c r="C91" s="1247"/>
      <c r="D91" s="1245"/>
      <c r="E91" s="1058" t="str">
        <f>FHD_NUM_P_53</f>
        <v/>
      </c>
      <c r="F91" s="2392" t="str">
        <f>FHD_P_53</f>
        <v/>
      </c>
      <c r="G91" s="2393" t="s">
        <v>698</v>
      </c>
      <c r="H91" s="1489"/>
      <c r="I91" s="1089"/>
      <c r="J91" s="801" t="str">
        <f>FHD_NOTE_P_53</f>
        <v/>
      </c>
      <c r="K91" s="1246"/>
      <c r="L91" s="1247"/>
      <c r="M91" s="1247"/>
      <c r="R91" s="1247"/>
      <c r="U91" s="1248"/>
      <c r="AA91" s="1249"/>
      <c r="AB91" s="1249"/>
      <c r="AC91" s="1249"/>
      <c r="AD91" s="1249"/>
      <c r="AE91" s="1249"/>
      <c r="AF91" s="1422">
        <v>0</v>
      </c>
    </row>
    <row s="46889" customFormat="1" customHeight="1" ht="18.75" hidden="1">
      <c r="A92" s="2885"/>
      <c r="C92" s="1247"/>
      <c r="D92" s="1245"/>
      <c r="E92" s="1058" t="str">
        <f>FHD_NUM_P_54</f>
        <v/>
      </c>
      <c r="F92" s="2392" t="str">
        <f>FHD_P_54</f>
        <v/>
      </c>
      <c r="G92" s="2393" t="s">
        <v>698</v>
      </c>
      <c r="H92" s="1489"/>
      <c r="I92" s="1089"/>
      <c r="J92" s="801" t="str">
        <f>FHD_NOTE_P_54</f>
        <v/>
      </c>
      <c r="K92" s="1246"/>
      <c r="L92" s="1247"/>
      <c r="M92" s="1247"/>
      <c r="R92" s="1247"/>
      <c r="U92" s="1248"/>
      <c r="AA92" s="1249"/>
      <c r="AB92" s="1249"/>
      <c r="AC92" s="1249"/>
      <c r="AD92" s="1249"/>
      <c r="AE92" s="1249"/>
      <c r="AF92" s="1422">
        <v>0</v>
      </c>
    </row>
    <row s="46889" customFormat="1" customHeight="1" ht="18.75" hidden="1">
      <c r="A93" s="2885"/>
      <c r="C93" s="1247"/>
      <c r="D93" s="1250"/>
      <c r="E93" s="1058" t="str">
        <f>FHD_NUM_P_55</f>
        <v/>
      </c>
      <c r="F93" s="2392" t="str">
        <f>FHD_P_55</f>
        <v/>
      </c>
      <c r="G93" s="2396"/>
      <c r="H93" s="1489"/>
      <c r="I93" s="1089"/>
      <c r="J93" s="801" t="str">
        <f>FHD_NOTE_P_55</f>
        <v/>
      </c>
      <c r="K93" s="1246"/>
      <c r="L93" s="1247"/>
      <c r="M93" s="1247"/>
      <c r="R93" s="1247"/>
      <c r="U93" s="1248"/>
      <c r="AA93" s="1249"/>
      <c r="AB93" s="1249"/>
      <c r="AC93" s="1249"/>
      <c r="AD93" s="1249"/>
      <c r="AE93" s="1249"/>
      <c r="AF93" s="1422">
        <v>0</v>
      </c>
    </row>
    <row s="46889" customFormat="1" customHeight="1" ht="18.75" hidden="1">
      <c r="A94" s="2885"/>
      <c r="C94" s="1247"/>
      <c r="D94" s="1245"/>
      <c r="E94" s="1058" t="str">
        <f>FHD_NUM_P_56</f>
        <v/>
      </c>
      <c r="F94" s="2392" t="str">
        <f>FHD_P_56</f>
        <v/>
      </c>
      <c r="G94" s="2393" t="s">
        <v>700</v>
      </c>
      <c r="H94" s="1489"/>
      <c r="I94" s="1089"/>
      <c r="J94" s="801" t="str">
        <f>FHD_NOTE_P_56</f>
        <v/>
      </c>
      <c r="K94" s="1246"/>
      <c r="L94" s="1247"/>
      <c r="M94" s="1247"/>
      <c r="R94" s="1247"/>
      <c r="U94" s="1248"/>
      <c r="AA94" s="1249"/>
      <c r="AB94" s="1249"/>
      <c r="AC94" s="1249"/>
      <c r="AD94" s="1249"/>
      <c r="AE94" s="1249"/>
      <c r="AF94" s="1422">
        <v>0</v>
      </c>
    </row>
    <row s="46808" customFormat="1" customHeight="1" ht="18.75" hidden="1">
      <c r="A95" s="2885"/>
      <c r="B95" s="1422"/>
      <c r="C95" s="1247"/>
      <c r="D95" s="1245"/>
      <c r="E95" s="1058" t="str">
        <f>FHD_NUM_P_57</f>
        <v/>
      </c>
      <c r="F95" s="2392" t="str">
        <f>FHD_P_57</f>
        <v/>
      </c>
      <c r="G95" s="2393" t="s">
        <v>675</v>
      </c>
      <c r="H95" s="1488"/>
      <c r="I95" s="1069"/>
      <c r="J95" s="801" t="str">
        <f>FHD_NOTE_P_57</f>
        <v/>
      </c>
      <c r="K95" s="1246"/>
      <c r="L95" s="1247"/>
      <c r="M95" s="1247"/>
      <c r="N95" s="1422"/>
      <c r="O95" s="1422"/>
      <c r="P95" s="1422"/>
      <c r="Q95" s="1422"/>
      <c r="R95" s="1247"/>
      <c r="S95" s="1422"/>
      <c r="T95" s="1422"/>
      <c r="U95" s="1248"/>
      <c r="V95" s="1422"/>
      <c r="W95" s="1422"/>
      <c r="X95" s="1422"/>
      <c r="Y95" s="1422"/>
      <c r="Z95" s="1422"/>
      <c r="AA95" s="1249"/>
      <c r="AB95" s="1249"/>
      <c r="AC95" s="1249"/>
      <c r="AD95" s="1249"/>
      <c r="AE95" s="1249"/>
      <c r="AF95" s="1251">
        <v>0</v>
      </c>
    </row>
    <row customHeight="1" ht="18.75">
      <c r="A96" s="2883" t="s">
        <v>701</v>
      </c>
      <c r="D96" s="2150"/>
      <c r="E96" s="1058" t="str">
        <f>FHD_NUM_P_58</f>
        <v>7</v>
      </c>
      <c r="F96" s="2392" t="str">
        <f>FHD_P_58</f>
        <v>Объём сточных вод, принятых от потребителей</v>
      </c>
      <c r="G96" s="2393" t="s">
        <v>698</v>
      </c>
      <c r="H96" s="1489"/>
      <c r="I96" s="1089"/>
      <c r="J96" s="801" t="str">
        <f>FHD_NOTE_P_58</f>
        <v/>
      </c>
      <c r="K96" s="1055"/>
      <c r="AF96" s="2143">
        <v>0</v>
      </c>
    </row>
    <row customHeight="1" ht="18.75">
      <c r="A97" s="2883"/>
      <c r="D97" s="2150"/>
      <c r="E97" s="1058" t="str">
        <f>FHD_NUM_P_59</f>
        <v>8</v>
      </c>
      <c r="F97" s="2392" t="str">
        <f>FHD_P_59</f>
        <v>Объём сточных вод, принятых от других регулируемых организаций, осуществляющих водоотведение и (или) очистку сточных вод</v>
      </c>
      <c r="G97" s="2393" t="s">
        <v>698</v>
      </c>
      <c r="H97" s="1489"/>
      <c r="I97" s="1089"/>
      <c r="J97" s="801" t="str">
        <f>FHD_NOTE_P_59</f>
        <v/>
      </c>
      <c r="K97" s="1055"/>
      <c r="AF97" s="2143">
        <v>0</v>
      </c>
    </row>
    <row customHeight="1" ht="18.75">
      <c r="A98" s="2883"/>
      <c r="D98" s="2150"/>
      <c r="E98" s="1058" t="str">
        <f>FHD_NUM_P_60</f>
        <v>9</v>
      </c>
      <c r="F98" s="2392" t="str">
        <f>FHD_P_60</f>
        <v>Объём сточных вод, пропущенных через очистные сооружения</v>
      </c>
      <c r="G98" s="2393" t="s">
        <v>698</v>
      </c>
      <c r="H98" s="1489"/>
      <c r="I98" s="1089"/>
      <c r="J98" s="801" t="str">
        <f>FHD_NOTE_P_60</f>
        <v/>
      </c>
      <c r="K98" s="1055"/>
      <c r="AF98" s="2143">
        <v>0</v>
      </c>
    </row>
    <row s="46889" customFormat="1" customHeight="1" ht="18.75" hidden="1">
      <c r="A99" s="2883" t="s">
        <v>702</v>
      </c>
      <c r="C99" s="2148"/>
      <c r="D99" s="2150"/>
      <c r="E99" s="1058" t="str">
        <f>FHD_NUM_P_61</f>
        <v/>
      </c>
      <c r="F99" s="2392" t="str">
        <f>FHD_P_61</f>
        <v/>
      </c>
      <c r="G99" s="2390" t="s">
        <v>673</v>
      </c>
      <c r="H99" s="1491"/>
      <c r="I99" s="1254"/>
      <c r="J99" s="801" t="str">
        <f>FHD_NOTE_P_61</f>
        <v/>
      </c>
      <c r="K99" s="1055"/>
      <c r="L99" s="2148"/>
      <c r="M99" s="2148"/>
      <c r="R99" s="2148"/>
      <c r="U99" s="1056"/>
      <c r="AA99" s="2144"/>
      <c r="AB99" s="2144"/>
      <c r="AC99" s="2144"/>
      <c r="AD99" s="2144"/>
      <c r="AE99" s="2144"/>
      <c r="AF99" s="1672">
        <v>0</v>
      </c>
    </row>
    <row s="46890" customFormat="1" customHeight="1" ht="0.75" hidden="1">
      <c r="A100" s="2883"/>
      <c r="D100" s="1060"/>
      <c r="E100" s="1525" t="str">
        <f>E99&amp;".0"</f>
        <v>.0</v>
      </c>
      <c r="F100" s="1506"/>
      <c r="G100" s="1507"/>
      <c r="H100" s="1504"/>
      <c r="I100" s="1504"/>
      <c r="J100" s="1508"/>
      <c r="AF100" s="2148">
        <v>0</v>
      </c>
    </row>
    <row customHeight="1" ht="15" hidden="1">
      <c r="A101" s="2883"/>
      <c r="D101" s="2145"/>
      <c r="E101" s="1483"/>
      <c r="F101" s="1484" t="s">
        <v>703</v>
      </c>
      <c r="G101" s="1084"/>
      <c r="H101" s="1085"/>
      <c r="I101" s="1085"/>
      <c r="J101" s="1516" t="s">
        <v>704</v>
      </c>
      <c r="K101" s="1055"/>
      <c r="AF101" s="2143">
        <v>0</v>
      </c>
    </row>
    <row s="46889" customFormat="1" customHeight="1" ht="18.75" hidden="1">
      <c r="A102" s="2883"/>
      <c r="C102" s="2148"/>
      <c r="D102" s="2150"/>
      <c r="E102" s="1058" t="str">
        <f>FHD_NUM_P_62</f>
        <v/>
      </c>
      <c r="F102" s="2392" t="str">
        <f>FHD_P_62</f>
        <v/>
      </c>
      <c r="G102" s="2389" t="s">
        <v>673</v>
      </c>
      <c r="H102" s="1069"/>
      <c r="I102" s="1069"/>
      <c r="J102" s="801" t="str">
        <f>FHD_NOTE_P_62</f>
        <v/>
      </c>
      <c r="K102" s="1055"/>
      <c r="L102" s="2148"/>
      <c r="M102" s="2148"/>
      <c r="R102" s="2148"/>
      <c r="U102" s="1056"/>
      <c r="AA102" s="2144"/>
      <c r="AB102" s="2144"/>
      <c r="AC102" s="2144"/>
      <c r="AD102" s="2144"/>
      <c r="AE102" s="2144"/>
      <c r="AF102" s="1672">
        <v>0</v>
      </c>
    </row>
    <row s="46889" customFormat="1" customHeight="1" ht="18.75" hidden="1">
      <c r="A103" s="2883"/>
      <c r="C103" s="2148"/>
      <c r="D103" s="2150"/>
      <c r="E103" s="1058" t="str">
        <f>FHD_NUM_P_63</f>
        <v/>
      </c>
      <c r="F103" s="2392" t="str">
        <f>FHD_P_63</f>
        <v/>
      </c>
      <c r="G103" s="2389" t="s">
        <v>700</v>
      </c>
      <c r="H103" s="1089"/>
      <c r="I103" s="1089"/>
      <c r="J103" s="801" t="str">
        <f>FHD_NOTE_P_63</f>
        <v/>
      </c>
      <c r="K103" s="1055"/>
      <c r="L103" s="2148"/>
      <c r="M103" s="2148"/>
      <c r="R103" s="2148"/>
      <c r="U103" s="1056"/>
      <c r="AA103" s="2144"/>
      <c r="AB103" s="2144"/>
      <c r="AC103" s="2144"/>
      <c r="AD103" s="2144"/>
      <c r="AE103" s="2144"/>
      <c r="AF103" s="1672">
        <v>0</v>
      </c>
    </row>
    <row s="46889" customFormat="1" customHeight="1" ht="18.75" hidden="1">
      <c r="A104" s="2883"/>
      <c r="C104" s="2148" t="s">
        <v>705</v>
      </c>
      <c r="D104" s="2150"/>
      <c r="E104" s="1058" t="str">
        <f>FHD_NUM_P_64</f>
        <v/>
      </c>
      <c r="F104" s="2392" t="str">
        <f>FHD_P_64</f>
        <v/>
      </c>
      <c r="G104" s="2389" t="s">
        <v>700</v>
      </c>
      <c r="H104" s="1057"/>
      <c r="I104" s="1057"/>
      <c r="J104" s="801" t="str">
        <f>FHD_NOTE_P_64</f>
        <v/>
      </c>
      <c r="K104" s="1055"/>
      <c r="L104" s="2148"/>
      <c r="M104" s="2148"/>
      <c r="R104" s="2148"/>
      <c r="U104" s="1056"/>
      <c r="AA104" s="2144"/>
      <c r="AB104" s="2144"/>
      <c r="AC104" s="2144"/>
      <c r="AD104" s="2144"/>
      <c r="AE104" s="2144"/>
      <c r="AF104" s="1672">
        <v>0</v>
      </c>
    </row>
    <row s="46889" customFormat="1" customHeight="1" ht="18.75" hidden="1">
      <c r="A105" s="2883"/>
      <c r="C105" s="2148"/>
      <c r="D105" s="2150"/>
      <c r="E105" s="1058" t="str">
        <f>FHD_NUM_P_65</f>
        <v/>
      </c>
      <c r="F105" s="2392" t="str">
        <f>FHD_P_65</f>
        <v/>
      </c>
      <c r="G105" s="2389" t="s">
        <v>700</v>
      </c>
      <c r="H105" s="1089"/>
      <c r="I105" s="1089"/>
      <c r="J105" s="801" t="str">
        <f>FHD_NOTE_P_65</f>
        <v/>
      </c>
      <c r="K105" s="1055"/>
      <c r="L105" s="2148"/>
      <c r="M105" s="2148"/>
      <c r="R105" s="2148"/>
      <c r="U105" s="1056"/>
      <c r="AA105" s="2144"/>
      <c r="AB105" s="2144"/>
      <c r="AC105" s="2144"/>
      <c r="AD105" s="2144"/>
      <c r="AE105" s="2144"/>
      <c r="AF105" s="1672">
        <v>0</v>
      </c>
    </row>
    <row s="46889" customFormat="1" customHeight="1" ht="18.75" hidden="1">
      <c r="A106" s="2883"/>
      <c r="C106" s="2148"/>
      <c r="D106" s="2150"/>
      <c r="E106" s="1058" t="str">
        <f>FHD_NUM_P_66</f>
        <v/>
      </c>
      <c r="F106" s="2036" t="str">
        <f>FHD_P_66</f>
        <v/>
      </c>
      <c r="G106" s="2389" t="s">
        <v>700</v>
      </c>
      <c r="H106" s="1089"/>
      <c r="I106" s="1089"/>
      <c r="J106" s="801" t="str">
        <f>FHD_NOTE_P_66</f>
        <v/>
      </c>
      <c r="K106" s="1055"/>
      <c r="L106" s="2148"/>
      <c r="M106" s="2148"/>
      <c r="R106" s="2148"/>
      <c r="U106" s="1056"/>
      <c r="AA106" s="2144"/>
      <c r="AB106" s="2144"/>
      <c r="AC106" s="2144"/>
      <c r="AD106" s="2144"/>
      <c r="AE106" s="2144"/>
      <c r="AF106" s="1672">
        <v>0</v>
      </c>
    </row>
    <row s="46889" customFormat="1" customHeight="1" ht="18.75" hidden="1">
      <c r="A107" s="2883"/>
      <c r="C107" s="2148"/>
      <c r="D107" s="2150"/>
      <c r="E107" s="1058" t="str">
        <f>FHD_NUM_P_67</f>
        <v/>
      </c>
      <c r="F107" s="2162" t="str">
        <f>FHD_P_67</f>
        <v/>
      </c>
      <c r="G107" s="2389" t="s">
        <v>700</v>
      </c>
      <c r="H107" s="1089"/>
      <c r="I107" s="1089"/>
      <c r="J107" s="801" t="str">
        <f>FHD_NOTE_P_67</f>
        <v/>
      </c>
      <c r="K107" s="1055"/>
      <c r="L107" s="2148"/>
      <c r="M107" s="2148"/>
      <c r="R107" s="2148"/>
      <c r="U107" s="1056"/>
      <c r="AA107" s="2144"/>
      <c r="AB107" s="2144"/>
      <c r="AC107" s="2144"/>
      <c r="AD107" s="2144"/>
      <c r="AE107" s="2144"/>
      <c r="AF107" s="1672">
        <v>0</v>
      </c>
    </row>
    <row s="46889" customFormat="1" customHeight="1" ht="18.75" hidden="1">
      <c r="A108" s="2883"/>
      <c r="C108" s="2148"/>
      <c r="D108" s="2150"/>
      <c r="E108" s="1058" t="str">
        <f>FHD_NUM_P_68</f>
        <v/>
      </c>
      <c r="F108" s="2036" t="str">
        <f>FHD_P_68</f>
        <v/>
      </c>
      <c r="G108" s="2389" t="s">
        <v>700</v>
      </c>
      <c r="H108" s="1089"/>
      <c r="I108" s="1089"/>
      <c r="J108" s="801" t="str">
        <f>FHD_NOTE_P_68</f>
        <v/>
      </c>
      <c r="K108" s="1055"/>
      <c r="L108" s="2148"/>
      <c r="M108" s="2148"/>
      <c r="R108" s="2148"/>
      <c r="U108" s="1056"/>
      <c r="AA108" s="2144"/>
      <c r="AB108" s="2144"/>
      <c r="AC108" s="2144"/>
      <c r="AD108" s="2144"/>
      <c r="AE108" s="2144"/>
      <c r="AF108" s="1672">
        <v>0</v>
      </c>
    </row>
    <row s="46889" customFormat="1" customHeight="1" ht="18.75" hidden="1">
      <c r="A109" s="2883"/>
      <c r="C109" s="2148"/>
      <c r="D109" s="2150"/>
      <c r="E109" s="1058" t="str">
        <f>FHD_NUM_P_69</f>
        <v/>
      </c>
      <c r="F109" s="2036" t="str">
        <f>FHD_P_69</f>
        <v/>
      </c>
      <c r="G109" s="2389" t="s">
        <v>700</v>
      </c>
      <c r="H109" s="1089"/>
      <c r="I109" s="1089"/>
      <c r="J109" s="801" t="str">
        <f>FHD_NOTE_P_69</f>
        <v/>
      </c>
      <c r="K109" s="1055"/>
      <c r="L109" s="2148"/>
      <c r="M109" s="2148"/>
      <c r="R109" s="2148"/>
      <c r="U109" s="1056"/>
      <c r="AA109" s="2144"/>
      <c r="AB109" s="2144"/>
      <c r="AC109" s="2144"/>
      <c r="AD109" s="2144"/>
      <c r="AE109" s="2144"/>
      <c r="AF109" s="1672">
        <v>0</v>
      </c>
    </row>
    <row s="46889" customFormat="1" customHeight="1" ht="22.5" hidden="1">
      <c r="A110" s="2883"/>
      <c r="C110" s="2148"/>
      <c r="D110" s="2150"/>
      <c r="E110" s="1058" t="str">
        <f>FHD_NUM_P_70</f>
        <v/>
      </c>
      <c r="F110" s="2392" t="str">
        <f>FHD_P_70</f>
        <v/>
      </c>
      <c r="G110" s="2389" t="s">
        <v>706</v>
      </c>
      <c r="H110" s="1069"/>
      <c r="I110" s="1069"/>
      <c r="J110" s="801" t="str">
        <f>FHD_NOTE_P_70</f>
        <v/>
      </c>
      <c r="K110" s="1055"/>
      <c r="L110" s="2148"/>
      <c r="M110" s="2148"/>
      <c r="R110" s="2148"/>
      <c r="U110" s="1056"/>
      <c r="AA110" s="2144"/>
      <c r="AB110" s="2144"/>
      <c r="AC110" s="2144"/>
      <c r="AD110" s="2144"/>
      <c r="AE110" s="2144"/>
      <c r="AF110" s="1672">
        <v>0</v>
      </c>
    </row>
    <row s="46889" customFormat="1" customHeight="1" ht="22.5" hidden="1">
      <c r="A111" s="2883"/>
      <c r="C111" s="2148"/>
      <c r="D111" s="2150"/>
      <c r="E111" s="1058" t="str">
        <f>FHD_NUM_P_71</f>
        <v/>
      </c>
      <c r="F111" s="2392" t="str">
        <f>FHD_P_71</f>
        <v/>
      </c>
      <c r="G111" s="2389" t="s">
        <v>706</v>
      </c>
      <c r="H111" s="1069"/>
      <c r="I111" s="1069"/>
      <c r="J111" s="801" t="str">
        <f>FHD_NOTE_P_71</f>
        <v/>
      </c>
      <c r="K111" s="1055"/>
      <c r="L111" s="2148"/>
      <c r="M111" s="2148"/>
      <c r="R111" s="2148"/>
      <c r="U111" s="1056"/>
      <c r="AA111" s="2144"/>
      <c r="AB111" s="2144"/>
      <c r="AC111" s="2144"/>
      <c r="AD111" s="2144"/>
      <c r="AE111" s="2144"/>
      <c r="AF111" s="1672">
        <v>0</v>
      </c>
    </row>
    <row customHeight="1" ht="19.95">
      <c r="D112" s="2150"/>
      <c r="E112" s="1058" t="str">
        <f>FHD_NUM_P_72</f>
        <v>10</v>
      </c>
      <c r="F112" s="2392" t="str">
        <f>FHD_P_72</f>
        <v>Среднесписочная численность основного производственного персонала</v>
      </c>
      <c r="G112" s="2388" t="s">
        <v>707</v>
      </c>
      <c r="H112" s="1089"/>
      <c r="I112" s="1089"/>
      <c r="J112" s="801" t="str">
        <f>FHD_NOTE_P_72</f>
        <v/>
      </c>
      <c r="K112" s="1055"/>
      <c r="AF112" s="2143">
        <v>19</v>
      </c>
    </row>
    <row customHeight="1" ht="18.75" hidden="1">
      <c r="A113" s="1501" t="s">
        <v>708</v>
      </c>
      <c r="D113" s="2150"/>
      <c r="E113" s="1058" t="str">
        <f>FHD_NUM_P_73</f>
        <v/>
      </c>
      <c r="F113" s="2392" t="str">
        <f>FHD_P_73</f>
        <v/>
      </c>
      <c r="G113" s="1482" t="s">
        <v>707</v>
      </c>
      <c r="H113" s="1480"/>
      <c r="I113" s="1480"/>
      <c r="J113" s="801" t="str">
        <f>FHD_NOTE_P_73</f>
        <v/>
      </c>
      <c r="K113" s="1055"/>
      <c r="AF113" s="2143">
        <v>0</v>
      </c>
    </row>
    <row customHeight="1" ht="33.75" hidden="1">
      <c r="A114" s="1501" t="s">
        <v>709</v>
      </c>
      <c r="D114" s="2150"/>
      <c r="E114" s="1058" t="str">
        <f>FHD_NUM_P_74</f>
        <v/>
      </c>
      <c r="F114" s="2392" t="str">
        <f>FHD_P_74</f>
        <v/>
      </c>
      <c r="G114" s="2388" t="s">
        <v>710</v>
      </c>
      <c r="H114" s="1089"/>
      <c r="I114" s="1089"/>
      <c r="J114" s="801" t="str">
        <f>FHD_NOTE_P_74</f>
        <v/>
      </c>
      <c r="K114" s="1055"/>
      <c r="AF114" s="2143">
        <v>0</v>
      </c>
    </row>
    <row s="46808" customFormat="1" customHeight="1" ht="18.75" hidden="1">
      <c r="A115" s="2885" t="s">
        <v>711</v>
      </c>
      <c r="B115" s="1422"/>
      <c r="C115" s="1247"/>
      <c r="D115" s="1245"/>
      <c r="E115" s="1058" t="str">
        <f>FHD_NUM_P_75</f>
        <v/>
      </c>
      <c r="F115" s="2392" t="str">
        <f>FHD_P_75</f>
        <v/>
      </c>
      <c r="G115" s="2388" t="s">
        <v>675</v>
      </c>
      <c r="H115" s="1069"/>
      <c r="I115" s="1069"/>
      <c r="J115" s="801" t="str">
        <f>FHD_NOTE_P_75</f>
        <v/>
      </c>
      <c r="K115" s="1246"/>
      <c r="L115" s="1247"/>
      <c r="M115" s="1247"/>
      <c r="N115" s="1422"/>
      <c r="O115" s="1422"/>
      <c r="P115" s="1422"/>
      <c r="Q115" s="1422"/>
      <c r="R115" s="1247"/>
      <c r="S115" s="1422"/>
      <c r="T115" s="1422"/>
      <c r="U115" s="1248"/>
      <c r="V115" s="1422"/>
      <c r="W115" s="1422"/>
      <c r="X115" s="1422"/>
      <c r="Y115" s="1422"/>
      <c r="Z115" s="1422"/>
      <c r="AA115" s="1249"/>
      <c r="AB115" s="1249"/>
      <c r="AC115" s="1249"/>
      <c r="AD115" s="1249"/>
      <c r="AE115" s="1249"/>
      <c r="AF115" s="1251">
        <v>0</v>
      </c>
    </row>
    <row s="46808" customFormat="1" customHeight="1" ht="18.75" hidden="1">
      <c r="A116" s="2885"/>
      <c r="B116" s="1422"/>
      <c r="C116" s="1247"/>
      <c r="D116" s="1245"/>
      <c r="E116" s="1058" t="str">
        <f>FHD_NUM_P_76</f>
        <v/>
      </c>
      <c r="F116" s="2392" t="str">
        <f>FHD_P_76</f>
        <v/>
      </c>
      <c r="G116" s="2388" t="s">
        <v>675</v>
      </c>
      <c r="H116" s="1069"/>
      <c r="I116" s="1069"/>
      <c r="J116" s="801" t="str">
        <f>FHD_NOTE_P_76</f>
        <v/>
      </c>
      <c r="K116" s="1246"/>
      <c r="L116" s="1247"/>
      <c r="M116" s="1247"/>
      <c r="N116" s="1422"/>
      <c r="O116" s="1422"/>
      <c r="P116" s="1422"/>
      <c r="Q116" s="1422"/>
      <c r="R116" s="1247"/>
      <c r="S116" s="1422"/>
      <c r="T116" s="1422"/>
      <c r="U116" s="1248"/>
      <c r="V116" s="1422"/>
      <c r="W116" s="1422"/>
      <c r="X116" s="1422"/>
      <c r="Y116" s="1422"/>
      <c r="Z116" s="1422"/>
      <c r="AA116" s="1249"/>
      <c r="AB116" s="1249"/>
      <c r="AC116" s="1249"/>
      <c r="AD116" s="1249"/>
      <c r="AE116" s="1249"/>
      <c r="AF116" s="1251">
        <v>0</v>
      </c>
    </row>
    <row s="46808" customFormat="1" customHeight="1" ht="18.75" hidden="1">
      <c r="A117" s="2885"/>
      <c r="B117" s="1422"/>
      <c r="C117" s="1247"/>
      <c r="D117" s="1245"/>
      <c r="E117" s="1058" t="str">
        <f>FHD_NUM_P_77</f>
        <v/>
      </c>
      <c r="F117" s="2392" t="str">
        <f>FHD_P_77</f>
        <v/>
      </c>
      <c r="G117" s="2388" t="s">
        <v>675</v>
      </c>
      <c r="H117" s="1069"/>
      <c r="I117" s="1069"/>
      <c r="J117" s="801" t="str">
        <f>FHD_NOTE_P_77</f>
        <v/>
      </c>
      <c r="K117" s="1246"/>
      <c r="L117" s="1247"/>
      <c r="M117" s="1247"/>
      <c r="N117" s="1422"/>
      <c r="O117" s="1422"/>
      <c r="P117" s="1422"/>
      <c r="Q117" s="1422"/>
      <c r="R117" s="1247"/>
      <c r="S117" s="1422"/>
      <c r="T117" s="1422"/>
      <c r="U117" s="1248"/>
      <c r="V117" s="1422"/>
      <c r="W117" s="1422"/>
      <c r="X117" s="1422"/>
      <c r="Y117" s="1422"/>
      <c r="Z117" s="1422"/>
      <c r="AA117" s="1249"/>
      <c r="AB117" s="1249"/>
      <c r="AC117" s="1249"/>
      <c r="AD117" s="1249"/>
      <c r="AE117" s="1249"/>
      <c r="AF117" s="1251">
        <v>0</v>
      </c>
    </row>
    <row s="46890" customFormat="1" customHeight="1" ht="0.75" hidden="1">
      <c r="A118" s="2885"/>
      <c r="D118" s="1060"/>
      <c r="E118" s="1525" t="str">
        <f>E117&amp;".0"</f>
        <v>.0</v>
      </c>
      <c r="F118" s="1509"/>
      <c r="G118" s="2163"/>
      <c r="H118" s="1504"/>
      <c r="I118" s="1504"/>
      <c r="J118" s="1508"/>
      <c r="AF118" s="2148">
        <v>0</v>
      </c>
    </row>
    <row s="46808" customFormat="1" customHeight="1" ht="15" hidden="1">
      <c r="A119" s="2885"/>
      <c r="B119" s="1422"/>
      <c r="C119" s="1247"/>
      <c r="D119" s="1258"/>
      <c r="E119" s="1485"/>
      <c r="F119" s="1486" t="s">
        <v>712</v>
      </c>
      <c r="G119" s="1259"/>
      <c r="H119" s="1260"/>
      <c r="I119" s="1260"/>
      <c r="J119" s="1515" t="s">
        <v>713</v>
      </c>
      <c r="K119" s="1246"/>
      <c r="L119" s="1247"/>
      <c r="M119" s="1247"/>
      <c r="N119" s="1422"/>
      <c r="O119" s="1422"/>
      <c r="P119" s="1422"/>
      <c r="Q119" s="1422"/>
      <c r="R119" s="1247"/>
      <c r="S119" s="1422"/>
      <c r="T119" s="1422"/>
      <c r="U119" s="1248"/>
      <c r="V119" s="1422"/>
      <c r="W119" s="1422"/>
      <c r="X119" s="1422"/>
      <c r="Y119" s="1422"/>
      <c r="Z119" s="1422"/>
      <c r="AA119" s="1249"/>
      <c r="AB119" s="1249"/>
      <c r="AC119" s="1249"/>
      <c r="AD119" s="1249"/>
      <c r="AE119" s="1249"/>
      <c r="AF119" s="1251">
        <v>0</v>
      </c>
    </row>
    <row customHeight="1" ht="22.5" hidden="1">
      <c r="A120" s="2883" t="s">
        <v>714</v>
      </c>
      <c r="D120" s="2150"/>
      <c r="E120" s="1058" t="str">
        <f>FHD_NUM_P_78</f>
        <v/>
      </c>
      <c r="F120" s="2392" t="str">
        <f>FHD_P_78</f>
        <v/>
      </c>
      <c r="G120" s="2389" t="s">
        <v>677</v>
      </c>
      <c r="H120" s="1089"/>
      <c r="I120" s="1089"/>
      <c r="J120" s="801" t="str">
        <f>FHD_NOTE_P_78</f>
        <v/>
      </c>
      <c r="K120" s="1055"/>
      <c r="AF120" s="2143">
        <v>0</v>
      </c>
    </row>
    <row s="46890" customFormat="1" customHeight="1" ht="0.75" hidden="1">
      <c r="A121" s="2883"/>
      <c r="D121" s="1060"/>
      <c r="E121" s="1525" t="str">
        <f>E120&amp;".0"</f>
        <v>.0</v>
      </c>
      <c r="F121" s="1509"/>
      <c r="G121" s="2163"/>
      <c r="H121" s="1504"/>
      <c r="I121" s="1504"/>
      <c r="J121" s="1508"/>
      <c r="AF121" s="2148">
        <v>0</v>
      </c>
    </row>
    <row customHeight="1" ht="15" hidden="1">
      <c r="A122" s="2883"/>
      <c r="D122" s="2145"/>
      <c r="E122" s="1082"/>
      <c r="F122" s="1680" t="s">
        <v>703</v>
      </c>
      <c r="G122" s="1084"/>
      <c r="H122" s="1085"/>
      <c r="I122" s="1085"/>
      <c r="J122" s="1516" t="s">
        <v>715</v>
      </c>
      <c r="K122" s="1055"/>
      <c r="AF122" s="2143">
        <v>0</v>
      </c>
    </row>
    <row customHeight="1" ht="22.5" hidden="1">
      <c r="A123" s="2883"/>
      <c r="D123" s="2150"/>
      <c r="E123" s="1058" t="str">
        <f>FHD_NUM_P_79</f>
        <v/>
      </c>
      <c r="F123" s="2392" t="str">
        <f>FHD_P_79</f>
        <v/>
      </c>
      <c r="G123" s="2390" t="s">
        <v>679</v>
      </c>
      <c r="H123" s="1089"/>
      <c r="I123" s="1089"/>
      <c r="J123" s="801" t="str">
        <f>FHD_NOTE_P_79</f>
        <v/>
      </c>
      <c r="K123" s="1055"/>
      <c r="AF123" s="2143">
        <v>0</v>
      </c>
    </row>
    <row s="46890" customFormat="1" customHeight="1" ht="0.75" hidden="1">
      <c r="A124" s="2883"/>
      <c r="D124" s="1060"/>
      <c r="E124" s="1525" t="str">
        <f>E123&amp;".0"</f>
        <v>.0</v>
      </c>
      <c r="F124" s="1510"/>
      <c r="G124" s="2163"/>
      <c r="H124" s="1504"/>
      <c r="I124" s="1504"/>
      <c r="J124" s="1508"/>
      <c r="AF124" s="2148">
        <v>0</v>
      </c>
    </row>
    <row customHeight="1" ht="15" hidden="1">
      <c r="A125" s="2883"/>
      <c r="D125" s="2145"/>
      <c r="E125" s="1082"/>
      <c r="F125" s="1680" t="s">
        <v>703</v>
      </c>
      <c r="G125" s="1084"/>
      <c r="H125" s="1085"/>
      <c r="I125" s="1085"/>
      <c r="J125" s="1516" t="s">
        <v>716</v>
      </c>
      <c r="K125" s="1055"/>
      <c r="AF125" s="2143">
        <v>0</v>
      </c>
    </row>
    <row customHeight="1" ht="22.5" hidden="1">
      <c r="A126" s="2883"/>
      <c r="D126" s="2150"/>
      <c r="E126" s="1058" t="str">
        <f>FHD_NUM_P_80</f>
        <v/>
      </c>
      <c r="F126" s="2392" t="str">
        <f>FHD_P_80</f>
        <v/>
      </c>
      <c r="G126" s="2390" t="s">
        <v>717</v>
      </c>
      <c r="H126" s="1069"/>
      <c r="I126" s="1069"/>
      <c r="J126" s="801" t="str">
        <f>FHD_NOTE_P_80</f>
        <v/>
      </c>
      <c r="K126" s="1055"/>
      <c r="AF126" s="2143">
        <v>0</v>
      </c>
    </row>
    <row customHeight="1" ht="18.75" hidden="1">
      <c r="A127" s="2883"/>
      <c r="D127" s="2150"/>
      <c r="E127" s="1058" t="str">
        <f>FHD_NUM_P_81</f>
        <v/>
      </c>
      <c r="F127" s="2392" t="str">
        <f>FHD_P_81</f>
        <v/>
      </c>
      <c r="G127" s="2390" t="s">
        <v>718</v>
      </c>
      <c r="H127" s="1069"/>
      <c r="I127" s="1069"/>
      <c r="J127" s="801" t="str">
        <f>FHD_NOTE_P_81</f>
        <v/>
      </c>
      <c r="K127" s="1055"/>
      <c r="AF127" s="2143">
        <v>0</v>
      </c>
    </row>
    <row customHeight="1" ht="18.75" hidden="1">
      <c r="A128" s="2883"/>
      <c r="C128" s="2148" t="s">
        <v>705</v>
      </c>
      <c r="D128" s="2150"/>
      <c r="E128" s="1058" t="str">
        <f>FHD_NUM_P_82</f>
        <v/>
      </c>
      <c r="F128" s="2392" t="str">
        <f>FHD_P_82</f>
        <v/>
      </c>
      <c r="G128" s="2390" t="s">
        <v>424</v>
      </c>
      <c r="H128" s="913"/>
      <c r="I128" s="913"/>
      <c r="J128" s="801" t="str">
        <f>FHD_NOTE_P_82</f>
        <v/>
      </c>
      <c r="K128" s="1055"/>
      <c r="AF128" s="2143">
        <v>0</v>
      </c>
    </row>
    <row customHeight="1" ht="18.75" hidden="1">
      <c r="A129" s="2883"/>
      <c r="C129" s="2148" t="s">
        <v>705</v>
      </c>
      <c r="D129" s="2150"/>
      <c r="E129" s="1058" t="str">
        <f>FHD_NUM_P_83</f>
        <v/>
      </c>
      <c r="F129" s="2036" t="str">
        <f>FHD_P_83</f>
        <v/>
      </c>
      <c r="G129" s="2390" t="s">
        <v>424</v>
      </c>
      <c r="H129" s="913"/>
      <c r="I129" s="913"/>
      <c r="J129" s="801" t="str">
        <f>FHD_NOTE_P_83</f>
        <v/>
      </c>
      <c r="K129" s="1055"/>
      <c r="AF129" s="2143">
        <v>0</v>
      </c>
    </row>
    <row customHeight="1" ht="18.75" hidden="1">
      <c r="A130" s="2883"/>
      <c r="C130" s="2148" t="s">
        <v>705</v>
      </c>
      <c r="D130" s="2150"/>
      <c r="E130" s="1058" t="str">
        <f>FHD_NUM_P_84</f>
        <v/>
      </c>
      <c r="F130" s="2036" t="str">
        <f>FHD_P_84</f>
        <v/>
      </c>
      <c r="G130" s="2390" t="s">
        <v>424</v>
      </c>
      <c r="H130" s="913"/>
      <c r="I130" s="913"/>
      <c r="J130" s="801" t="str">
        <f>FHD_NOTE_P_84</f>
        <v/>
      </c>
      <c r="K130" s="1055"/>
      <c r="AF130" s="2143">
        <v>0</v>
      </c>
    </row>
    <row customHeight="1" ht="11.549999999999999">
      <c r="D131" s="2150"/>
      <c r="AF131" s="2143">
        <v>11</v>
      </c>
    </row>
    <row customHeight="1" ht="13.5">
      <c r="D132" s="2150"/>
      <c r="E132" s="848"/>
      <c r="F132" s="881"/>
      <c r="G132" s="881"/>
      <c r="H132" s="881"/>
      <c r="I132" s="2159"/>
      <c r="J132" s="1093"/>
      <c r="AF132" s="2143">
        <v>13</v>
      </c>
    </row>
    <row s="47496" customFormat="1" customHeight="1" ht="11.549999999999999">
      <c r="A133" s="1499"/>
      <c r="B133" s="2148"/>
      <c r="C133" s="2148"/>
      <c r="D133" s="863"/>
      <c r="F133" s="2152"/>
      <c r="G133" s="2143"/>
      <c r="H133" s="2143"/>
      <c r="I133" s="2143"/>
      <c r="K133" s="1672"/>
      <c r="L133" s="2148"/>
      <c r="M133" s="2148"/>
      <c r="N133" s="1672"/>
      <c r="O133" s="1672"/>
      <c r="P133" s="1672"/>
      <c r="Q133" s="1672"/>
      <c r="R133" s="2148"/>
      <c r="S133" s="1672"/>
      <c r="T133" s="1672"/>
      <c r="U133" s="1056"/>
      <c r="V133" s="1672"/>
      <c r="W133" s="1672"/>
      <c r="X133" s="1672"/>
      <c r="Y133" s="1672"/>
      <c r="Z133" s="1672"/>
      <c r="AA133" s="2144"/>
      <c r="AB133" s="1078"/>
      <c r="AC133" s="1078"/>
      <c r="AD133" s="1078"/>
      <c r="AE133" s="1078"/>
      <c r="AF133" s="2153">
        <v>11</v>
      </c>
    </row>
    <row s="47496" customFormat="1" customHeight="1" ht="11.549999999999999">
      <c r="A134" s="1499"/>
      <c r="B134" s="2148"/>
      <c r="C134" s="2148"/>
      <c r="D134" s="863"/>
      <c r="K134" s="1672"/>
      <c r="L134" s="2148"/>
      <c r="M134" s="2148"/>
      <c r="N134" s="1672"/>
      <c r="O134" s="1672"/>
      <c r="P134" s="1672"/>
      <c r="Q134" s="1672"/>
      <c r="R134" s="2148"/>
      <c r="S134" s="1672"/>
      <c r="T134" s="1672"/>
      <c r="U134" s="1056"/>
      <c r="V134" s="1672"/>
      <c r="W134" s="1672"/>
      <c r="X134" s="1672"/>
      <c r="Y134" s="1672"/>
      <c r="Z134" s="1672"/>
      <c r="AA134" s="2144"/>
      <c r="AB134" s="1078"/>
      <c r="AC134" s="1078"/>
      <c r="AD134" s="1078"/>
      <c r="AE134" s="1078"/>
      <c r="AF134" s="2153">
        <v>11</v>
      </c>
    </row>
    <row s="47496" customFormat="1" customHeight="1" ht="11.549999999999999">
      <c r="A135" s="1499"/>
      <c r="B135" s="2148"/>
      <c r="C135" s="2148"/>
      <c r="D135" s="863"/>
      <c r="K135" s="1672"/>
      <c r="L135" s="2148"/>
      <c r="M135" s="2148"/>
      <c r="N135" s="1672"/>
      <c r="O135" s="1672"/>
      <c r="P135" s="1672"/>
      <c r="Q135" s="1672"/>
      <c r="R135" s="2148"/>
      <c r="S135" s="1672"/>
      <c r="T135" s="1672"/>
      <c r="U135" s="1056"/>
      <c r="V135" s="1672"/>
      <c r="W135" s="1672"/>
      <c r="X135" s="1672"/>
      <c r="Y135" s="1672"/>
      <c r="Z135" s="1672"/>
      <c r="AA135" s="2144"/>
      <c r="AB135" s="1078"/>
      <c r="AC135" s="1078"/>
      <c r="AD135" s="1078"/>
      <c r="AE135" s="1078"/>
      <c r="AF135" s="2153">
        <v>11</v>
      </c>
    </row>
    <row s="47496" customFormat="1" customHeight="1" ht="11.549999999999999">
      <c r="A136" s="1499"/>
      <c r="B136" s="2148"/>
      <c r="C136" s="2148"/>
      <c r="D136" s="863"/>
      <c r="H136" s="1078" t="str">
        <f>IF(H30-H31&lt;&gt;H72,"WARNING","")</f>
        <v/>
      </c>
      <c r="I136" s="1078" t="str">
        <f>IF(I30-I31&lt;&gt;I72,"WARNING","")</f>
        <v/>
      </c>
      <c r="K136" s="1672"/>
      <c r="L136" s="2148"/>
      <c r="M136" s="2148"/>
      <c r="N136" s="1672"/>
      <c r="O136" s="1672"/>
      <c r="P136" s="1672"/>
      <c r="Q136" s="1672"/>
      <c r="R136" s="2148"/>
      <c r="S136" s="1672"/>
      <c r="T136" s="1672"/>
      <c r="U136" s="1056"/>
      <c r="V136" s="1672"/>
      <c r="W136" s="1672"/>
      <c r="X136" s="1672"/>
      <c r="Y136" s="1672"/>
      <c r="Z136" s="1672"/>
      <c r="AA136" s="2144"/>
      <c r="AB136" s="1078"/>
      <c r="AC136" s="1078"/>
      <c r="AD136" s="1078"/>
      <c r="AE136" s="1078"/>
      <c r="AF136" s="2153">
        <v>11</v>
      </c>
    </row>
    <row s="47496" customFormat="1" customHeight="1" ht="11.549999999999999">
      <c r="A137" s="1499"/>
      <c r="B137" s="2148"/>
      <c r="C137" s="2148"/>
      <c r="D137" s="863"/>
      <c r="K137" s="1672"/>
      <c r="L137" s="2148"/>
      <c r="M137" s="2148"/>
      <c r="N137" s="1672"/>
      <c r="O137" s="1672"/>
      <c r="P137" s="1672"/>
      <c r="Q137" s="1672"/>
      <c r="R137" s="2148"/>
      <c r="S137" s="1672"/>
      <c r="T137" s="1672"/>
      <c r="U137" s="1056"/>
      <c r="V137" s="1672"/>
      <c r="W137" s="1672"/>
      <c r="X137" s="1672"/>
      <c r="Y137" s="1672"/>
      <c r="Z137" s="1672"/>
      <c r="AA137" s="2144"/>
      <c r="AB137" s="1078"/>
      <c r="AC137" s="1078"/>
      <c r="AD137" s="1078"/>
      <c r="AE137" s="1078"/>
      <c r="AF137" s="2153">
        <v>11</v>
      </c>
    </row>
    <row s="47496" customFormat="1" customHeight="1" ht="11.549999999999999">
      <c r="A138" s="1499"/>
      <c r="B138" s="2148"/>
      <c r="C138" s="2148"/>
      <c r="D138" s="863"/>
      <c r="K138" s="1672"/>
      <c r="L138" s="2148"/>
      <c r="M138" s="2148"/>
      <c r="N138" s="1672"/>
      <c r="O138" s="1672"/>
      <c r="P138" s="1672"/>
      <c r="Q138" s="1672"/>
      <c r="R138" s="2148"/>
      <c r="S138" s="1672"/>
      <c r="T138" s="1672"/>
      <c r="U138" s="1056"/>
      <c r="V138" s="1672"/>
      <c r="W138" s="1672"/>
      <c r="X138" s="1672"/>
      <c r="Y138" s="1672"/>
      <c r="Z138" s="1672"/>
      <c r="AA138" s="2144"/>
      <c r="AB138" s="1078"/>
      <c r="AC138" s="1078"/>
      <c r="AD138" s="1078"/>
      <c r="AE138" s="1078"/>
      <c r="AF138" s="2153">
        <v>11</v>
      </c>
    </row>
    <row s="47496" customFormat="1" customHeight="1" ht="11.549999999999999">
      <c r="A139" s="1499"/>
      <c r="B139" s="2148"/>
      <c r="C139" s="2148"/>
      <c r="D139" s="863"/>
      <c r="K139" s="1672"/>
      <c r="L139" s="2148"/>
      <c r="M139" s="2148"/>
      <c r="N139" s="1672"/>
      <c r="O139" s="1672"/>
      <c r="P139" s="1672"/>
      <c r="Q139" s="1672"/>
      <c r="R139" s="2148"/>
      <c r="S139" s="1672"/>
      <c r="T139" s="1672"/>
      <c r="U139" s="1056"/>
      <c r="V139" s="1672"/>
      <c r="W139" s="1672"/>
      <c r="X139" s="1672"/>
      <c r="Y139" s="1672"/>
      <c r="Z139" s="1672"/>
      <c r="AA139" s="2144"/>
      <c r="AB139" s="1078"/>
      <c r="AC139" s="1078"/>
      <c r="AD139" s="1078"/>
      <c r="AE139" s="1078"/>
      <c r="AF139" s="2153">
        <v>11</v>
      </c>
    </row>
    <row s="47496" customFormat="1" customHeight="1" ht="11.549999999999999">
      <c r="A140" s="1499"/>
      <c r="B140" s="2148"/>
      <c r="C140" s="2148"/>
      <c r="D140" s="863"/>
      <c r="K140" s="1672"/>
      <c r="L140" s="2148"/>
      <c r="M140" s="2148"/>
      <c r="N140" s="1672"/>
      <c r="O140" s="1672"/>
      <c r="P140" s="1672"/>
      <c r="Q140" s="1672"/>
      <c r="R140" s="2148"/>
      <c r="S140" s="1672"/>
      <c r="T140" s="1672"/>
      <c r="U140" s="1056"/>
      <c r="V140" s="1672"/>
      <c r="W140" s="1672"/>
      <c r="X140" s="1672"/>
      <c r="Y140" s="1672"/>
      <c r="Z140" s="1672"/>
      <c r="AA140" s="2144"/>
      <c r="AB140" s="1078"/>
      <c r="AC140" s="1078"/>
      <c r="AD140" s="1078"/>
      <c r="AE140" s="1078"/>
      <c r="AF140" s="2153">
        <v>11</v>
      </c>
    </row>
    <row s="47496" customFormat="1" customHeight="1" ht="11.549999999999999">
      <c r="A141" s="1499"/>
      <c r="B141" s="2148"/>
      <c r="C141" s="2148"/>
      <c r="D141" s="863"/>
      <c r="K141" s="1672"/>
      <c r="L141" s="2148"/>
      <c r="M141" s="2148"/>
      <c r="N141" s="1672"/>
      <c r="O141" s="1672"/>
      <c r="P141" s="1672"/>
      <c r="Q141" s="1672"/>
      <c r="R141" s="2148"/>
      <c r="S141" s="1672"/>
      <c r="T141" s="1672"/>
      <c r="U141" s="1056"/>
      <c r="V141" s="1672"/>
      <c r="W141" s="1672"/>
      <c r="X141" s="1672"/>
      <c r="Y141" s="1672"/>
      <c r="Z141" s="1672"/>
      <c r="AA141" s="2144"/>
      <c r="AB141" s="1078"/>
      <c r="AC141" s="1078"/>
      <c r="AD141" s="1078"/>
      <c r="AE141" s="1078"/>
      <c r="AF141" s="2153">
        <v>11</v>
      </c>
    </row>
    <row s="47496" customFormat="1" customHeight="1" ht="11.549999999999999">
      <c r="A142" s="1499"/>
      <c r="B142" s="2148"/>
      <c r="C142" s="2148"/>
      <c r="D142" s="863"/>
      <c r="K142" s="1672"/>
      <c r="L142" s="2148"/>
      <c r="M142" s="2148"/>
      <c r="N142" s="1672"/>
      <c r="O142" s="1672"/>
      <c r="P142" s="1672"/>
      <c r="Q142" s="1672"/>
      <c r="R142" s="2148"/>
      <c r="S142" s="1672"/>
      <c r="T142" s="1672"/>
      <c r="U142" s="1056"/>
      <c r="V142" s="1672"/>
      <c r="W142" s="1672"/>
      <c r="X142" s="1672"/>
      <c r="Y142" s="1672"/>
      <c r="Z142" s="1672"/>
      <c r="AA142" s="2144"/>
      <c r="AB142" s="1078"/>
      <c r="AC142" s="1078"/>
      <c r="AD142" s="1078"/>
      <c r="AE142" s="1078"/>
      <c r="AF142" s="2153">
        <v>11</v>
      </c>
    </row>
    <row s="47496" customFormat="1" customHeight="1" ht="11.549999999999999">
      <c r="A143" s="1499"/>
      <c r="B143" s="2148"/>
      <c r="C143" s="2148"/>
      <c r="D143" s="863"/>
      <c r="K143" s="1672"/>
      <c r="L143" s="2148"/>
      <c r="M143" s="2148"/>
      <c r="N143" s="1672"/>
      <c r="O143" s="1672"/>
      <c r="P143" s="1672"/>
      <c r="Q143" s="1672"/>
      <c r="R143" s="2148"/>
      <c r="S143" s="1672"/>
      <c r="T143" s="1672"/>
      <c r="U143" s="1056"/>
      <c r="V143" s="1672"/>
      <c r="W143" s="1672"/>
      <c r="X143" s="1672"/>
      <c r="Y143" s="1672"/>
      <c r="Z143" s="1672"/>
      <c r="AA143" s="2144"/>
      <c r="AB143" s="1078"/>
      <c r="AC143" s="1078"/>
      <c r="AD143" s="1078"/>
      <c r="AE143" s="1078"/>
      <c r="AF143" s="2153">
        <v>11</v>
      </c>
    </row>
    <row s="47496" customFormat="1" customHeight="1" ht="11.549999999999999">
      <c r="A144" s="1499"/>
      <c r="B144" s="2148"/>
      <c r="C144" s="2148"/>
      <c r="D144" s="863"/>
      <c r="K144" s="1672"/>
      <c r="L144" s="2148"/>
      <c r="M144" s="2148"/>
      <c r="N144" s="1672"/>
      <c r="O144" s="1672"/>
      <c r="P144" s="1672"/>
      <c r="Q144" s="1672"/>
      <c r="R144" s="2148"/>
      <c r="S144" s="1672"/>
      <c r="T144" s="1672"/>
      <c r="U144" s="1056"/>
      <c r="V144" s="1672"/>
      <c r="W144" s="1672"/>
      <c r="X144" s="1672"/>
      <c r="Y144" s="1672"/>
      <c r="Z144" s="1672"/>
      <c r="AA144" s="2144"/>
      <c r="AB144" s="1078"/>
      <c r="AC144" s="1078"/>
      <c r="AD144" s="1078"/>
      <c r="AE144" s="1078"/>
      <c r="AF144" s="2153">
        <v>11</v>
      </c>
    </row>
    <row s="47496" customFormat="1" customHeight="1" ht="11.549999999999999">
      <c r="A145" s="1499"/>
      <c r="B145" s="2148"/>
      <c r="C145" s="2148"/>
      <c r="D145" s="863"/>
      <c r="K145" s="1672"/>
      <c r="L145" s="2148"/>
      <c r="M145" s="2148"/>
      <c r="N145" s="1672"/>
      <c r="O145" s="1672"/>
      <c r="P145" s="1672"/>
      <c r="Q145" s="1672"/>
      <c r="R145" s="2148"/>
      <c r="S145" s="1672"/>
      <c r="T145" s="1672"/>
      <c r="U145" s="1056"/>
      <c r="V145" s="1672"/>
      <c r="W145" s="1672"/>
      <c r="X145" s="1672"/>
      <c r="Y145" s="1672"/>
      <c r="Z145" s="1672"/>
      <c r="AA145" s="2144"/>
      <c r="AB145" s="1078"/>
      <c r="AC145" s="1078"/>
      <c r="AD145" s="1078"/>
      <c r="AE145" s="1078"/>
      <c r="AF145" s="2153">
        <v>11</v>
      </c>
    </row>
    <row s="47496" customFormat="1" customHeight="1" ht="11.549999999999999">
      <c r="A146" s="1499"/>
      <c r="B146" s="2148"/>
      <c r="C146" s="2148"/>
      <c r="D146" s="863"/>
      <c r="K146" s="1672"/>
      <c r="L146" s="2148"/>
      <c r="M146" s="2148"/>
      <c r="N146" s="1672"/>
      <c r="O146" s="1672"/>
      <c r="P146" s="1672"/>
      <c r="Q146" s="1672"/>
      <c r="R146" s="2148"/>
      <c r="S146" s="1672"/>
      <c r="T146" s="1672"/>
      <c r="U146" s="1056"/>
      <c r="V146" s="1672"/>
      <c r="W146" s="1672"/>
      <c r="X146" s="1672"/>
      <c r="Y146" s="1672"/>
      <c r="Z146" s="1672"/>
      <c r="AA146" s="2144"/>
      <c r="AB146" s="1078"/>
      <c r="AC146" s="1078"/>
      <c r="AD146" s="1078"/>
      <c r="AE146" s="1078"/>
      <c r="AF146" s="2153">
        <v>11</v>
      </c>
    </row>
    <row s="47496" customFormat="1" customHeight="1" ht="11.549999999999999">
      <c r="A147" s="1499"/>
      <c r="B147" s="2148"/>
      <c r="C147" s="2148"/>
      <c r="D147" s="863"/>
      <c r="K147" s="1672"/>
      <c r="L147" s="2148"/>
      <c r="M147" s="2148"/>
      <c r="N147" s="1672"/>
      <c r="O147" s="1672"/>
      <c r="P147" s="1672"/>
      <c r="Q147" s="1672"/>
      <c r="R147" s="2148"/>
      <c r="S147" s="1672"/>
      <c r="T147" s="1672"/>
      <c r="U147" s="1056"/>
      <c r="V147" s="1672"/>
      <c r="W147" s="1672"/>
      <c r="X147" s="1672"/>
      <c r="Y147" s="1672"/>
      <c r="Z147" s="1672"/>
      <c r="AA147" s="2144"/>
      <c r="AB147" s="1078"/>
      <c r="AC147" s="1078"/>
      <c r="AD147" s="1078"/>
      <c r="AE147" s="1078"/>
      <c r="AF147" s="2153">
        <v>11</v>
      </c>
    </row>
    <row s="47496" customFormat="1" customHeight="1" ht="11.549999999999999">
      <c r="A148" s="1499"/>
      <c r="B148" s="2148"/>
      <c r="C148" s="2148"/>
      <c r="D148" s="863"/>
      <c r="K148" s="1672"/>
      <c r="L148" s="2148"/>
      <c r="M148" s="2148"/>
      <c r="N148" s="1672"/>
      <c r="O148" s="1672"/>
      <c r="P148" s="1672"/>
      <c r="Q148" s="1672"/>
      <c r="R148" s="2148"/>
      <c r="S148" s="1672"/>
      <c r="T148" s="1672"/>
      <c r="U148" s="1056"/>
      <c r="V148" s="1672"/>
      <c r="W148" s="1672"/>
      <c r="X148" s="1672"/>
      <c r="Y148" s="1672"/>
      <c r="Z148" s="1672"/>
      <c r="AA148" s="2144"/>
      <c r="AB148" s="1078"/>
      <c r="AC148" s="1078"/>
      <c r="AD148" s="1078"/>
      <c r="AE148" s="1078"/>
      <c r="AF148" s="2153">
        <v>11</v>
      </c>
    </row>
    <row s="47496" customFormat="1" customHeight="1" ht="11.549999999999999">
      <c r="A149" s="1499"/>
      <c r="B149" s="2148"/>
      <c r="C149" s="2148"/>
      <c r="D149" s="863"/>
      <c r="K149" s="1672"/>
      <c r="L149" s="2148"/>
      <c r="M149" s="2148"/>
      <c r="N149" s="1672"/>
      <c r="O149" s="1672"/>
      <c r="P149" s="1672"/>
      <c r="Q149" s="1672"/>
      <c r="R149" s="2148"/>
      <c r="S149" s="1672"/>
      <c r="T149" s="1672"/>
      <c r="U149" s="1056"/>
      <c r="V149" s="1672"/>
      <c r="W149" s="1672"/>
      <c r="X149" s="1672"/>
      <c r="Y149" s="1672"/>
      <c r="Z149" s="1672"/>
      <c r="AA149" s="2144"/>
      <c r="AB149" s="1078"/>
      <c r="AC149" s="1078"/>
      <c r="AD149" s="1078"/>
      <c r="AE149" s="1078"/>
      <c r="AF149" s="2153">
        <v>11</v>
      </c>
    </row>
    <row s="47496" customFormat="1" customHeight="1" ht="11.549999999999999">
      <c r="A150" s="1499"/>
      <c r="B150" s="2148"/>
      <c r="C150" s="2148"/>
      <c r="D150" s="863"/>
      <c r="K150" s="1672"/>
      <c r="L150" s="2148"/>
      <c r="M150" s="2148"/>
      <c r="N150" s="1672"/>
      <c r="O150" s="1672"/>
      <c r="P150" s="1672"/>
      <c r="Q150" s="1672"/>
      <c r="R150" s="2148"/>
      <c r="S150" s="1672"/>
      <c r="T150" s="1672"/>
      <c r="U150" s="1056"/>
      <c r="V150" s="1672"/>
      <c r="W150" s="1672"/>
      <c r="X150" s="1672"/>
      <c r="Y150" s="1672"/>
      <c r="Z150" s="1672"/>
      <c r="AA150" s="2144"/>
      <c r="AB150" s="1078"/>
      <c r="AC150" s="1078"/>
      <c r="AD150" s="1078"/>
      <c r="AE150" s="1078"/>
      <c r="AF150" s="2153">
        <v>11</v>
      </c>
    </row>
    <row s="47496" customFormat="1" customHeight="1" ht="11.549999999999999">
      <c r="A151" s="1499"/>
      <c r="B151" s="2148"/>
      <c r="C151" s="2148"/>
      <c r="D151" s="863"/>
      <c r="K151" s="1672"/>
      <c r="L151" s="2148"/>
      <c r="M151" s="2148"/>
      <c r="N151" s="1672"/>
      <c r="O151" s="1672"/>
      <c r="P151" s="1672"/>
      <c r="Q151" s="1672"/>
      <c r="R151" s="2148"/>
      <c r="S151" s="1672"/>
      <c r="T151" s="1672"/>
      <c r="U151" s="1056"/>
      <c r="V151" s="1672"/>
      <c r="W151" s="1672"/>
      <c r="X151" s="1672"/>
      <c r="Y151" s="1672"/>
      <c r="Z151" s="1672"/>
      <c r="AA151" s="2144"/>
      <c r="AB151" s="1078"/>
      <c r="AC151" s="1078"/>
      <c r="AD151" s="1078"/>
      <c r="AE151" s="1078"/>
      <c r="AF151" s="2153">
        <v>11</v>
      </c>
    </row>
    <row s="47496" customFormat="1" customHeight="1" ht="11.549999999999999">
      <c r="A152" s="1499"/>
      <c r="B152" s="2148"/>
      <c r="C152" s="2148"/>
      <c r="D152" s="863"/>
      <c r="K152" s="1672"/>
      <c r="L152" s="2148"/>
      <c r="M152" s="2148"/>
      <c r="N152" s="1672"/>
      <c r="O152" s="1672"/>
      <c r="P152" s="1672"/>
      <c r="Q152" s="1672"/>
      <c r="R152" s="2148"/>
      <c r="S152" s="1672"/>
      <c r="T152" s="1672"/>
      <c r="U152" s="1056"/>
      <c r="V152" s="1672"/>
      <c r="W152" s="1672"/>
      <c r="X152" s="1672"/>
      <c r="Y152" s="1672"/>
      <c r="Z152" s="1672"/>
      <c r="AA152" s="2144"/>
      <c r="AB152" s="1078"/>
      <c r="AC152" s="1078"/>
      <c r="AD152" s="1078"/>
      <c r="AE152" s="1078"/>
      <c r="AF152" s="2153">
        <v>11</v>
      </c>
    </row>
    <row s="47496" customFormat="1" customHeight="1" ht="11.549999999999999">
      <c r="A153" s="1499"/>
      <c r="B153" s="2148"/>
      <c r="C153" s="2148"/>
      <c r="D153" s="863"/>
      <c r="K153" s="1672"/>
      <c r="L153" s="2148"/>
      <c r="M153" s="2148"/>
      <c r="N153" s="1672"/>
      <c r="O153" s="1672"/>
      <c r="P153" s="1672"/>
      <c r="Q153" s="1672"/>
      <c r="R153" s="2148"/>
      <c r="S153" s="1672"/>
      <c r="T153" s="1672"/>
      <c r="U153" s="1056"/>
      <c r="V153" s="1672"/>
      <c r="W153" s="1672"/>
      <c r="X153" s="1672"/>
      <c r="Y153" s="1672"/>
      <c r="Z153" s="1672"/>
      <c r="AA153" s="2144"/>
      <c r="AB153" s="1078"/>
      <c r="AC153" s="1078"/>
      <c r="AD153" s="1078"/>
      <c r="AE153" s="1078"/>
      <c r="AF153" s="2153">
        <v>11</v>
      </c>
    </row>
    <row s="47496" customFormat="1" customHeight="1" ht="11.549999999999999">
      <c r="A154" s="1499"/>
      <c r="B154" s="2148"/>
      <c r="C154" s="2148"/>
      <c r="D154" s="863"/>
      <c r="K154" s="1672"/>
      <c r="L154" s="2148"/>
      <c r="M154" s="2148"/>
      <c r="N154" s="1672"/>
      <c r="O154" s="1672"/>
      <c r="P154" s="1672"/>
      <c r="Q154" s="1672"/>
      <c r="R154" s="2148"/>
      <c r="S154" s="1672"/>
      <c r="T154" s="1672"/>
      <c r="U154" s="1056"/>
      <c r="V154" s="1672"/>
      <c r="W154" s="1672"/>
      <c r="X154" s="1672"/>
      <c r="Y154" s="1672"/>
      <c r="Z154" s="1672"/>
      <c r="AA154" s="2144"/>
      <c r="AB154" s="1078"/>
      <c r="AC154" s="1078"/>
      <c r="AD154" s="1078"/>
      <c r="AE154" s="1078"/>
      <c r="AF154" s="2153">
        <v>11</v>
      </c>
    </row>
    <row s="47496" customFormat="1" customHeight="1" ht="11.549999999999999">
      <c r="A155" s="1499"/>
      <c r="B155" s="2148"/>
      <c r="C155" s="2148"/>
      <c r="D155" s="863"/>
      <c r="K155" s="1672"/>
      <c r="L155" s="2148"/>
      <c r="M155" s="2148"/>
      <c r="N155" s="1672"/>
      <c r="O155" s="1672"/>
      <c r="P155" s="1672"/>
      <c r="Q155" s="1672"/>
      <c r="R155" s="2148"/>
      <c r="S155" s="1672"/>
      <c r="T155" s="1672"/>
      <c r="U155" s="1056"/>
      <c r="V155" s="1672"/>
      <c r="W155" s="1672"/>
      <c r="X155" s="1672"/>
      <c r="Y155" s="1672"/>
      <c r="Z155" s="1672"/>
      <c r="AA155" s="2144"/>
      <c r="AB155" s="1078"/>
      <c r="AC155" s="1078"/>
      <c r="AD155" s="1078"/>
      <c r="AE155" s="1078"/>
      <c r="AF155" s="2153">
        <v>11</v>
      </c>
    </row>
    <row s="47496" customFormat="1" customHeight="1" ht="11.549999999999999">
      <c r="A156" s="1499"/>
      <c r="B156" s="2148"/>
      <c r="C156" s="2148"/>
      <c r="D156" s="863"/>
      <c r="K156" s="1672"/>
      <c r="L156" s="2148"/>
      <c r="M156" s="2148"/>
      <c r="N156" s="1672"/>
      <c r="O156" s="1672"/>
      <c r="P156" s="1672"/>
      <c r="Q156" s="1672"/>
      <c r="R156" s="2148"/>
      <c r="S156" s="1672"/>
      <c r="T156" s="1672"/>
      <c r="U156" s="1056"/>
      <c r="V156" s="1672"/>
      <c r="W156" s="1672"/>
      <c r="X156" s="1672"/>
      <c r="Y156" s="1672"/>
      <c r="Z156" s="1672"/>
      <c r="AA156" s="2144"/>
      <c r="AB156" s="1078"/>
      <c r="AC156" s="1078"/>
      <c r="AD156" s="1078"/>
      <c r="AE156" s="1078"/>
      <c r="AF156" s="2153">
        <v>11</v>
      </c>
    </row>
    <row s="47496" customFormat="1" customHeight="1" ht="11.549999999999999">
      <c r="A157" s="1499"/>
      <c r="B157" s="2148"/>
      <c r="C157" s="2148"/>
      <c r="D157" s="863"/>
      <c r="K157" s="1672"/>
      <c r="L157" s="2148"/>
      <c r="M157" s="2148"/>
      <c r="N157" s="1672"/>
      <c r="O157" s="1672"/>
      <c r="P157" s="1672"/>
      <c r="Q157" s="1672"/>
      <c r="R157" s="2148"/>
      <c r="S157" s="1672"/>
      <c r="T157" s="1672"/>
      <c r="U157" s="1056"/>
      <c r="V157" s="1672"/>
      <c r="W157" s="1672"/>
      <c r="X157" s="1672"/>
      <c r="Y157" s="1672"/>
      <c r="Z157" s="1672"/>
      <c r="AA157" s="2144"/>
      <c r="AB157" s="1078"/>
      <c r="AC157" s="1078"/>
      <c r="AD157" s="1078"/>
      <c r="AE157" s="1078"/>
      <c r="AF157" s="2153">
        <v>11</v>
      </c>
    </row>
    <row s="47496" customFormat="1" customHeight="1" ht="11.549999999999999">
      <c r="A158" s="1499"/>
      <c r="B158" s="2148"/>
      <c r="C158" s="2148"/>
      <c r="D158" s="863"/>
      <c r="K158" s="1672"/>
      <c r="L158" s="2148"/>
      <c r="M158" s="2148"/>
      <c r="N158" s="1672"/>
      <c r="O158" s="1672"/>
      <c r="P158" s="1672"/>
      <c r="Q158" s="1672"/>
      <c r="R158" s="2148"/>
      <c r="S158" s="1672"/>
      <c r="T158" s="1672"/>
      <c r="U158" s="1056"/>
      <c r="V158" s="1672"/>
      <c r="W158" s="1672"/>
      <c r="X158" s="1672"/>
      <c r="Y158" s="1672"/>
      <c r="Z158" s="1672"/>
      <c r="AA158" s="2144"/>
      <c r="AB158" s="1078"/>
      <c r="AC158" s="1078"/>
      <c r="AD158" s="1078"/>
      <c r="AE158" s="1078"/>
      <c r="AF158" s="2153">
        <v>11</v>
      </c>
    </row>
    <row s="47496" customFormat="1" customHeight="1" ht="11.549999999999999">
      <c r="A159" s="1499"/>
      <c r="B159" s="2148"/>
      <c r="C159" s="2148"/>
      <c r="D159" s="863"/>
      <c r="K159" s="1672"/>
      <c r="L159" s="2148"/>
      <c r="M159" s="2148"/>
      <c r="N159" s="1672"/>
      <c r="O159" s="1672"/>
      <c r="P159" s="1672"/>
      <c r="Q159" s="1672"/>
      <c r="R159" s="2148"/>
      <c r="S159" s="1672"/>
      <c r="T159" s="1672"/>
      <c r="U159" s="1056"/>
      <c r="V159" s="1672"/>
      <c r="W159" s="1672"/>
      <c r="X159" s="1672"/>
      <c r="Y159" s="1672"/>
      <c r="Z159" s="1672"/>
      <c r="AA159" s="2144"/>
      <c r="AB159" s="1078"/>
      <c r="AC159" s="1078"/>
      <c r="AD159" s="1078"/>
      <c r="AE159" s="1078"/>
      <c r="AF159" s="2153">
        <v>11</v>
      </c>
    </row>
    <row s="47496" customFormat="1" customHeight="1" ht="11.549999999999999">
      <c r="A160" s="1499"/>
      <c r="B160" s="2148"/>
      <c r="C160" s="2148"/>
      <c r="D160" s="863"/>
      <c r="K160" s="1672"/>
      <c r="L160" s="2148"/>
      <c r="M160" s="2148"/>
      <c r="N160" s="1672"/>
      <c r="O160" s="1672"/>
      <c r="P160" s="1672"/>
      <c r="Q160" s="1672"/>
      <c r="R160" s="2148"/>
      <c r="S160" s="1672"/>
      <c r="T160" s="1672"/>
      <c r="U160" s="1056"/>
      <c r="V160" s="1672"/>
      <c r="W160" s="1672"/>
      <c r="X160" s="1672"/>
      <c r="Y160" s="1672"/>
      <c r="Z160" s="1672"/>
      <c r="AA160" s="2144"/>
      <c r="AB160" s="1078"/>
      <c r="AC160" s="1078"/>
      <c r="AD160" s="1078"/>
      <c r="AE160" s="1078"/>
      <c r="AF160" s="2153">
        <v>11</v>
      </c>
    </row>
    <row s="47496" customFormat="1" customHeight="1" ht="11.549999999999999">
      <c r="A161" s="1499"/>
      <c r="B161" s="2148"/>
      <c r="C161" s="2148"/>
      <c r="D161" s="863"/>
      <c r="K161" s="1672"/>
      <c r="L161" s="2148"/>
      <c r="M161" s="2148"/>
      <c r="N161" s="1672"/>
      <c r="O161" s="1672"/>
      <c r="P161" s="1672"/>
      <c r="Q161" s="1672"/>
      <c r="R161" s="2148"/>
      <c r="S161" s="1672"/>
      <c r="T161" s="1672"/>
      <c r="U161" s="1056"/>
      <c r="V161" s="1672"/>
      <c r="W161" s="1672"/>
      <c r="X161" s="1672"/>
      <c r="Y161" s="1672"/>
      <c r="Z161" s="1672"/>
      <c r="AA161" s="2144"/>
      <c r="AB161" s="1078"/>
      <c r="AC161" s="1078"/>
      <c r="AD161" s="1078"/>
      <c r="AE161" s="1078"/>
      <c r="AF161" s="2153">
        <v>11</v>
      </c>
    </row>
    <row s="47496" customFormat="1" customHeight="1" ht="11.549999999999999">
      <c r="A162" s="1499"/>
      <c r="B162" s="2148"/>
      <c r="C162" s="2148"/>
      <c r="D162" s="863"/>
      <c r="K162" s="1672"/>
      <c r="L162" s="2148"/>
      <c r="M162" s="2148"/>
      <c r="N162" s="1672"/>
      <c r="O162" s="1672"/>
      <c r="P162" s="1672"/>
      <c r="Q162" s="1672"/>
      <c r="R162" s="2148"/>
      <c r="S162" s="1672"/>
      <c r="T162" s="1672"/>
      <c r="U162" s="1056"/>
      <c r="V162" s="1672"/>
      <c r="W162" s="1672"/>
      <c r="X162" s="1672"/>
      <c r="Y162" s="1672"/>
      <c r="Z162" s="1672"/>
      <c r="AA162" s="2144"/>
      <c r="AB162" s="1078"/>
      <c r="AC162" s="1078"/>
      <c r="AD162" s="1078"/>
      <c r="AE162" s="1078"/>
      <c r="AF162" s="2153">
        <v>11</v>
      </c>
    </row>
    <row s="47496" customFormat="1" customHeight="1" ht="11.549999999999999">
      <c r="A163" s="1499"/>
      <c r="B163" s="2148"/>
      <c r="C163" s="2148"/>
      <c r="D163" s="863"/>
      <c r="K163" s="1672"/>
      <c r="L163" s="2148"/>
      <c r="M163" s="2148"/>
      <c r="N163" s="1672"/>
      <c r="O163" s="1672"/>
      <c r="P163" s="1672"/>
      <c r="Q163" s="1672"/>
      <c r="R163" s="2148"/>
      <c r="S163" s="1672"/>
      <c r="T163" s="1672"/>
      <c r="U163" s="1056"/>
      <c r="V163" s="1672"/>
      <c r="W163" s="1672"/>
      <c r="X163" s="1672"/>
      <c r="Y163" s="1672"/>
      <c r="Z163" s="1672"/>
      <c r="AA163" s="2144"/>
      <c r="AB163" s="1078"/>
      <c r="AC163" s="1078"/>
      <c r="AD163" s="1078"/>
      <c r="AE163" s="1078"/>
      <c r="AF163" s="2153">
        <v>11</v>
      </c>
    </row>
    <row s="47496" customFormat="1" customHeight="1" ht="11.549999999999999">
      <c r="A164" s="1499"/>
      <c r="B164" s="2148"/>
      <c r="C164" s="2148"/>
      <c r="D164" s="863"/>
      <c r="K164" s="1672"/>
      <c r="L164" s="2148"/>
      <c r="M164" s="2148"/>
      <c r="N164" s="1672"/>
      <c r="O164" s="1672"/>
      <c r="P164" s="1672"/>
      <c r="Q164" s="1672"/>
      <c r="R164" s="2148"/>
      <c r="S164" s="1672"/>
      <c r="T164" s="1672"/>
      <c r="U164" s="1056"/>
      <c r="V164" s="1672"/>
      <c r="W164" s="1672"/>
      <c r="X164" s="1672"/>
      <c r="Y164" s="1672"/>
      <c r="Z164" s="1672"/>
      <c r="AA164" s="2144"/>
      <c r="AB164" s="1078"/>
      <c r="AC164" s="1078"/>
      <c r="AD164" s="1078"/>
      <c r="AE164" s="1078"/>
      <c r="AF164" s="2153">
        <v>11</v>
      </c>
    </row>
    <row s="47496" customFormat="1" customHeight="1" ht="11.549999999999999">
      <c r="A165" s="1499"/>
      <c r="B165" s="2148"/>
      <c r="C165" s="2148"/>
      <c r="D165" s="863"/>
      <c r="K165" s="1672"/>
      <c r="L165" s="2148"/>
      <c r="M165" s="2148"/>
      <c r="N165" s="1672"/>
      <c r="O165" s="1672"/>
      <c r="P165" s="1672"/>
      <c r="Q165" s="1672"/>
      <c r="R165" s="2148"/>
      <c r="S165" s="1672"/>
      <c r="T165" s="1672"/>
      <c r="U165" s="1056"/>
      <c r="V165" s="1672"/>
      <c r="W165" s="1672"/>
      <c r="X165" s="1672"/>
      <c r="Y165" s="1672"/>
      <c r="Z165" s="1672"/>
      <c r="AA165" s="2144"/>
      <c r="AB165" s="1078"/>
      <c r="AC165" s="1078"/>
      <c r="AD165" s="1078"/>
      <c r="AE165" s="1078"/>
      <c r="AF165" s="2153">
        <v>11</v>
      </c>
    </row>
    <row s="47496" customFormat="1" customHeight="1" ht="11.549999999999999">
      <c r="A166" s="1499"/>
      <c r="B166" s="2148"/>
      <c r="C166" s="2148"/>
      <c r="D166" s="863"/>
      <c r="K166" s="1672"/>
      <c r="L166" s="2148"/>
      <c r="M166" s="2148"/>
      <c r="N166" s="1672"/>
      <c r="O166" s="1672"/>
      <c r="P166" s="1672"/>
      <c r="Q166" s="1672"/>
      <c r="R166" s="2148"/>
      <c r="S166" s="1672"/>
      <c r="T166" s="1672"/>
      <c r="U166" s="1056"/>
      <c r="V166" s="1672"/>
      <c r="W166" s="1672"/>
      <c r="X166" s="1672"/>
      <c r="Y166" s="1672"/>
      <c r="Z166" s="1672"/>
      <c r="AA166" s="2144"/>
      <c r="AB166" s="1078"/>
      <c r="AC166" s="1078"/>
      <c r="AD166" s="1078"/>
      <c r="AE166" s="1078"/>
      <c r="AF166" s="2153">
        <v>11</v>
      </c>
    </row>
    <row s="47496" customFormat="1" customHeight="1" ht="11.549999999999999">
      <c r="A167" s="1499"/>
      <c r="B167" s="2148"/>
      <c r="C167" s="2148"/>
      <c r="D167" s="863"/>
      <c r="K167" s="1672"/>
      <c r="L167" s="2148"/>
      <c r="M167" s="2148"/>
      <c r="N167" s="1672"/>
      <c r="O167" s="1672"/>
      <c r="P167" s="1672"/>
      <c r="Q167" s="1672"/>
      <c r="R167" s="2148"/>
      <c r="S167" s="1672"/>
      <c r="T167" s="1672"/>
      <c r="U167" s="1056"/>
      <c r="V167" s="1672"/>
      <c r="W167" s="1672"/>
      <c r="X167" s="1672"/>
      <c r="Y167" s="1672"/>
      <c r="Z167" s="1672"/>
      <c r="AA167" s="2144"/>
      <c r="AB167" s="1078"/>
      <c r="AC167" s="1078"/>
      <c r="AD167" s="1078"/>
      <c r="AE167" s="1078"/>
      <c r="AF167" s="2153">
        <v>11</v>
      </c>
    </row>
    <row s="47496" customFormat="1" customHeight="1" ht="11.549999999999999">
      <c r="A168" s="1499"/>
      <c r="B168" s="2148"/>
      <c r="C168" s="2148"/>
      <c r="D168" s="863"/>
      <c r="K168" s="1672"/>
      <c r="L168" s="2148"/>
      <c r="M168" s="2148"/>
      <c r="N168" s="1672"/>
      <c r="O168" s="1672"/>
      <c r="P168" s="1672"/>
      <c r="Q168" s="1672"/>
      <c r="R168" s="2148"/>
      <c r="S168" s="1672"/>
      <c r="T168" s="1672"/>
      <c r="U168" s="1056"/>
      <c r="V168" s="1672"/>
      <c r="W168" s="1672"/>
      <c r="X168" s="1672"/>
      <c r="Y168" s="1672"/>
      <c r="Z168" s="1672"/>
      <c r="AA168" s="2144"/>
      <c r="AB168" s="1078"/>
      <c r="AC168" s="1078"/>
      <c r="AD168" s="1078"/>
      <c r="AE168" s="1078"/>
      <c r="AF168" s="2153">
        <v>11</v>
      </c>
    </row>
    <row s="47496" customFormat="1" customHeight="1" ht="11.549999999999999">
      <c r="A169" s="1499"/>
      <c r="B169" s="2148"/>
      <c r="C169" s="2148"/>
      <c r="D169" s="863"/>
      <c r="K169" s="1672"/>
      <c r="L169" s="2148"/>
      <c r="M169" s="2148"/>
      <c r="N169" s="1672"/>
      <c r="O169" s="1672"/>
      <c r="P169" s="1672"/>
      <c r="Q169" s="1672"/>
      <c r="R169" s="2148"/>
      <c r="S169" s="1672"/>
      <c r="T169" s="1672"/>
      <c r="U169" s="1056"/>
      <c r="V169" s="1672"/>
      <c r="W169" s="1672"/>
      <c r="X169" s="1672"/>
      <c r="Y169" s="1672"/>
      <c r="Z169" s="1672"/>
      <c r="AA169" s="2144"/>
      <c r="AB169" s="1078"/>
      <c r="AC169" s="1078"/>
      <c r="AD169" s="1078"/>
      <c r="AE169" s="1078"/>
      <c r="AF169" s="2153">
        <v>11</v>
      </c>
    </row>
    <row s="47496" customFormat="1" customHeight="1" ht="11.549999999999999">
      <c r="A170" s="1499"/>
      <c r="B170" s="2148"/>
      <c r="C170" s="2148"/>
      <c r="D170" s="863"/>
      <c r="K170" s="1672"/>
      <c r="L170" s="2148"/>
      <c r="M170" s="2148"/>
      <c r="N170" s="1672"/>
      <c r="O170" s="1672"/>
      <c r="P170" s="1672"/>
      <c r="Q170" s="1672"/>
      <c r="R170" s="2148"/>
      <c r="S170" s="1672"/>
      <c r="T170" s="1672"/>
      <c r="U170" s="1056"/>
      <c r="V170" s="1672"/>
      <c r="W170" s="1672"/>
      <c r="X170" s="1672"/>
      <c r="Y170" s="1672"/>
      <c r="Z170" s="1672"/>
      <c r="AA170" s="2144"/>
      <c r="AB170" s="1078"/>
      <c r="AC170" s="1078"/>
      <c r="AD170" s="1078"/>
      <c r="AE170" s="1078"/>
      <c r="AF170" s="2153">
        <v>11</v>
      </c>
    </row>
    <row s="47496" customFormat="1" customHeight="1" ht="11.549999999999999">
      <c r="A171" s="1499"/>
      <c r="B171" s="2148"/>
      <c r="C171" s="2148"/>
      <c r="D171" s="863"/>
      <c r="K171" s="1672"/>
      <c r="L171" s="2148"/>
      <c r="M171" s="2148"/>
      <c r="N171" s="1672"/>
      <c r="O171" s="1672"/>
      <c r="P171" s="1672"/>
      <c r="Q171" s="1672"/>
      <c r="R171" s="2148"/>
      <c r="S171" s="1672"/>
      <c r="T171" s="1672"/>
      <c r="U171" s="1056"/>
      <c r="V171" s="1672"/>
      <c r="W171" s="1672"/>
      <c r="X171" s="1672"/>
      <c r="Y171" s="1672"/>
      <c r="Z171" s="1672"/>
      <c r="AA171" s="2144"/>
      <c r="AB171" s="1078"/>
      <c r="AC171" s="1078"/>
      <c r="AD171" s="1078"/>
      <c r="AE171" s="1078"/>
      <c r="AF171" s="2153">
        <v>11</v>
      </c>
    </row>
    <row s="47496" customFormat="1" customHeight="1" ht="11.549999999999999">
      <c r="A172" s="1499"/>
      <c r="B172" s="2148"/>
      <c r="C172" s="2148"/>
      <c r="D172" s="863"/>
      <c r="K172" s="1672"/>
      <c r="L172" s="2148"/>
      <c r="M172" s="2148"/>
      <c r="N172" s="1672"/>
      <c r="O172" s="1672"/>
      <c r="P172" s="1672"/>
      <c r="Q172" s="1672"/>
      <c r="R172" s="2148"/>
      <c r="S172" s="1672"/>
      <c r="T172" s="1672"/>
      <c r="U172" s="1056"/>
      <c r="V172" s="1672"/>
      <c r="W172" s="1672"/>
      <c r="X172" s="1672"/>
      <c r="Y172" s="1672"/>
      <c r="Z172" s="1672"/>
      <c r="AA172" s="2144"/>
      <c r="AB172" s="1078"/>
      <c r="AC172" s="1078"/>
      <c r="AD172" s="1078"/>
      <c r="AE172" s="1078"/>
      <c r="AF172" s="2153">
        <v>11</v>
      </c>
    </row>
    <row s="47496" customFormat="1" customHeight="1" ht="11.549999999999999">
      <c r="A173" s="1499"/>
      <c r="B173" s="2148"/>
      <c r="C173" s="2148"/>
      <c r="D173" s="863"/>
      <c r="K173" s="1672"/>
      <c r="L173" s="2148"/>
      <c r="M173" s="2148"/>
      <c r="N173" s="1672"/>
      <c r="O173" s="1672"/>
      <c r="P173" s="1672"/>
      <c r="Q173" s="1672"/>
      <c r="R173" s="2148"/>
      <c r="S173" s="1672"/>
      <c r="T173" s="1672"/>
      <c r="U173" s="1056"/>
      <c r="V173" s="1672"/>
      <c r="W173" s="1672"/>
      <c r="X173" s="1672"/>
      <c r="Y173" s="1672"/>
      <c r="Z173" s="1672"/>
      <c r="AA173" s="2144"/>
      <c r="AB173" s="1078"/>
      <c r="AC173" s="1078"/>
      <c r="AD173" s="1078"/>
      <c r="AE173" s="1078"/>
      <c r="AF173" s="2153">
        <v>11</v>
      </c>
    </row>
    <row s="47496" customFormat="1" customHeight="1" ht="11.549999999999999">
      <c r="A174" s="1499"/>
      <c r="B174" s="2148"/>
      <c r="C174" s="2148"/>
      <c r="D174" s="863"/>
      <c r="K174" s="1672"/>
      <c r="L174" s="2148"/>
      <c r="M174" s="2148"/>
      <c r="N174" s="1672"/>
      <c r="O174" s="1672"/>
      <c r="P174" s="1672"/>
      <c r="Q174" s="1672"/>
      <c r="R174" s="2148"/>
      <c r="S174" s="1672"/>
      <c r="T174" s="1672"/>
      <c r="U174" s="1056"/>
      <c r="V174" s="1672"/>
      <c r="W174" s="1672"/>
      <c r="X174" s="1672"/>
      <c r="Y174" s="1672"/>
      <c r="Z174" s="1672"/>
      <c r="AA174" s="2144"/>
      <c r="AB174" s="1078"/>
      <c r="AC174" s="1078"/>
      <c r="AD174" s="1078"/>
      <c r="AE174" s="1078"/>
      <c r="AF174" s="2153">
        <v>11</v>
      </c>
    </row>
    <row s="47496" customFormat="1" customHeight="1" ht="11.549999999999999">
      <c r="A175" s="1499"/>
      <c r="B175" s="2148"/>
      <c r="C175" s="2148"/>
      <c r="D175" s="863"/>
      <c r="K175" s="1672"/>
      <c r="L175" s="2148"/>
      <c r="M175" s="2148"/>
      <c r="N175" s="1672"/>
      <c r="O175" s="1672"/>
      <c r="P175" s="1672"/>
      <c r="Q175" s="1672"/>
      <c r="R175" s="2148"/>
      <c r="S175" s="1672"/>
      <c r="T175" s="1672"/>
      <c r="U175" s="1056"/>
      <c r="V175" s="1672"/>
      <c r="W175" s="1672"/>
      <c r="X175" s="1672"/>
      <c r="Y175" s="1672"/>
      <c r="Z175" s="1672"/>
      <c r="AA175" s="2144"/>
      <c r="AB175" s="1078"/>
      <c r="AC175" s="1078"/>
      <c r="AD175" s="1078"/>
      <c r="AE175" s="1078"/>
      <c r="AF175" s="2153">
        <v>11</v>
      </c>
    </row>
    <row s="47496" customFormat="1" customHeight="1" ht="11.549999999999999">
      <c r="A176" s="1499"/>
      <c r="B176" s="2148"/>
      <c r="C176" s="2148"/>
      <c r="D176" s="863"/>
      <c r="K176" s="1672"/>
      <c r="L176" s="2148"/>
      <c r="M176" s="2148"/>
      <c r="N176" s="1672"/>
      <c r="O176" s="1672"/>
      <c r="P176" s="1672"/>
      <c r="Q176" s="1672"/>
      <c r="R176" s="2148"/>
      <c r="S176" s="1672"/>
      <c r="T176" s="1672"/>
      <c r="U176" s="1056"/>
      <c r="V176" s="1672"/>
      <c r="W176" s="1672"/>
      <c r="X176" s="1672"/>
      <c r="Y176" s="1672"/>
      <c r="Z176" s="1672"/>
      <c r="AA176" s="2144"/>
      <c r="AB176" s="1078"/>
      <c r="AC176" s="1078"/>
      <c r="AD176" s="1078"/>
      <c r="AE176" s="1078"/>
      <c r="AF176" s="2153">
        <v>11</v>
      </c>
    </row>
    <row s="47496" customFormat="1" customHeight="1" ht="11.549999999999999">
      <c r="A177" s="1499"/>
      <c r="B177" s="2148"/>
      <c r="C177" s="2148"/>
      <c r="D177" s="863"/>
      <c r="K177" s="1672"/>
      <c r="L177" s="2148"/>
      <c r="M177" s="2148"/>
      <c r="N177" s="1672"/>
      <c r="O177" s="1672"/>
      <c r="P177" s="1672"/>
      <c r="Q177" s="1672"/>
      <c r="R177" s="2148"/>
      <c r="S177" s="1672"/>
      <c r="T177" s="1672"/>
      <c r="U177" s="1056"/>
      <c r="V177" s="1672"/>
      <c r="W177" s="1672"/>
      <c r="X177" s="1672"/>
      <c r="Y177" s="1672"/>
      <c r="Z177" s="1672"/>
      <c r="AA177" s="2144"/>
      <c r="AB177" s="1078"/>
      <c r="AC177" s="1078"/>
      <c r="AD177" s="1078"/>
      <c r="AE177" s="1078"/>
      <c r="AF177" s="2153">
        <v>11</v>
      </c>
    </row>
    <row s="47496" customFormat="1" customHeight="1" ht="11.549999999999999">
      <c r="A178" s="1499"/>
      <c r="B178" s="2148"/>
      <c r="C178" s="2148"/>
      <c r="D178" s="863"/>
      <c r="K178" s="1672"/>
      <c r="L178" s="2148"/>
      <c r="M178" s="2148"/>
      <c r="N178" s="1672"/>
      <c r="O178" s="1672"/>
      <c r="P178" s="1672"/>
      <c r="Q178" s="1672"/>
      <c r="R178" s="2148"/>
      <c r="S178" s="1672"/>
      <c r="T178" s="1672"/>
      <c r="U178" s="1056"/>
      <c r="V178" s="1672"/>
      <c r="W178" s="1672"/>
      <c r="X178" s="1672"/>
      <c r="Y178" s="1672"/>
      <c r="Z178" s="1672"/>
      <c r="AA178" s="2144"/>
      <c r="AB178" s="1078"/>
      <c r="AC178" s="1078"/>
      <c r="AD178" s="1078"/>
      <c r="AE178" s="1078"/>
      <c r="AF178" s="2153">
        <v>11</v>
      </c>
    </row>
    <row s="47496" customFormat="1" customHeight="1" ht="11.549999999999999">
      <c r="A179" s="1499"/>
      <c r="B179" s="2148"/>
      <c r="C179" s="2148"/>
      <c r="D179" s="863"/>
      <c r="K179" s="1672"/>
      <c r="L179" s="2148"/>
      <c r="M179" s="2148"/>
      <c r="N179" s="1672"/>
      <c r="O179" s="1672"/>
      <c r="P179" s="1672"/>
      <c r="Q179" s="1672"/>
      <c r="R179" s="2148"/>
      <c r="S179" s="1672"/>
      <c r="T179" s="1672"/>
      <c r="U179" s="1056"/>
      <c r="V179" s="1672"/>
      <c r="W179" s="1672"/>
      <c r="X179" s="1672"/>
      <c r="Y179" s="1672"/>
      <c r="Z179" s="1672"/>
      <c r="AA179" s="2144"/>
      <c r="AB179" s="1078"/>
      <c r="AC179" s="1078"/>
      <c r="AD179" s="1078"/>
      <c r="AE179" s="1078"/>
      <c r="AF179" s="2153">
        <v>11</v>
      </c>
    </row>
    <row s="47496" customFormat="1" customHeight="1" ht="11.549999999999999">
      <c r="A180" s="1499"/>
      <c r="B180" s="2148"/>
      <c r="C180" s="2148"/>
      <c r="D180" s="863"/>
      <c r="K180" s="1672"/>
      <c r="L180" s="2148"/>
      <c r="M180" s="2148"/>
      <c r="N180" s="1672"/>
      <c r="O180" s="1672"/>
      <c r="P180" s="1672"/>
      <c r="Q180" s="1672"/>
      <c r="R180" s="2148"/>
      <c r="S180" s="1672"/>
      <c r="T180" s="1672"/>
      <c r="U180" s="1056"/>
      <c r="V180" s="1672"/>
      <c r="W180" s="1672"/>
      <c r="X180" s="1672"/>
      <c r="Y180" s="1672"/>
      <c r="Z180" s="1672"/>
      <c r="AA180" s="2144"/>
      <c r="AB180" s="1078"/>
      <c r="AC180" s="1078"/>
      <c r="AD180" s="1078"/>
      <c r="AE180" s="1078"/>
      <c r="AF180" s="2153">
        <v>11</v>
      </c>
    </row>
    <row s="47496" customFormat="1" customHeight="1" ht="11.549999999999999">
      <c r="A181" s="1499"/>
      <c r="B181" s="2148"/>
      <c r="C181" s="2148"/>
      <c r="D181" s="863"/>
      <c r="K181" s="1672"/>
      <c r="L181" s="2148"/>
      <c r="M181" s="2148"/>
      <c r="N181" s="1672"/>
      <c r="O181" s="1672"/>
      <c r="P181" s="1672"/>
      <c r="Q181" s="1672"/>
      <c r="R181" s="2148"/>
      <c r="S181" s="1672"/>
      <c r="T181" s="1672"/>
      <c r="U181" s="1056"/>
      <c r="V181" s="1672"/>
      <c r="W181" s="1672"/>
      <c r="X181" s="1672"/>
      <c r="Y181" s="1672"/>
      <c r="Z181" s="1672"/>
      <c r="AA181" s="2144"/>
      <c r="AB181" s="1078"/>
      <c r="AC181" s="1078"/>
      <c r="AD181" s="1078"/>
      <c r="AE181" s="1078"/>
      <c r="AF181" s="2153">
        <v>11</v>
      </c>
    </row>
    <row s="47496" customFormat="1" customHeight="1" ht="11.549999999999999">
      <c r="A182" s="1499"/>
      <c r="B182" s="2148"/>
      <c r="C182" s="2148"/>
      <c r="D182" s="863"/>
      <c r="K182" s="1672"/>
      <c r="L182" s="2148"/>
      <c r="M182" s="2148"/>
      <c r="N182" s="1672"/>
      <c r="O182" s="1672"/>
      <c r="P182" s="1672"/>
      <c r="Q182" s="1672"/>
      <c r="R182" s="2148"/>
      <c r="S182" s="1672"/>
      <c r="T182" s="1672"/>
      <c r="U182" s="1056"/>
      <c r="V182" s="1672"/>
      <c r="W182" s="1672"/>
      <c r="X182" s="1672"/>
      <c r="Y182" s="1672"/>
      <c r="Z182" s="1672"/>
      <c r="AA182" s="2144"/>
      <c r="AB182" s="1078"/>
      <c r="AC182" s="1078"/>
      <c r="AD182" s="1078"/>
      <c r="AE182" s="1078"/>
      <c r="AF182" s="2153">
        <v>11</v>
      </c>
    </row>
    <row s="47496" customFormat="1" customHeight="1" ht="11.549999999999999">
      <c r="A183" s="1499"/>
      <c r="B183" s="2148"/>
      <c r="C183" s="2148"/>
      <c r="D183" s="863"/>
      <c r="K183" s="1672"/>
      <c r="L183" s="2148"/>
      <c r="M183" s="2148"/>
      <c r="N183" s="1672"/>
      <c r="O183" s="1672"/>
      <c r="P183" s="1672"/>
      <c r="Q183" s="1672"/>
      <c r="R183" s="2148"/>
      <c r="S183" s="1672"/>
      <c r="T183" s="1672"/>
      <c r="U183" s="1056"/>
      <c r="V183" s="1672"/>
      <c r="W183" s="1672"/>
      <c r="X183" s="1672"/>
      <c r="Y183" s="1672"/>
      <c r="Z183" s="1672"/>
      <c r="AA183" s="2144"/>
      <c r="AB183" s="1078"/>
      <c r="AC183" s="1078"/>
      <c r="AD183" s="1078"/>
      <c r="AE183" s="1078"/>
      <c r="AF183" s="2153">
        <v>11</v>
      </c>
    </row>
    <row s="47496" customFormat="1" customHeight="1" ht="11.549999999999999">
      <c r="A184" s="1499"/>
      <c r="B184" s="2148"/>
      <c r="C184" s="2148"/>
      <c r="D184" s="863"/>
      <c r="K184" s="1672"/>
      <c r="L184" s="2148"/>
      <c r="M184" s="2148"/>
      <c r="N184" s="1672"/>
      <c r="O184" s="1672"/>
      <c r="P184" s="1672"/>
      <c r="Q184" s="1672"/>
      <c r="R184" s="2148"/>
      <c r="S184" s="1672"/>
      <c r="T184" s="1672"/>
      <c r="U184" s="1056"/>
      <c r="V184" s="1672"/>
      <c r="W184" s="1672"/>
      <c r="X184" s="1672"/>
      <c r="Y184" s="1672"/>
      <c r="Z184" s="1672"/>
      <c r="AA184" s="2144"/>
      <c r="AB184" s="1078"/>
      <c r="AC184" s="1078"/>
      <c r="AD184" s="1078"/>
      <c r="AE184" s="1078"/>
      <c r="AF184" s="2153">
        <v>11</v>
      </c>
    </row>
    <row s="47496" customFormat="1" customHeight="1" ht="11.549999999999999">
      <c r="A185" s="1499"/>
      <c r="B185" s="2148"/>
      <c r="C185" s="2148"/>
      <c r="D185" s="863"/>
      <c r="K185" s="1672"/>
      <c r="L185" s="2148"/>
      <c r="M185" s="2148"/>
      <c r="N185" s="1672"/>
      <c r="O185" s="1672"/>
      <c r="P185" s="1672"/>
      <c r="Q185" s="1672"/>
      <c r="R185" s="2148"/>
      <c r="S185" s="1672"/>
      <c r="T185" s="1672"/>
      <c r="U185" s="1056"/>
      <c r="V185" s="1672"/>
      <c r="W185" s="1672"/>
      <c r="X185" s="1672"/>
      <c r="Y185" s="1672"/>
      <c r="Z185" s="1672"/>
      <c r="AA185" s="2144"/>
      <c r="AB185" s="1078"/>
      <c r="AC185" s="1078"/>
      <c r="AD185" s="1078"/>
      <c r="AE185" s="1078"/>
      <c r="AF185" s="2153">
        <v>11</v>
      </c>
    </row>
    <row s="47496" customFormat="1" customHeight="1" ht="11.549999999999999">
      <c r="A186" s="1499"/>
      <c r="B186" s="2148"/>
      <c r="C186" s="2148"/>
      <c r="D186" s="863"/>
      <c r="K186" s="1672"/>
      <c r="L186" s="2148"/>
      <c r="M186" s="2148"/>
      <c r="N186" s="1672"/>
      <c r="O186" s="1672"/>
      <c r="P186" s="1672"/>
      <c r="Q186" s="1672"/>
      <c r="R186" s="2148"/>
      <c r="S186" s="1672"/>
      <c r="T186" s="1672"/>
      <c r="U186" s="1056"/>
      <c r="V186" s="1672"/>
      <c r="W186" s="1672"/>
      <c r="X186" s="1672"/>
      <c r="Y186" s="1672"/>
      <c r="Z186" s="1672"/>
      <c r="AA186" s="2144"/>
      <c r="AB186" s="1078"/>
      <c r="AC186" s="1078"/>
      <c r="AD186" s="1078"/>
      <c r="AE186" s="1078"/>
      <c r="AF186" s="2153">
        <v>11</v>
      </c>
    </row>
    <row s="47496" customFormat="1" customHeight="1" ht="11.549999999999999">
      <c r="A187" s="1499"/>
      <c r="B187" s="2148"/>
      <c r="C187" s="2148"/>
      <c r="D187" s="863"/>
      <c r="K187" s="1672"/>
      <c r="L187" s="2148"/>
      <c r="M187" s="2148"/>
      <c r="N187" s="1672"/>
      <c r="O187" s="1672"/>
      <c r="P187" s="1672"/>
      <c r="Q187" s="1672"/>
      <c r="R187" s="2148"/>
      <c r="S187" s="1672"/>
      <c r="T187" s="1672"/>
      <c r="U187" s="1056"/>
      <c r="V187" s="1672"/>
      <c r="W187" s="1672"/>
      <c r="X187" s="1672"/>
      <c r="Y187" s="1672"/>
      <c r="Z187" s="1672"/>
      <c r="AA187" s="2144"/>
      <c r="AB187" s="1078"/>
      <c r="AC187" s="1078"/>
      <c r="AD187" s="1078"/>
      <c r="AE187" s="1078"/>
      <c r="AF187" s="2153">
        <v>11</v>
      </c>
    </row>
    <row s="47496" customFormat="1" customHeight="1" ht="11.549999999999999">
      <c r="A188" s="1499"/>
      <c r="B188" s="2148"/>
      <c r="C188" s="2148"/>
      <c r="D188" s="863"/>
      <c r="K188" s="1672"/>
      <c r="L188" s="2148"/>
      <c r="M188" s="2148"/>
      <c r="N188" s="1672"/>
      <c r="O188" s="1672"/>
      <c r="P188" s="1672"/>
      <c r="Q188" s="1672"/>
      <c r="R188" s="2148"/>
      <c r="S188" s="1672"/>
      <c r="T188" s="1672"/>
      <c r="U188" s="1056"/>
      <c r="V188" s="1672"/>
      <c r="W188" s="1672"/>
      <c r="X188" s="1672"/>
      <c r="Y188" s="1672"/>
      <c r="Z188" s="1672"/>
      <c r="AA188" s="2144"/>
      <c r="AB188" s="1078"/>
      <c r="AC188" s="1078"/>
      <c r="AD188" s="1078"/>
      <c r="AE188" s="1078"/>
      <c r="AF188" s="2153">
        <v>11</v>
      </c>
    </row>
    <row s="47496" customFormat="1" customHeight="1" ht="11.549999999999999">
      <c r="A189" s="1499"/>
      <c r="B189" s="2148"/>
      <c r="C189" s="2148"/>
      <c r="D189" s="863"/>
      <c r="K189" s="1672"/>
      <c r="L189" s="2148"/>
      <c r="M189" s="2148"/>
      <c r="N189" s="1672"/>
      <c r="O189" s="1672"/>
      <c r="P189" s="1672"/>
      <c r="Q189" s="1672"/>
      <c r="R189" s="2148"/>
      <c r="S189" s="1672"/>
      <c r="T189" s="1672"/>
      <c r="U189" s="1056"/>
      <c r="V189" s="1672"/>
      <c r="W189" s="1672"/>
      <c r="X189" s="1672"/>
      <c r="Y189" s="1672"/>
      <c r="Z189" s="1672"/>
      <c r="AA189" s="2144"/>
      <c r="AB189" s="1078"/>
      <c r="AC189" s="1078"/>
      <c r="AD189" s="1078"/>
      <c r="AE189" s="1078"/>
      <c r="AF189" s="2153">
        <v>11</v>
      </c>
    </row>
    <row s="47496" customFormat="1" customHeight="1" ht="11.549999999999999">
      <c r="A190" s="1499"/>
      <c r="B190" s="2148"/>
      <c r="C190" s="2148"/>
      <c r="D190" s="863"/>
      <c r="K190" s="1672"/>
      <c r="L190" s="2148"/>
      <c r="M190" s="2148"/>
      <c r="N190" s="1672"/>
      <c r="O190" s="1672"/>
      <c r="P190" s="1672"/>
      <c r="Q190" s="1672"/>
      <c r="R190" s="2148"/>
      <c r="S190" s="1672"/>
      <c r="T190" s="1672"/>
      <c r="U190" s="1056"/>
      <c r="V190" s="1672"/>
      <c r="W190" s="1672"/>
      <c r="X190" s="1672"/>
      <c r="Y190" s="1672"/>
      <c r="Z190" s="1672"/>
      <c r="AA190" s="2144"/>
      <c r="AB190" s="1078"/>
      <c r="AC190" s="1078"/>
      <c r="AD190" s="1078"/>
      <c r="AE190" s="1078"/>
      <c r="AF190" s="2153">
        <v>11</v>
      </c>
    </row>
    <row s="47496" customFormat="1" customHeight="1" ht="11.549999999999999">
      <c r="A191" s="1499"/>
      <c r="B191" s="2148"/>
      <c r="C191" s="2148"/>
      <c r="D191" s="863"/>
      <c r="K191" s="1672"/>
      <c r="L191" s="2148"/>
      <c r="M191" s="2148"/>
      <c r="N191" s="1672"/>
      <c r="O191" s="1672"/>
      <c r="P191" s="1672"/>
      <c r="Q191" s="1672"/>
      <c r="R191" s="2148"/>
      <c r="S191" s="1672"/>
      <c r="T191" s="1672"/>
      <c r="U191" s="1056"/>
      <c r="V191" s="1672"/>
      <c r="W191" s="1672"/>
      <c r="X191" s="1672"/>
      <c r="Y191" s="1672"/>
      <c r="Z191" s="1672"/>
      <c r="AA191" s="2144"/>
      <c r="AB191" s="1078"/>
      <c r="AC191" s="1078"/>
      <c r="AD191" s="1078"/>
      <c r="AE191" s="1078"/>
      <c r="AF191" s="2153">
        <v>11</v>
      </c>
    </row>
    <row s="47496" customFormat="1" customHeight="1" ht="11.549999999999999">
      <c r="A192" s="1499"/>
      <c r="B192" s="2148"/>
      <c r="C192" s="2148"/>
      <c r="D192" s="863"/>
      <c r="K192" s="1672"/>
      <c r="L192" s="2148"/>
      <c r="M192" s="2148"/>
      <c r="N192" s="1672"/>
      <c r="O192" s="1672"/>
      <c r="P192" s="1672"/>
      <c r="Q192" s="1672"/>
      <c r="R192" s="2148"/>
      <c r="S192" s="1672"/>
      <c r="T192" s="1672"/>
      <c r="U192" s="1056"/>
      <c r="V192" s="1672"/>
      <c r="W192" s="1672"/>
      <c r="X192" s="1672"/>
      <c r="Y192" s="1672"/>
      <c r="Z192" s="1672"/>
      <c r="AA192" s="2144"/>
      <c r="AB192" s="1078"/>
      <c r="AC192" s="1078"/>
      <c r="AD192" s="1078"/>
      <c r="AE192" s="1078"/>
      <c r="AF192" s="2153">
        <v>11</v>
      </c>
    </row>
    <row s="47496" customFormat="1" customHeight="1" ht="11.549999999999999">
      <c r="A193" s="1499"/>
      <c r="B193" s="2148"/>
      <c r="C193" s="2148"/>
      <c r="D193" s="863"/>
      <c r="K193" s="1672"/>
      <c r="L193" s="2148"/>
      <c r="M193" s="2148"/>
      <c r="N193" s="1672"/>
      <c r="O193" s="1672"/>
      <c r="P193" s="1672"/>
      <c r="Q193" s="1672"/>
      <c r="R193" s="2148"/>
      <c r="S193" s="1672"/>
      <c r="T193" s="1672"/>
      <c r="U193" s="1056"/>
      <c r="V193" s="1672"/>
      <c r="W193" s="1672"/>
      <c r="X193" s="1672"/>
      <c r="Y193" s="1672"/>
      <c r="Z193" s="1672"/>
      <c r="AA193" s="2144"/>
      <c r="AB193" s="1078"/>
      <c r="AC193" s="1078"/>
      <c r="AD193" s="1078"/>
      <c r="AE193" s="1078"/>
      <c r="AF193" s="2153">
        <v>11</v>
      </c>
    </row>
    <row s="47496" customFormat="1" customHeight="1" ht="11.549999999999999">
      <c r="A194" s="1499"/>
      <c r="B194" s="2148"/>
      <c r="C194" s="2148"/>
      <c r="D194" s="863"/>
      <c r="K194" s="1672"/>
      <c r="L194" s="2148"/>
      <c r="M194" s="2148"/>
      <c r="N194" s="1672"/>
      <c r="O194" s="1672"/>
      <c r="P194" s="1672"/>
      <c r="Q194" s="1672"/>
      <c r="R194" s="2148"/>
      <c r="S194" s="1672"/>
      <c r="T194" s="1672"/>
      <c r="U194" s="1056"/>
      <c r="V194" s="1672"/>
      <c r="W194" s="1672"/>
      <c r="X194" s="1672"/>
      <c r="Y194" s="1672"/>
      <c r="Z194" s="1672"/>
      <c r="AA194" s="2144"/>
      <c r="AB194" s="1078"/>
      <c r="AC194" s="1078"/>
      <c r="AD194" s="1078"/>
      <c r="AE194" s="1078"/>
      <c r="AF194" s="2153">
        <v>11</v>
      </c>
    </row>
    <row s="47496" customFormat="1" customHeight="1" ht="11.549999999999999">
      <c r="A195" s="1499"/>
      <c r="B195" s="2148"/>
      <c r="C195" s="2148"/>
      <c r="D195" s="863"/>
      <c r="K195" s="1672"/>
      <c r="L195" s="2148"/>
      <c r="M195" s="2148"/>
      <c r="N195" s="1672"/>
      <c r="O195" s="1672"/>
      <c r="P195" s="1672"/>
      <c r="Q195" s="1672"/>
      <c r="R195" s="2148"/>
      <c r="S195" s="1672"/>
      <c r="T195" s="1672"/>
      <c r="U195" s="1056"/>
      <c r="V195" s="1672"/>
      <c r="W195" s="1672"/>
      <c r="X195" s="1672"/>
      <c r="Y195" s="1672"/>
      <c r="Z195" s="1672"/>
      <c r="AA195" s="2144"/>
      <c r="AB195" s="1078"/>
      <c r="AC195" s="1078"/>
      <c r="AD195" s="1078"/>
      <c r="AE195" s="1078"/>
      <c r="AF195" s="2153">
        <v>11</v>
      </c>
    </row>
    <row s="47496" customFormat="1" customHeight="1" ht="11.549999999999999">
      <c r="A196" s="1499"/>
      <c r="B196" s="2148"/>
      <c r="C196" s="2148"/>
      <c r="D196" s="863"/>
      <c r="K196" s="1672"/>
      <c r="L196" s="2148"/>
      <c r="M196" s="2148"/>
      <c r="N196" s="1672"/>
      <c r="O196" s="1672"/>
      <c r="P196" s="1672"/>
      <c r="Q196" s="1672"/>
      <c r="R196" s="2148"/>
      <c r="S196" s="1672"/>
      <c r="T196" s="1672"/>
      <c r="U196" s="1056"/>
      <c r="V196" s="1672"/>
      <c r="W196" s="1672"/>
      <c r="X196" s="1672"/>
      <c r="Y196" s="1672"/>
      <c r="Z196" s="1672"/>
      <c r="AA196" s="2144"/>
      <c r="AB196" s="1078"/>
      <c r="AC196" s="1078"/>
      <c r="AD196" s="1078"/>
      <c r="AE196" s="1078"/>
      <c r="AF196" s="2153">
        <v>11</v>
      </c>
    </row>
    <row s="47496" customFormat="1" customHeight="1" ht="11.549999999999999">
      <c r="A197" s="1499"/>
      <c r="B197" s="2148"/>
      <c r="C197" s="2148"/>
      <c r="D197" s="863"/>
      <c r="K197" s="1672"/>
      <c r="L197" s="2148"/>
      <c r="M197" s="2148"/>
      <c r="N197" s="1672"/>
      <c r="O197" s="1672"/>
      <c r="P197" s="1672"/>
      <c r="Q197" s="1672"/>
      <c r="R197" s="2148"/>
      <c r="S197" s="1672"/>
      <c r="T197" s="1672"/>
      <c r="U197" s="1056"/>
      <c r="V197" s="1672"/>
      <c r="W197" s="1672"/>
      <c r="X197" s="1672"/>
      <c r="Y197" s="1672"/>
      <c r="Z197" s="1672"/>
      <c r="AA197" s="2144"/>
      <c r="AB197" s="1078"/>
      <c r="AC197" s="1078"/>
      <c r="AD197" s="1078"/>
      <c r="AE197" s="1078"/>
      <c r="AF197" s="2153">
        <v>11</v>
      </c>
    </row>
    <row s="47496" customFormat="1" customHeight="1" ht="11.549999999999999">
      <c r="A198" s="1499"/>
      <c r="B198" s="2148"/>
      <c r="C198" s="2148"/>
      <c r="D198" s="863"/>
      <c r="K198" s="1672"/>
      <c r="L198" s="2148"/>
      <c r="M198" s="2148"/>
      <c r="N198" s="1672"/>
      <c r="O198" s="1672"/>
      <c r="P198" s="1672"/>
      <c r="Q198" s="1672"/>
      <c r="R198" s="2148"/>
      <c r="S198" s="1672"/>
      <c r="T198" s="1672"/>
      <c r="U198" s="1056"/>
      <c r="V198" s="1672"/>
      <c r="W198" s="1672"/>
      <c r="X198" s="1672"/>
      <c r="Y198" s="1672"/>
      <c r="Z198" s="1672"/>
      <c r="AA198" s="2144"/>
      <c r="AB198" s="1078"/>
      <c r="AC198" s="1078"/>
      <c r="AD198" s="1078"/>
      <c r="AE198" s="1078"/>
      <c r="AF198" s="2153">
        <v>11</v>
      </c>
    </row>
    <row s="47496" customFormat="1" customHeight="1" ht="11.549999999999999">
      <c r="A199" s="1499"/>
      <c r="B199" s="2148"/>
      <c r="C199" s="2148"/>
      <c r="D199" s="863"/>
      <c r="K199" s="1672"/>
      <c r="L199" s="2148"/>
      <c r="M199" s="2148"/>
      <c r="N199" s="1672"/>
      <c r="O199" s="1672"/>
      <c r="P199" s="1672"/>
      <c r="Q199" s="1672"/>
      <c r="R199" s="2148"/>
      <c r="S199" s="1672"/>
      <c r="T199" s="1672"/>
      <c r="U199" s="1056"/>
      <c r="V199" s="1672"/>
      <c r="W199" s="1672"/>
      <c r="X199" s="1672"/>
      <c r="Y199" s="1672"/>
      <c r="Z199" s="1672"/>
      <c r="AA199" s="2144"/>
      <c r="AB199" s="1078"/>
      <c r="AC199" s="1078"/>
      <c r="AD199" s="1078"/>
      <c r="AE199" s="1078"/>
      <c r="AF199" s="2153">
        <v>11</v>
      </c>
    </row>
    <row s="47496" customFormat="1" customHeight="1" ht="11.549999999999999">
      <c r="A200" s="1499"/>
      <c r="B200" s="2148"/>
      <c r="C200" s="2148"/>
      <c r="D200" s="863"/>
      <c r="K200" s="1672"/>
      <c r="L200" s="2148"/>
      <c r="M200" s="2148"/>
      <c r="N200" s="1672"/>
      <c r="O200" s="1672"/>
      <c r="P200" s="1672"/>
      <c r="Q200" s="1672"/>
      <c r="R200" s="2148"/>
      <c r="S200" s="1672"/>
      <c r="T200" s="1672"/>
      <c r="U200" s="1056"/>
      <c r="V200" s="1672"/>
      <c r="W200" s="1672"/>
      <c r="X200" s="1672"/>
      <c r="Y200" s="1672"/>
      <c r="Z200" s="1672"/>
      <c r="AA200" s="2144"/>
      <c r="AB200" s="1078"/>
      <c r="AC200" s="1078"/>
      <c r="AD200" s="1078"/>
      <c r="AE200" s="1078"/>
      <c r="AF200" s="2153">
        <v>11</v>
      </c>
    </row>
    <row s="47496" customFormat="1" customHeight="1" ht="11.549999999999999">
      <c r="A201" s="1499"/>
      <c r="B201" s="2148"/>
      <c r="C201" s="2148"/>
      <c r="D201" s="863"/>
      <c r="K201" s="1672"/>
      <c r="L201" s="2148"/>
      <c r="M201" s="2148"/>
      <c r="N201" s="1672"/>
      <c r="O201" s="1672"/>
      <c r="P201" s="1672"/>
      <c r="Q201" s="1672"/>
      <c r="R201" s="2148"/>
      <c r="S201" s="1672"/>
      <c r="T201" s="1672"/>
      <c r="U201" s="1056"/>
      <c r="V201" s="1672"/>
      <c r="W201" s="1672"/>
      <c r="X201" s="1672"/>
      <c r="Y201" s="1672"/>
      <c r="Z201" s="1672"/>
      <c r="AA201" s="2144"/>
      <c r="AB201" s="1078"/>
      <c r="AC201" s="1078"/>
      <c r="AD201" s="1078"/>
      <c r="AE201" s="1078"/>
      <c r="AF201" s="2153">
        <v>11</v>
      </c>
    </row>
    <row s="47496" customFormat="1" customHeight="1" ht="11.549999999999999">
      <c r="A202" s="1499"/>
      <c r="B202" s="2148"/>
      <c r="C202" s="2148"/>
      <c r="D202" s="863"/>
      <c r="K202" s="1672"/>
      <c r="L202" s="2148"/>
      <c r="M202" s="2148"/>
      <c r="N202" s="1672"/>
      <c r="O202" s="1672"/>
      <c r="P202" s="1672"/>
      <c r="Q202" s="1672"/>
      <c r="R202" s="2148"/>
      <c r="S202" s="1672"/>
      <c r="T202" s="1672"/>
      <c r="U202" s="1056"/>
      <c r="V202" s="1672"/>
      <c r="W202" s="1672"/>
      <c r="X202" s="1672"/>
      <c r="Y202" s="1672"/>
      <c r="Z202" s="1672"/>
      <c r="AA202" s="2144"/>
      <c r="AB202" s="1078"/>
      <c r="AC202" s="1078"/>
      <c r="AD202" s="1078"/>
      <c r="AE202" s="1078"/>
      <c r="AF202" s="2153">
        <v>11</v>
      </c>
    </row>
    <row s="47496" customFormat="1" customHeight="1" ht="11.549999999999999">
      <c r="A203" s="1499"/>
      <c r="B203" s="2148"/>
      <c r="C203" s="2148"/>
      <c r="D203" s="863"/>
      <c r="K203" s="1672"/>
      <c r="L203" s="2148"/>
      <c r="M203" s="2148"/>
      <c r="N203" s="1672"/>
      <c r="O203" s="1672"/>
      <c r="P203" s="1672"/>
      <c r="Q203" s="1672"/>
      <c r="R203" s="2148"/>
      <c r="S203" s="1672"/>
      <c r="T203" s="1672"/>
      <c r="U203" s="1056"/>
      <c r="V203" s="1672"/>
      <c r="W203" s="1672"/>
      <c r="X203" s="1672"/>
      <c r="Y203" s="1672"/>
      <c r="Z203" s="1672"/>
      <c r="AA203" s="2144"/>
      <c r="AB203" s="1078"/>
      <c r="AC203" s="1078"/>
      <c r="AD203" s="1078"/>
      <c r="AE203" s="1078"/>
      <c r="AF203" s="2153">
        <v>11</v>
      </c>
    </row>
    <row s="47496" customFormat="1" customHeight="1" ht="11.549999999999999">
      <c r="A204" s="1499"/>
      <c r="B204" s="2148"/>
      <c r="C204" s="2148"/>
      <c r="D204" s="863"/>
      <c r="K204" s="1672"/>
      <c r="L204" s="2148"/>
      <c r="M204" s="2148"/>
      <c r="N204" s="1672"/>
      <c r="O204" s="1672"/>
      <c r="P204" s="1672"/>
      <c r="Q204" s="1672"/>
      <c r="R204" s="2148"/>
      <c r="S204" s="1672"/>
      <c r="T204" s="1672"/>
      <c r="U204" s="1056"/>
      <c r="V204" s="1672"/>
      <c r="W204" s="1672"/>
      <c r="X204" s="1672"/>
      <c r="Y204" s="1672"/>
      <c r="Z204" s="1672"/>
      <c r="AA204" s="2144"/>
      <c r="AB204" s="1078"/>
      <c r="AC204" s="1078"/>
      <c r="AD204" s="1078"/>
      <c r="AE204" s="1078"/>
      <c r="AF204" s="2153">
        <v>11</v>
      </c>
    </row>
    <row s="47496" customFormat="1" customHeight="1" ht="11.549999999999999">
      <c r="A205" s="1499"/>
      <c r="B205" s="2148"/>
      <c r="C205" s="2148"/>
      <c r="D205" s="863"/>
      <c r="K205" s="1672"/>
      <c r="L205" s="2148"/>
      <c r="M205" s="2148"/>
      <c r="N205" s="1672"/>
      <c r="O205" s="1672"/>
      <c r="P205" s="1672"/>
      <c r="Q205" s="1672"/>
      <c r="R205" s="2148"/>
      <c r="S205" s="1672"/>
      <c r="T205" s="1672"/>
      <c r="U205" s="1056"/>
      <c r="V205" s="1672"/>
      <c r="W205" s="1672"/>
      <c r="X205" s="1672"/>
      <c r="Y205" s="1672"/>
      <c r="Z205" s="1672"/>
      <c r="AA205" s="2144"/>
      <c r="AB205" s="1078"/>
      <c r="AC205" s="1078"/>
      <c r="AD205" s="1078"/>
      <c r="AE205" s="1078"/>
      <c r="AF205" s="2153">
        <v>11</v>
      </c>
    </row>
    <row s="47496" customFormat="1" customHeight="1" ht="11.549999999999999">
      <c r="A206" s="1499"/>
      <c r="B206" s="2148"/>
      <c r="C206" s="2148"/>
      <c r="D206" s="863"/>
      <c r="K206" s="1672"/>
      <c r="L206" s="2148"/>
      <c r="M206" s="2148"/>
      <c r="N206" s="1672"/>
      <c r="O206" s="1672"/>
      <c r="P206" s="1672"/>
      <c r="Q206" s="1672"/>
      <c r="R206" s="2148"/>
      <c r="S206" s="1672"/>
      <c r="T206" s="1672"/>
      <c r="U206" s="1056"/>
      <c r="V206" s="1672"/>
      <c r="W206" s="1672"/>
      <c r="X206" s="1672"/>
      <c r="Y206" s="1672"/>
      <c r="Z206" s="1672"/>
      <c r="AA206" s="2144"/>
      <c r="AB206" s="1078"/>
      <c r="AC206" s="1078"/>
      <c r="AD206" s="1078"/>
      <c r="AE206" s="1078"/>
      <c r="AF206" s="2153">
        <v>11</v>
      </c>
    </row>
    <row s="47496" customFormat="1" customHeight="1" ht="11.549999999999999">
      <c r="A207" s="1499"/>
      <c r="B207" s="2148"/>
      <c r="C207" s="2148"/>
      <c r="D207" s="863"/>
      <c r="K207" s="1672"/>
      <c r="L207" s="2148"/>
      <c r="M207" s="2148"/>
      <c r="N207" s="1672"/>
      <c r="O207" s="1672"/>
      <c r="P207" s="1672"/>
      <c r="Q207" s="1672"/>
      <c r="R207" s="2148"/>
      <c r="S207" s="1672"/>
      <c r="T207" s="1672"/>
      <c r="U207" s="1056"/>
      <c r="V207" s="1672"/>
      <c r="W207" s="1672"/>
      <c r="X207" s="1672"/>
      <c r="Y207" s="1672"/>
      <c r="Z207" s="1672"/>
      <c r="AA207" s="2144"/>
      <c r="AB207" s="1078"/>
      <c r="AC207" s="1078"/>
      <c r="AD207" s="1078"/>
      <c r="AE207" s="1078"/>
      <c r="AF207" s="2153">
        <v>11</v>
      </c>
    </row>
    <row s="47496" customFormat="1" customHeight="1" ht="11.549999999999999">
      <c r="A208" s="1499"/>
      <c r="B208" s="2148"/>
      <c r="C208" s="2148"/>
      <c r="D208" s="863"/>
      <c r="K208" s="1672"/>
      <c r="L208" s="2148"/>
      <c r="M208" s="2148"/>
      <c r="N208" s="1672"/>
      <c r="O208" s="1672"/>
      <c r="P208" s="1672"/>
      <c r="Q208" s="1672"/>
      <c r="R208" s="2148"/>
      <c r="S208" s="1672"/>
      <c r="T208" s="1672"/>
      <c r="U208" s="1056"/>
      <c r="V208" s="1672"/>
      <c r="W208" s="1672"/>
      <c r="X208" s="1672"/>
      <c r="Y208" s="1672"/>
      <c r="Z208" s="1672"/>
      <c r="AA208" s="2144"/>
      <c r="AB208" s="1078"/>
      <c r="AC208" s="1078"/>
      <c r="AD208" s="1078"/>
      <c r="AE208" s="1078"/>
      <c r="AF208" s="2153">
        <v>11</v>
      </c>
    </row>
    <row s="47496" customFormat="1" customHeight="1" ht="11.549999999999999">
      <c r="A209" s="1499"/>
      <c r="B209" s="2148"/>
      <c r="C209" s="2148"/>
      <c r="D209" s="863"/>
      <c r="K209" s="1672"/>
      <c r="L209" s="2148"/>
      <c r="M209" s="2148"/>
      <c r="N209" s="1672"/>
      <c r="O209" s="1672"/>
      <c r="P209" s="1672"/>
      <c r="Q209" s="1672"/>
      <c r="R209" s="2148"/>
      <c r="S209" s="1672"/>
      <c r="T209" s="1672"/>
      <c r="U209" s="1056"/>
      <c r="V209" s="1672"/>
      <c r="W209" s="1672"/>
      <c r="X209" s="1672"/>
      <c r="Y209" s="1672"/>
      <c r="Z209" s="1672"/>
      <c r="AA209" s="2144"/>
      <c r="AB209" s="1078"/>
      <c r="AC209" s="1078"/>
      <c r="AD209" s="1078"/>
      <c r="AE209" s="1078"/>
      <c r="AF209" s="2153">
        <v>11</v>
      </c>
    </row>
    <row s="47496" customFormat="1" customHeight="1" ht="11.549999999999999">
      <c r="A210" s="1499"/>
      <c r="B210" s="2148"/>
      <c r="C210" s="2148"/>
      <c r="D210" s="863"/>
      <c r="K210" s="1672"/>
      <c r="L210" s="2148"/>
      <c r="M210" s="2148"/>
      <c r="N210" s="1672"/>
      <c r="O210" s="1672"/>
      <c r="P210" s="1672"/>
      <c r="Q210" s="1672"/>
      <c r="R210" s="2148"/>
      <c r="S210" s="1672"/>
      <c r="T210" s="1672"/>
      <c r="U210" s="1056"/>
      <c r="V210" s="1672"/>
      <c r="W210" s="1672"/>
      <c r="X210" s="1672"/>
      <c r="Y210" s="1672"/>
      <c r="Z210" s="1672"/>
      <c r="AA210" s="2144"/>
      <c r="AB210" s="1078"/>
      <c r="AC210" s="1078"/>
      <c r="AD210" s="1078"/>
      <c r="AE210" s="1078"/>
      <c r="AF210" s="2153">
        <v>11</v>
      </c>
    </row>
    <row s="47496" customFormat="1" customHeight="1" ht="11.549999999999999">
      <c r="A211" s="1499"/>
      <c r="B211" s="2148"/>
      <c r="C211" s="2148"/>
      <c r="D211" s="863"/>
      <c r="K211" s="1672"/>
      <c r="L211" s="2148"/>
      <c r="M211" s="2148"/>
      <c r="N211" s="1672"/>
      <c r="O211" s="1672"/>
      <c r="P211" s="1672"/>
      <c r="Q211" s="1672"/>
      <c r="R211" s="2148"/>
      <c r="S211" s="1672"/>
      <c r="T211" s="1672"/>
      <c r="U211" s="1056"/>
      <c r="V211" s="1672"/>
      <c r="W211" s="1672"/>
      <c r="X211" s="1672"/>
      <c r="Y211" s="1672"/>
      <c r="Z211" s="1672"/>
      <c r="AA211" s="2144"/>
      <c r="AB211" s="1078"/>
      <c r="AC211" s="1078"/>
      <c r="AD211" s="1078"/>
      <c r="AE211" s="1078"/>
      <c r="AF211" s="2153">
        <v>11</v>
      </c>
    </row>
    <row s="47496" customFormat="1" customHeight="1" ht="11.549999999999999">
      <c r="A212" s="1499"/>
      <c r="B212" s="2148"/>
      <c r="C212" s="2148"/>
      <c r="D212" s="863"/>
      <c r="K212" s="1672"/>
      <c r="L212" s="2148"/>
      <c r="M212" s="2148"/>
      <c r="N212" s="1672"/>
      <c r="O212" s="1672"/>
      <c r="P212" s="1672"/>
      <c r="Q212" s="1672"/>
      <c r="R212" s="2148"/>
      <c r="S212" s="1672"/>
      <c r="T212" s="1672"/>
      <c r="U212" s="1056"/>
      <c r="V212" s="1672"/>
      <c r="W212" s="1672"/>
      <c r="X212" s="1672"/>
      <c r="Y212" s="1672"/>
      <c r="Z212" s="1672"/>
      <c r="AA212" s="2144"/>
      <c r="AB212" s="1078"/>
      <c r="AC212" s="1078"/>
      <c r="AD212" s="1078"/>
      <c r="AE212" s="1078"/>
      <c r="AF212" s="2153">
        <v>11</v>
      </c>
    </row>
    <row s="47496" customFormat="1" customHeight="1" ht="11.549999999999999">
      <c r="A213" s="1499"/>
      <c r="B213" s="2148"/>
      <c r="C213" s="2148"/>
      <c r="D213" s="863"/>
      <c r="K213" s="1672"/>
      <c r="L213" s="2148"/>
      <c r="M213" s="2148"/>
      <c r="N213" s="1672"/>
      <c r="O213" s="1672"/>
      <c r="P213" s="1672"/>
      <c r="Q213" s="1672"/>
      <c r="R213" s="2148"/>
      <c r="S213" s="1672"/>
      <c r="T213" s="1672"/>
      <c r="U213" s="1056"/>
      <c r="V213" s="1672"/>
      <c r="W213" s="1672"/>
      <c r="X213" s="1672"/>
      <c r="Y213" s="1672"/>
      <c r="Z213" s="1672"/>
      <c r="AA213" s="2144"/>
      <c r="AB213" s="1078"/>
      <c r="AC213" s="1078"/>
      <c r="AD213" s="1078"/>
      <c r="AE213" s="1078"/>
      <c r="AF213" s="2153">
        <v>11</v>
      </c>
    </row>
    <row s="47496" customFormat="1" customHeight="1" ht="11.549999999999999">
      <c r="A214" s="1499"/>
      <c r="B214" s="2148"/>
      <c r="C214" s="2148"/>
      <c r="D214" s="863"/>
      <c r="K214" s="1672"/>
      <c r="L214" s="2148"/>
      <c r="M214" s="2148"/>
      <c r="N214" s="1672"/>
      <c r="O214" s="1672"/>
      <c r="P214" s="1672"/>
      <c r="Q214" s="1672"/>
      <c r="R214" s="2148"/>
      <c r="S214" s="1672"/>
      <c r="T214" s="1672"/>
      <c r="U214" s="1056"/>
      <c r="V214" s="1672"/>
      <c r="W214" s="1672"/>
      <c r="X214" s="1672"/>
      <c r="Y214" s="1672"/>
      <c r="Z214" s="1672"/>
      <c r="AA214" s="2144"/>
      <c r="AB214" s="1078"/>
      <c r="AC214" s="1078"/>
      <c r="AD214" s="1078"/>
      <c r="AE214" s="1078"/>
      <c r="AF214" s="2153">
        <v>11</v>
      </c>
    </row>
    <row s="47496" customFormat="1" customHeight="1" ht="11.549999999999999">
      <c r="A215" s="1499"/>
      <c r="B215" s="2148"/>
      <c r="C215" s="2148"/>
      <c r="D215" s="863"/>
      <c r="K215" s="1672"/>
      <c r="L215" s="2148"/>
      <c r="M215" s="2148"/>
      <c r="N215" s="1672"/>
      <c r="O215" s="1672"/>
      <c r="P215" s="1672"/>
      <c r="Q215" s="1672"/>
      <c r="R215" s="2148"/>
      <c r="S215" s="1672"/>
      <c r="T215" s="1672"/>
      <c r="U215" s="1056"/>
      <c r="V215" s="1672"/>
      <c r="W215" s="1672"/>
      <c r="X215" s="1672"/>
      <c r="Y215" s="1672"/>
      <c r="Z215" s="1672"/>
      <c r="AA215" s="2144"/>
      <c r="AB215" s="1078"/>
      <c r="AC215" s="1078"/>
      <c r="AD215" s="1078"/>
      <c r="AE215" s="1078"/>
      <c r="AF215" s="2153">
        <v>11</v>
      </c>
    </row>
    <row s="47496" customFormat="1" customHeight="1" ht="11.549999999999999">
      <c r="A216" s="1499"/>
      <c r="B216" s="2148"/>
      <c r="C216" s="2148"/>
      <c r="D216" s="863"/>
      <c r="K216" s="1672"/>
      <c r="L216" s="2148"/>
      <c r="M216" s="2148"/>
      <c r="N216" s="1672"/>
      <c r="O216" s="1672"/>
      <c r="P216" s="1672"/>
      <c r="Q216" s="1672"/>
      <c r="R216" s="2148"/>
      <c r="S216" s="1672"/>
      <c r="T216" s="1672"/>
      <c r="U216" s="1056"/>
      <c r="V216" s="1672"/>
      <c r="W216" s="1672"/>
      <c r="X216" s="1672"/>
      <c r="Y216" s="1672"/>
      <c r="Z216" s="1672"/>
      <c r="AA216" s="2144"/>
      <c r="AB216" s="1078"/>
      <c r="AC216" s="1078"/>
      <c r="AD216" s="1078"/>
      <c r="AE216" s="1078"/>
      <c r="AF216" s="2153">
        <v>11</v>
      </c>
    </row>
    <row s="47496" customFormat="1" customHeight="1" ht="11.549999999999999">
      <c r="A217" s="1499"/>
      <c r="B217" s="2148"/>
      <c r="C217" s="2148"/>
      <c r="D217" s="863"/>
      <c r="K217" s="1672"/>
      <c r="L217" s="2148"/>
      <c r="M217" s="2148"/>
      <c r="N217" s="1672"/>
      <c r="O217" s="1672"/>
      <c r="P217" s="1672"/>
      <c r="Q217" s="1672"/>
      <c r="R217" s="2148"/>
      <c r="S217" s="1672"/>
      <c r="T217" s="1672"/>
      <c r="U217" s="1056"/>
      <c r="V217" s="1672"/>
      <c r="W217" s="1672"/>
      <c r="X217" s="1672"/>
      <c r="Y217" s="1672"/>
      <c r="Z217" s="1672"/>
      <c r="AA217" s="2144"/>
      <c r="AB217" s="1078"/>
      <c r="AC217" s="1078"/>
      <c r="AD217" s="1078"/>
      <c r="AE217" s="1078"/>
      <c r="AF217" s="2153">
        <v>11</v>
      </c>
    </row>
    <row s="47496" customFormat="1" customHeight="1" ht="11.549999999999999">
      <c r="A218" s="1499"/>
      <c r="B218" s="2148"/>
      <c r="C218" s="2148"/>
      <c r="D218" s="863"/>
      <c r="K218" s="1672"/>
      <c r="L218" s="2148"/>
      <c r="M218" s="2148"/>
      <c r="N218" s="1672"/>
      <c r="O218" s="1672"/>
      <c r="P218" s="1672"/>
      <c r="Q218" s="1672"/>
      <c r="R218" s="2148"/>
      <c r="S218" s="1672"/>
      <c r="T218" s="1672"/>
      <c r="U218" s="1056"/>
      <c r="V218" s="1672"/>
      <c r="W218" s="1672"/>
      <c r="X218" s="1672"/>
      <c r="Y218" s="1672"/>
      <c r="Z218" s="1672"/>
      <c r="AA218" s="2144"/>
      <c r="AB218" s="1078"/>
      <c r="AC218" s="1078"/>
      <c r="AD218" s="1078"/>
      <c r="AE218" s="1078"/>
      <c r="AF218" s="2153">
        <v>11</v>
      </c>
    </row>
    <row s="47496" customFormat="1" customHeight="1" ht="11.549999999999999">
      <c r="A219" s="1499"/>
      <c r="B219" s="2148"/>
      <c r="C219" s="2148"/>
      <c r="D219" s="863"/>
      <c r="K219" s="1672"/>
      <c r="L219" s="2148"/>
      <c r="M219" s="2148"/>
      <c r="N219" s="1672"/>
      <c r="O219" s="1672"/>
      <c r="P219" s="1672"/>
      <c r="Q219" s="1672"/>
      <c r="R219" s="2148"/>
      <c r="S219" s="1672"/>
      <c r="T219" s="1672"/>
      <c r="U219" s="1056"/>
      <c r="V219" s="1672"/>
      <c r="W219" s="1672"/>
      <c r="X219" s="1672"/>
      <c r="Y219" s="1672"/>
      <c r="Z219" s="1672"/>
      <c r="AA219" s="2144"/>
      <c r="AB219" s="1078"/>
      <c r="AC219" s="1078"/>
      <c r="AD219" s="1078"/>
      <c r="AE219" s="1078"/>
      <c r="AF219" s="2153">
        <v>11</v>
      </c>
    </row>
    <row s="47496" customFormat="1" customHeight="1" ht="11.549999999999999">
      <c r="A220" s="1499"/>
      <c r="B220" s="2148"/>
      <c r="C220" s="2148"/>
      <c r="D220" s="863"/>
      <c r="K220" s="1672"/>
      <c r="L220" s="2148"/>
      <c r="M220" s="2148"/>
      <c r="N220" s="1672"/>
      <c r="O220" s="1672"/>
      <c r="P220" s="1672"/>
      <c r="Q220" s="1672"/>
      <c r="R220" s="2148"/>
      <c r="S220" s="1672"/>
      <c r="T220" s="1672"/>
      <c r="U220" s="1056"/>
      <c r="V220" s="1672"/>
      <c r="W220" s="1672"/>
      <c r="X220" s="1672"/>
      <c r="Y220" s="1672"/>
      <c r="Z220" s="1672"/>
      <c r="AA220" s="2144"/>
      <c r="AB220" s="1078"/>
      <c r="AC220" s="1078"/>
      <c r="AD220" s="1078"/>
      <c r="AE220" s="1078"/>
      <c r="AF220" s="2153">
        <v>11</v>
      </c>
    </row>
    <row s="47496" customFormat="1" customHeight="1" ht="11.549999999999999">
      <c r="A221" s="1499"/>
      <c r="B221" s="2148"/>
      <c r="C221" s="2148"/>
      <c r="D221" s="863"/>
      <c r="K221" s="1672"/>
      <c r="L221" s="2148"/>
      <c r="M221" s="2148"/>
      <c r="N221" s="1672"/>
      <c r="O221" s="1672"/>
      <c r="P221" s="1672"/>
      <c r="Q221" s="1672"/>
      <c r="R221" s="2148"/>
      <c r="S221" s="1672"/>
      <c r="T221" s="1672"/>
      <c r="U221" s="1056"/>
      <c r="V221" s="1672"/>
      <c r="W221" s="1672"/>
      <c r="X221" s="1672"/>
      <c r="Y221" s="1672"/>
      <c r="Z221" s="1672"/>
      <c r="AA221" s="2144"/>
      <c r="AB221" s="1078"/>
      <c r="AC221" s="1078"/>
      <c r="AD221" s="1078"/>
      <c r="AE221" s="1078"/>
      <c r="AF221" s="2153">
        <v>11</v>
      </c>
    </row>
    <row s="47496" customFormat="1" customHeight="1" ht="11.549999999999999">
      <c r="A222" s="1499"/>
      <c r="B222" s="2148"/>
      <c r="C222" s="2148"/>
      <c r="D222" s="863"/>
      <c r="K222" s="1672"/>
      <c r="L222" s="2148"/>
      <c r="M222" s="2148"/>
      <c r="N222" s="1672"/>
      <c r="O222" s="1672"/>
      <c r="P222" s="1672"/>
      <c r="Q222" s="1672"/>
      <c r="R222" s="2148"/>
      <c r="S222" s="1672"/>
      <c r="T222" s="1672"/>
      <c r="U222" s="1056"/>
      <c r="V222" s="1672"/>
      <c r="W222" s="1672"/>
      <c r="X222" s="1672"/>
      <c r="Y222" s="1672"/>
      <c r="Z222" s="1672"/>
      <c r="AA222" s="2144"/>
      <c r="AB222" s="1078"/>
      <c r="AC222" s="1078"/>
      <c r="AD222" s="1078"/>
      <c r="AE222" s="1078"/>
      <c r="AF222" s="2153">
        <v>11</v>
      </c>
    </row>
    <row s="47496" customFormat="1" customHeight="1" ht="11.549999999999999">
      <c r="A223" s="1499"/>
      <c r="B223" s="2148"/>
      <c r="C223" s="2148"/>
      <c r="D223" s="863"/>
      <c r="K223" s="1672"/>
      <c r="L223" s="2148"/>
      <c r="M223" s="2148"/>
      <c r="N223" s="1672"/>
      <c r="O223" s="1672"/>
      <c r="P223" s="1672"/>
      <c r="Q223" s="1672"/>
      <c r="R223" s="2148"/>
      <c r="S223" s="1672"/>
      <c r="T223" s="1672"/>
      <c r="U223" s="1056"/>
      <c r="V223" s="1672"/>
      <c r="W223" s="1672"/>
      <c r="X223" s="1672"/>
      <c r="Y223" s="1672"/>
      <c r="Z223" s="1672"/>
      <c r="AA223" s="2144"/>
      <c r="AB223" s="1078"/>
      <c r="AC223" s="1078"/>
      <c r="AD223" s="1078"/>
      <c r="AE223" s="1078"/>
      <c r="AF223" s="2153">
        <v>11</v>
      </c>
    </row>
    <row s="47496" customFormat="1" customHeight="1" ht="11.549999999999999">
      <c r="A224" s="1499"/>
      <c r="B224" s="2148"/>
      <c r="C224" s="2148"/>
      <c r="D224" s="863"/>
      <c r="K224" s="1672"/>
      <c r="L224" s="2148"/>
      <c r="M224" s="2148"/>
      <c r="N224" s="1672"/>
      <c r="O224" s="1672"/>
      <c r="P224" s="1672"/>
      <c r="Q224" s="1672"/>
      <c r="R224" s="2148"/>
      <c r="S224" s="1672"/>
      <c r="T224" s="1672"/>
      <c r="U224" s="1056"/>
      <c r="V224" s="1672"/>
      <c r="W224" s="1672"/>
      <c r="X224" s="1672"/>
      <c r="Y224" s="1672"/>
      <c r="Z224" s="1672"/>
      <c r="AA224" s="2144"/>
      <c r="AB224" s="1078"/>
      <c r="AC224" s="1078"/>
      <c r="AD224" s="1078"/>
      <c r="AE224" s="1078"/>
      <c r="AF224" s="2153">
        <v>11</v>
      </c>
    </row>
    <row s="47496" customFormat="1" customHeight="1" ht="11.549999999999999">
      <c r="A225" s="1499"/>
      <c r="B225" s="2148"/>
      <c r="C225" s="2148"/>
      <c r="D225" s="863"/>
      <c r="K225" s="1672"/>
      <c r="L225" s="2148"/>
      <c r="M225" s="2148"/>
      <c r="N225" s="1672"/>
      <c r="O225" s="1672"/>
      <c r="P225" s="1672"/>
      <c r="Q225" s="1672"/>
      <c r="R225" s="2148"/>
      <c r="S225" s="1672"/>
      <c r="T225" s="1672"/>
      <c r="U225" s="1056"/>
      <c r="V225" s="1672"/>
      <c r="W225" s="1672"/>
      <c r="X225" s="1672"/>
      <c r="Y225" s="1672"/>
      <c r="Z225" s="1672"/>
      <c r="AA225" s="2144"/>
      <c r="AB225" s="1078"/>
      <c r="AC225" s="1078"/>
      <c r="AD225" s="1078"/>
      <c r="AE225" s="1078"/>
      <c r="AF225" s="2153">
        <v>11</v>
      </c>
    </row>
    <row s="47496" customFormat="1" customHeight="1" ht="11.549999999999999">
      <c r="A226" s="1499"/>
      <c r="B226" s="2148"/>
      <c r="C226" s="2148"/>
      <c r="D226" s="863"/>
      <c r="K226" s="1672"/>
      <c r="L226" s="2148"/>
      <c r="M226" s="2148"/>
      <c r="N226" s="1672"/>
      <c r="O226" s="1672"/>
      <c r="P226" s="1672"/>
      <c r="Q226" s="1672"/>
      <c r="R226" s="2148"/>
      <c r="S226" s="1672"/>
      <c r="T226" s="1672"/>
      <c r="U226" s="1056"/>
      <c r="V226" s="1672"/>
      <c r="W226" s="1672"/>
      <c r="X226" s="1672"/>
      <c r="Y226" s="1672"/>
      <c r="Z226" s="1672"/>
      <c r="AA226" s="2144"/>
      <c r="AB226" s="1078"/>
      <c r="AC226" s="1078"/>
      <c r="AD226" s="1078"/>
      <c r="AE226" s="1078"/>
      <c r="AF226" s="2153">
        <v>11</v>
      </c>
    </row>
    <row s="47496" customFormat="1" customHeight="1" ht="11.549999999999999">
      <c r="A227" s="1499"/>
      <c r="B227" s="2148"/>
      <c r="C227" s="2148"/>
      <c r="D227" s="863"/>
      <c r="K227" s="1672"/>
      <c r="L227" s="2148"/>
      <c r="M227" s="2148"/>
      <c r="N227" s="1672"/>
      <c r="O227" s="1672"/>
      <c r="P227" s="1672"/>
      <c r="Q227" s="1672"/>
      <c r="R227" s="2148"/>
      <c r="S227" s="1672"/>
      <c r="T227" s="1672"/>
      <c r="U227" s="1056"/>
      <c r="V227" s="1672"/>
      <c r="W227" s="1672"/>
      <c r="X227" s="1672"/>
      <c r="Y227" s="1672"/>
      <c r="Z227" s="1672"/>
      <c r="AA227" s="2144"/>
      <c r="AB227" s="1078"/>
      <c r="AC227" s="1078"/>
      <c r="AD227" s="1078"/>
      <c r="AE227" s="1078"/>
      <c r="AF227" s="2153">
        <v>11</v>
      </c>
    </row>
    <row s="47496" customFormat="1" customHeight="1" ht="11.549999999999999">
      <c r="A228" s="1499"/>
      <c r="B228" s="2148"/>
      <c r="C228" s="2148"/>
      <c r="D228" s="863"/>
      <c r="K228" s="1672"/>
      <c r="L228" s="2148"/>
      <c r="M228" s="2148"/>
      <c r="N228" s="1672"/>
      <c r="O228" s="1672"/>
      <c r="P228" s="1672"/>
      <c r="Q228" s="1672"/>
      <c r="R228" s="2148"/>
      <c r="S228" s="1672"/>
      <c r="T228" s="1672"/>
      <c r="U228" s="1056"/>
      <c r="V228" s="1672"/>
      <c r="W228" s="1672"/>
      <c r="X228" s="1672"/>
      <c r="Y228" s="1672"/>
      <c r="Z228" s="1672"/>
      <c r="AA228" s="2144"/>
      <c r="AB228" s="1078"/>
      <c r="AC228" s="1078"/>
      <c r="AD228" s="1078"/>
      <c r="AE228" s="1078"/>
      <c r="AF228" s="2153">
        <v>11</v>
      </c>
    </row>
    <row s="47496" customFormat="1" customHeight="1" ht="11.549999999999999">
      <c r="A229" s="1499"/>
      <c r="B229" s="2148"/>
      <c r="C229" s="2148"/>
      <c r="D229" s="863"/>
      <c r="K229" s="1672"/>
      <c r="L229" s="2148"/>
      <c r="M229" s="2148"/>
      <c r="N229" s="1672"/>
      <c r="O229" s="1672"/>
      <c r="P229" s="1672"/>
      <c r="Q229" s="1672"/>
      <c r="R229" s="2148"/>
      <c r="S229" s="1672"/>
      <c r="T229" s="1672"/>
      <c r="U229" s="1056"/>
      <c r="V229" s="1672"/>
      <c r="W229" s="1672"/>
      <c r="X229" s="1672"/>
      <c r="Y229" s="1672"/>
      <c r="Z229" s="1672"/>
      <c r="AA229" s="2144"/>
      <c r="AB229" s="1078"/>
      <c r="AC229" s="1078"/>
      <c r="AD229" s="1078"/>
      <c r="AE229" s="1078"/>
      <c r="AF229" s="2153">
        <v>11</v>
      </c>
    </row>
    <row s="47496" customFormat="1" customHeight="1" ht="11.549999999999999">
      <c r="A230" s="1499"/>
      <c r="B230" s="2148"/>
      <c r="C230" s="2148"/>
      <c r="D230" s="863"/>
      <c r="K230" s="1672"/>
      <c r="L230" s="2148"/>
      <c r="M230" s="2148"/>
      <c r="N230" s="1672"/>
      <c r="O230" s="1672"/>
      <c r="P230" s="1672"/>
      <c r="Q230" s="1672"/>
      <c r="R230" s="2148"/>
      <c r="S230" s="1672"/>
      <c r="T230" s="1672"/>
      <c r="U230" s="1056"/>
      <c r="V230" s="1672"/>
      <c r="W230" s="1672"/>
      <c r="X230" s="1672"/>
      <c r="Y230" s="1672"/>
      <c r="Z230" s="1672"/>
      <c r="AA230" s="2144"/>
      <c r="AB230" s="1078"/>
      <c r="AC230" s="1078"/>
      <c r="AD230" s="1078"/>
      <c r="AE230" s="1078"/>
      <c r="AF230" s="2153">
        <v>11</v>
      </c>
    </row>
    <row s="47496" customFormat="1" customHeight="1" ht="11.549999999999999">
      <c r="A231" s="1499"/>
      <c r="B231" s="2148"/>
      <c r="C231" s="2148"/>
      <c r="D231" s="863"/>
      <c r="K231" s="1672"/>
      <c r="L231" s="2148"/>
      <c r="M231" s="2148"/>
      <c r="N231" s="1672"/>
      <c r="O231" s="1672"/>
      <c r="P231" s="1672"/>
      <c r="Q231" s="1672"/>
      <c r="R231" s="2148"/>
      <c r="S231" s="1672"/>
      <c r="T231" s="1672"/>
      <c r="U231" s="1056"/>
      <c r="V231" s="1672"/>
      <c r="W231" s="1672"/>
      <c r="X231" s="1672"/>
      <c r="Y231" s="1672"/>
      <c r="Z231" s="1672"/>
      <c r="AA231" s="2144"/>
      <c r="AB231" s="1078"/>
      <c r="AC231" s="1078"/>
      <c r="AD231" s="1078"/>
      <c r="AE231" s="1078"/>
      <c r="AF231" s="2153">
        <v>11</v>
      </c>
    </row>
    <row s="47496" customFormat="1" customHeight="1" ht="11.549999999999999">
      <c r="A232" s="1499"/>
      <c r="B232" s="2148"/>
      <c r="C232" s="2148"/>
      <c r="D232" s="863"/>
      <c r="K232" s="1672"/>
      <c r="L232" s="2148"/>
      <c r="M232" s="2148"/>
      <c r="N232" s="1672"/>
      <c r="O232" s="1672"/>
      <c r="P232" s="1672"/>
      <c r="Q232" s="1672"/>
      <c r="R232" s="2148"/>
      <c r="S232" s="1672"/>
      <c r="T232" s="1672"/>
      <c r="U232" s="1056"/>
      <c r="V232" s="1672"/>
      <c r="W232" s="1672"/>
      <c r="X232" s="1672"/>
      <c r="Y232" s="1672"/>
      <c r="Z232" s="1672"/>
      <c r="AA232" s="2144"/>
      <c r="AB232" s="1078"/>
      <c r="AC232" s="1078"/>
      <c r="AD232" s="1078"/>
      <c r="AE232" s="1078"/>
      <c r="AF232" s="2153">
        <v>11</v>
      </c>
    </row>
    <row s="47496" customFormat="1" customHeight="1" ht="11.549999999999999">
      <c r="A233" s="1499"/>
      <c r="B233" s="2148"/>
      <c r="C233" s="2148"/>
      <c r="D233" s="863"/>
      <c r="K233" s="1672"/>
      <c r="L233" s="2148"/>
      <c r="M233" s="2148"/>
      <c r="N233" s="1672"/>
      <c r="O233" s="1672"/>
      <c r="P233" s="1672"/>
      <c r="Q233" s="1672"/>
      <c r="R233" s="2148"/>
      <c r="S233" s="1672"/>
      <c r="T233" s="1672"/>
      <c r="U233" s="1056"/>
      <c r="V233" s="1672"/>
      <c r="W233" s="1672"/>
      <c r="X233" s="1672"/>
      <c r="Y233" s="1672"/>
      <c r="Z233" s="1672"/>
      <c r="AA233" s="2144"/>
      <c r="AB233" s="1078"/>
      <c r="AC233" s="1078"/>
      <c r="AD233" s="1078"/>
      <c r="AE233" s="1078"/>
      <c r="AF233" s="2153">
        <v>11</v>
      </c>
    </row>
    <row s="47496" customFormat="1" customHeight="1" ht="11.549999999999999">
      <c r="A234" s="1499"/>
      <c r="B234" s="2148"/>
      <c r="C234" s="2148"/>
      <c r="D234" s="863"/>
      <c r="K234" s="1672"/>
      <c r="L234" s="2148"/>
      <c r="M234" s="2148"/>
      <c r="N234" s="1672"/>
      <c r="O234" s="1672"/>
      <c r="P234" s="1672"/>
      <c r="Q234" s="1672"/>
      <c r="R234" s="2148"/>
      <c r="S234" s="1672"/>
      <c r="T234" s="1672"/>
      <c r="U234" s="1056"/>
      <c r="V234" s="1672"/>
      <c r="W234" s="1672"/>
      <c r="X234" s="1672"/>
      <c r="Y234" s="1672"/>
      <c r="Z234" s="1672"/>
      <c r="AA234" s="2144"/>
      <c r="AB234" s="1078"/>
      <c r="AC234" s="1078"/>
      <c r="AD234" s="1078"/>
      <c r="AE234" s="1078"/>
      <c r="AF234" s="2153">
        <v>11</v>
      </c>
    </row>
    <row s="47496" customFormat="1" customHeight="1" ht="11.549999999999999">
      <c r="A235" s="1499"/>
      <c r="B235" s="2148"/>
      <c r="C235" s="2148"/>
      <c r="D235" s="863"/>
      <c r="K235" s="1672"/>
      <c r="L235" s="2148"/>
      <c r="M235" s="2148"/>
      <c r="N235" s="1672"/>
      <c r="O235" s="1672"/>
      <c r="P235" s="1672"/>
      <c r="Q235" s="1672"/>
      <c r="R235" s="2148"/>
      <c r="S235" s="1672"/>
      <c r="T235" s="1672"/>
      <c r="U235" s="1056"/>
      <c r="V235" s="1672"/>
      <c r="W235" s="1672"/>
      <c r="X235" s="1672"/>
      <c r="Y235" s="1672"/>
      <c r="Z235" s="1672"/>
      <c r="AA235" s="2144"/>
      <c r="AB235" s="1078"/>
      <c r="AC235" s="1078"/>
      <c r="AD235" s="1078"/>
      <c r="AE235" s="1078"/>
      <c r="AF235" s="2153">
        <v>11</v>
      </c>
    </row>
    <row s="47496" customFormat="1" customHeight="1" ht="11.549999999999999">
      <c r="A236" s="1499"/>
      <c r="B236" s="2148"/>
      <c r="C236" s="2148"/>
      <c r="D236" s="863"/>
      <c r="K236" s="1672"/>
      <c r="L236" s="2148"/>
      <c r="M236" s="2148"/>
      <c r="N236" s="1672"/>
      <c r="O236" s="1672"/>
      <c r="P236" s="1672"/>
      <c r="Q236" s="1672"/>
      <c r="R236" s="2148"/>
      <c r="S236" s="1672"/>
      <c r="T236" s="1672"/>
      <c r="U236" s="1056"/>
      <c r="V236" s="1672"/>
      <c r="W236" s="1672"/>
      <c r="X236" s="1672"/>
      <c r="Y236" s="1672"/>
      <c r="Z236" s="1672"/>
      <c r="AA236" s="2144"/>
      <c r="AB236" s="1078"/>
      <c r="AC236" s="1078"/>
      <c r="AD236" s="1078"/>
      <c r="AE236" s="1078"/>
      <c r="AF236" s="2153">
        <v>11</v>
      </c>
    </row>
    <row s="47496" customFormat="1" customHeight="1" ht="11.549999999999999">
      <c r="A237" s="1499"/>
      <c r="B237" s="2148"/>
      <c r="C237" s="2148"/>
      <c r="D237" s="863"/>
      <c r="K237" s="1672"/>
      <c r="L237" s="2148"/>
      <c r="M237" s="2148"/>
      <c r="N237" s="1672"/>
      <c r="O237" s="1672"/>
      <c r="P237" s="1672"/>
      <c r="Q237" s="1672"/>
      <c r="R237" s="2148"/>
      <c r="S237" s="1672"/>
      <c r="T237" s="1672"/>
      <c r="U237" s="1056"/>
      <c r="V237" s="1672"/>
      <c r="W237" s="1672"/>
      <c r="X237" s="1672"/>
      <c r="Y237" s="1672"/>
      <c r="Z237" s="1672"/>
      <c r="AA237" s="2144"/>
      <c r="AB237" s="1078"/>
      <c r="AC237" s="1078"/>
      <c r="AD237" s="1078"/>
      <c r="AE237" s="1078"/>
      <c r="AF237" s="2153">
        <v>11</v>
      </c>
    </row>
    <row s="47496" customFormat="1" customHeight="1" ht="11.549999999999999">
      <c r="A238" s="1499"/>
      <c r="B238" s="2148"/>
      <c r="C238" s="2148"/>
      <c r="D238" s="863"/>
      <c r="K238" s="1672"/>
      <c r="L238" s="2148"/>
      <c r="M238" s="2148"/>
      <c r="N238" s="1672"/>
      <c r="O238" s="1672"/>
      <c r="P238" s="1672"/>
      <c r="Q238" s="1672"/>
      <c r="R238" s="2148"/>
      <c r="S238" s="1672"/>
      <c r="T238" s="1672"/>
      <c r="U238" s="1056"/>
      <c r="V238" s="1672"/>
      <c r="W238" s="1672"/>
      <c r="X238" s="1672"/>
      <c r="Y238" s="1672"/>
      <c r="Z238" s="1672"/>
      <c r="AA238" s="2144"/>
      <c r="AB238" s="1078"/>
      <c r="AC238" s="1078"/>
      <c r="AD238" s="1078"/>
      <c r="AE238" s="1078"/>
      <c r="AF238" s="2153">
        <v>11</v>
      </c>
    </row>
    <row s="47496" customFormat="1" customHeight="1" ht="11.549999999999999">
      <c r="A239" s="1499"/>
      <c r="B239" s="2148"/>
      <c r="C239" s="2148"/>
      <c r="D239" s="863"/>
      <c r="K239" s="1672"/>
      <c r="L239" s="2148"/>
      <c r="M239" s="2148"/>
      <c r="N239" s="1672"/>
      <c r="O239" s="1672"/>
      <c r="P239" s="1672"/>
      <c r="Q239" s="1672"/>
      <c r="R239" s="2148"/>
      <c r="S239" s="1672"/>
      <c r="T239" s="1672"/>
      <c r="U239" s="1056"/>
      <c r="V239" s="1672"/>
      <c r="W239" s="1672"/>
      <c r="X239" s="1672"/>
      <c r="Y239" s="1672"/>
      <c r="Z239" s="1672"/>
      <c r="AA239" s="2144"/>
      <c r="AB239" s="1078"/>
      <c r="AC239" s="1078"/>
      <c r="AD239" s="1078"/>
      <c r="AE239" s="1078"/>
      <c r="AF239" s="2153">
        <v>11</v>
      </c>
    </row>
    <row s="47496" customFormat="1" customHeight="1" ht="11.549999999999999">
      <c r="A240" s="1499"/>
      <c r="B240" s="2148"/>
      <c r="C240" s="2148"/>
      <c r="D240" s="863"/>
      <c r="K240" s="1672"/>
      <c r="L240" s="2148"/>
      <c r="M240" s="2148"/>
      <c r="N240" s="1672"/>
      <c r="O240" s="1672"/>
      <c r="P240" s="1672"/>
      <c r="Q240" s="1672"/>
      <c r="R240" s="2148"/>
      <c r="S240" s="1672"/>
      <c r="T240" s="1672"/>
      <c r="U240" s="1056"/>
      <c r="V240" s="1672"/>
      <c r="W240" s="1672"/>
      <c r="X240" s="1672"/>
      <c r="Y240" s="1672"/>
      <c r="Z240" s="1672"/>
      <c r="AA240" s="2144"/>
      <c r="AB240" s="1078"/>
      <c r="AC240" s="1078"/>
      <c r="AD240" s="1078"/>
      <c r="AE240" s="1078"/>
      <c r="AF240" s="2153">
        <v>11</v>
      </c>
    </row>
    <row s="47496" customFormat="1" customHeight="1" ht="11.549999999999999">
      <c r="A241" s="1499"/>
      <c r="B241" s="2148"/>
      <c r="C241" s="2148"/>
      <c r="D241" s="863"/>
      <c r="K241" s="1672"/>
      <c r="L241" s="2148"/>
      <c r="M241" s="2148"/>
      <c r="N241" s="1672"/>
      <c r="O241" s="1672"/>
      <c r="P241" s="1672"/>
      <c r="Q241" s="1672"/>
      <c r="R241" s="2148"/>
      <c r="S241" s="1672"/>
      <c r="T241" s="1672"/>
      <c r="U241" s="1056"/>
      <c r="V241" s="1672"/>
      <c r="W241" s="1672"/>
      <c r="X241" s="1672"/>
      <c r="Y241" s="1672"/>
      <c r="Z241" s="1672"/>
      <c r="AA241" s="2144"/>
      <c r="AB241" s="1078"/>
      <c r="AC241" s="1078"/>
      <c r="AD241" s="1078"/>
      <c r="AE241" s="1078"/>
      <c r="AF241" s="2153">
        <v>11</v>
      </c>
    </row>
    <row s="47496" customFormat="1" customHeight="1" ht="11.549999999999999">
      <c r="A242" s="1499"/>
      <c r="B242" s="2148"/>
      <c r="C242" s="2148"/>
      <c r="D242" s="863"/>
      <c r="K242" s="1672"/>
      <c r="L242" s="2148"/>
      <c r="M242" s="2148"/>
      <c r="N242" s="1672"/>
      <c r="O242" s="1672"/>
      <c r="P242" s="1672"/>
      <c r="Q242" s="1672"/>
      <c r="R242" s="2148"/>
      <c r="S242" s="1672"/>
      <c r="T242" s="1672"/>
      <c r="U242" s="1056"/>
      <c r="V242" s="1672"/>
      <c r="W242" s="1672"/>
      <c r="X242" s="1672"/>
      <c r="Y242" s="1672"/>
      <c r="Z242" s="1672"/>
      <c r="AA242" s="2144"/>
      <c r="AB242" s="1078"/>
      <c r="AC242" s="1078"/>
      <c r="AD242" s="1078"/>
      <c r="AE242" s="1078"/>
      <c r="AF242" s="2153">
        <v>11</v>
      </c>
    </row>
    <row s="47496" customFormat="1" customHeight="1" ht="11.549999999999999">
      <c r="A243" s="1499"/>
      <c r="B243" s="2148"/>
      <c r="C243" s="2148"/>
      <c r="D243" s="863"/>
      <c r="K243" s="1672"/>
      <c r="L243" s="2148"/>
      <c r="M243" s="2148"/>
      <c r="N243" s="1672"/>
      <c r="O243" s="1672"/>
      <c r="P243" s="1672"/>
      <c r="Q243" s="1672"/>
      <c r="R243" s="2148"/>
      <c r="S243" s="1672"/>
      <c r="T243" s="1672"/>
      <c r="U243" s="1056"/>
      <c r="V243" s="1672"/>
      <c r="W243" s="1672"/>
      <c r="X243" s="1672"/>
      <c r="Y243" s="1672"/>
      <c r="Z243" s="1672"/>
      <c r="AA243" s="2144"/>
      <c r="AB243" s="1078"/>
      <c r="AC243" s="1078"/>
      <c r="AD243" s="1078"/>
      <c r="AE243" s="1078"/>
      <c r="AF243" s="2153">
        <v>11</v>
      </c>
    </row>
    <row s="47496" customFormat="1" customHeight="1" ht="11.549999999999999">
      <c r="A244" s="1499"/>
      <c r="B244" s="2148"/>
      <c r="C244" s="2148"/>
      <c r="D244" s="863"/>
      <c r="K244" s="1672"/>
      <c r="L244" s="2148"/>
      <c r="M244" s="2148"/>
      <c r="N244" s="1672"/>
      <c r="O244" s="1672"/>
      <c r="P244" s="1672"/>
      <c r="Q244" s="1672"/>
      <c r="R244" s="2148"/>
      <c r="S244" s="1672"/>
      <c r="T244" s="1672"/>
      <c r="U244" s="1056"/>
      <c r="V244" s="1672"/>
      <c r="W244" s="1672"/>
      <c r="X244" s="1672"/>
      <c r="Y244" s="1672"/>
      <c r="Z244" s="1672"/>
      <c r="AA244" s="2144"/>
      <c r="AB244" s="1078"/>
      <c r="AC244" s="1078"/>
      <c r="AD244" s="1078"/>
      <c r="AE244" s="1078"/>
      <c r="AF244" s="2153">
        <v>11</v>
      </c>
    </row>
    <row s="47496" customFormat="1" customHeight="1" ht="11.549999999999999">
      <c r="A245" s="1499"/>
      <c r="B245" s="2148"/>
      <c r="C245" s="2148"/>
      <c r="D245" s="863"/>
      <c r="K245" s="1672"/>
      <c r="L245" s="2148"/>
      <c r="M245" s="2148"/>
      <c r="N245" s="1672"/>
      <c r="O245" s="1672"/>
      <c r="P245" s="1672"/>
      <c r="Q245" s="1672"/>
      <c r="R245" s="2148"/>
      <c r="S245" s="1672"/>
      <c r="T245" s="1672"/>
      <c r="U245" s="1056"/>
      <c r="V245" s="1672"/>
      <c r="W245" s="1672"/>
      <c r="X245" s="1672"/>
      <c r="Y245" s="1672"/>
      <c r="Z245" s="1672"/>
      <c r="AA245" s="2144"/>
      <c r="AB245" s="1078"/>
      <c r="AC245" s="1078"/>
      <c r="AD245" s="1078"/>
      <c r="AE245" s="1078"/>
      <c r="AF245" s="2153">
        <v>11</v>
      </c>
    </row>
    <row s="47496" customFormat="1" customHeight="1" ht="11.549999999999999">
      <c r="A246" s="1499"/>
      <c r="B246" s="2148"/>
      <c r="C246" s="2148"/>
      <c r="D246" s="863"/>
      <c r="K246" s="1672"/>
      <c r="L246" s="2148"/>
      <c r="M246" s="2148"/>
      <c r="N246" s="1672"/>
      <c r="O246" s="1672"/>
      <c r="P246" s="1672"/>
      <c r="Q246" s="1672"/>
      <c r="R246" s="2148"/>
      <c r="S246" s="1672"/>
      <c r="T246" s="1672"/>
      <c r="U246" s="1056"/>
      <c r="V246" s="1672"/>
      <c r="W246" s="1672"/>
      <c r="X246" s="1672"/>
      <c r="Y246" s="1672"/>
      <c r="Z246" s="1672"/>
      <c r="AA246" s="2144"/>
      <c r="AB246" s="1078"/>
      <c r="AC246" s="1078"/>
      <c r="AD246" s="1078"/>
      <c r="AE246" s="1078"/>
      <c r="AF246" s="2153">
        <v>11</v>
      </c>
    </row>
    <row s="47496" customFormat="1" customHeight="1" ht="11.549999999999999">
      <c r="A247" s="1499"/>
      <c r="B247" s="2148"/>
      <c r="C247" s="2148"/>
      <c r="D247" s="863"/>
      <c r="K247" s="1672"/>
      <c r="L247" s="2148"/>
      <c r="M247" s="2148"/>
      <c r="N247" s="1672"/>
      <c r="O247" s="1672"/>
      <c r="P247" s="1672"/>
      <c r="Q247" s="1672"/>
      <c r="R247" s="2148"/>
      <c r="S247" s="1672"/>
      <c r="T247" s="1672"/>
      <c r="U247" s="1056"/>
      <c r="V247" s="1672"/>
      <c r="W247" s="1672"/>
      <c r="X247" s="1672"/>
      <c r="Y247" s="1672"/>
      <c r="Z247" s="1672"/>
      <c r="AA247" s="2144"/>
      <c r="AB247" s="1078"/>
      <c r="AC247" s="1078"/>
      <c r="AD247" s="1078"/>
      <c r="AE247" s="1078"/>
      <c r="AF247" s="2153">
        <v>11</v>
      </c>
    </row>
    <row s="47496" customFormat="1" customHeight="1" ht="11.549999999999999">
      <c r="A248" s="1499"/>
      <c r="B248" s="2148"/>
      <c r="C248" s="2148"/>
      <c r="D248" s="863"/>
      <c r="K248" s="1672"/>
      <c r="L248" s="2148"/>
      <c r="M248" s="2148"/>
      <c r="N248" s="1672"/>
      <c r="O248" s="1672"/>
      <c r="P248" s="1672"/>
      <c r="Q248" s="1672"/>
      <c r="R248" s="2148"/>
      <c r="S248" s="1672"/>
      <c r="T248" s="1672"/>
      <c r="U248" s="1056"/>
      <c r="V248" s="1672"/>
      <c r="W248" s="1672"/>
      <c r="X248" s="1672"/>
      <c r="Y248" s="1672"/>
      <c r="Z248" s="1672"/>
      <c r="AA248" s="2144"/>
      <c r="AB248" s="1078"/>
      <c r="AC248" s="1078"/>
      <c r="AD248" s="1078"/>
      <c r="AE248" s="1078"/>
      <c r="AF248" s="2153">
        <v>11</v>
      </c>
    </row>
    <row s="47496" customFormat="1" customHeight="1" ht="11.549999999999999">
      <c r="A249" s="1499"/>
      <c r="B249" s="2148"/>
      <c r="C249" s="2148"/>
      <c r="D249" s="863"/>
      <c r="K249" s="1672"/>
      <c r="L249" s="2148"/>
      <c r="M249" s="2148"/>
      <c r="N249" s="1672"/>
      <c r="O249" s="1672"/>
      <c r="P249" s="1672"/>
      <c r="Q249" s="1672"/>
      <c r="R249" s="2148"/>
      <c r="S249" s="1672"/>
      <c r="T249" s="1672"/>
      <c r="U249" s="1056"/>
      <c r="V249" s="1672"/>
      <c r="W249" s="1672"/>
      <c r="X249" s="1672"/>
      <c r="Y249" s="1672"/>
      <c r="Z249" s="1672"/>
      <c r="AA249" s="2144"/>
      <c r="AB249" s="1078"/>
      <c r="AC249" s="1078"/>
      <c r="AD249" s="1078"/>
      <c r="AE249" s="1078"/>
      <c r="AF249" s="2153">
        <v>11</v>
      </c>
    </row>
    <row s="47496" customFormat="1" customHeight="1" ht="11.549999999999999">
      <c r="A250" s="1499"/>
      <c r="B250" s="2148"/>
      <c r="C250" s="2148"/>
      <c r="D250" s="863"/>
      <c r="K250" s="1672"/>
      <c r="L250" s="2148"/>
      <c r="M250" s="2148"/>
      <c r="N250" s="1672"/>
      <c r="O250" s="1672"/>
      <c r="P250" s="1672"/>
      <c r="Q250" s="1672"/>
      <c r="R250" s="2148"/>
      <c r="S250" s="1672"/>
      <c r="T250" s="1672"/>
      <c r="U250" s="1056"/>
      <c r="V250" s="1672"/>
      <c r="W250" s="1672"/>
      <c r="X250" s="1672"/>
      <c r="Y250" s="1672"/>
      <c r="Z250" s="1672"/>
      <c r="AA250" s="2144"/>
      <c r="AB250" s="1078"/>
      <c r="AC250" s="1078"/>
      <c r="AD250" s="1078"/>
      <c r="AE250" s="1078"/>
      <c r="AF250" s="2153">
        <v>11</v>
      </c>
    </row>
    <row s="47496" customFormat="1" customHeight="1" ht="11.549999999999999">
      <c r="A251" s="1499"/>
      <c r="B251" s="2148"/>
      <c r="C251" s="2148"/>
      <c r="D251" s="863"/>
      <c r="K251" s="1672"/>
      <c r="L251" s="2148"/>
      <c r="M251" s="2148"/>
      <c r="N251" s="1672"/>
      <c r="O251" s="1672"/>
      <c r="P251" s="1672"/>
      <c r="Q251" s="1672"/>
      <c r="R251" s="2148"/>
      <c r="S251" s="1672"/>
      <c r="T251" s="1672"/>
      <c r="U251" s="1056"/>
      <c r="V251" s="1672"/>
      <c r="W251" s="1672"/>
      <c r="X251" s="1672"/>
      <c r="Y251" s="1672"/>
      <c r="Z251" s="1672"/>
      <c r="AA251" s="2144"/>
      <c r="AB251" s="1078"/>
      <c r="AC251" s="1078"/>
      <c r="AD251" s="1078"/>
      <c r="AE251" s="1078"/>
      <c r="AF251" s="2153">
        <v>11</v>
      </c>
    </row>
    <row s="47496" customFormat="1" customHeight="1" ht="11.549999999999999">
      <c r="A252" s="1499"/>
      <c r="B252" s="2148"/>
      <c r="C252" s="2148"/>
      <c r="D252" s="863"/>
      <c r="K252" s="1672"/>
      <c r="L252" s="2148"/>
      <c r="M252" s="2148"/>
      <c r="N252" s="1672"/>
      <c r="O252" s="1672"/>
      <c r="P252" s="1672"/>
      <c r="Q252" s="1672"/>
      <c r="R252" s="2148"/>
      <c r="S252" s="1672"/>
      <c r="T252" s="1672"/>
      <c r="U252" s="1056"/>
      <c r="V252" s="1672"/>
      <c r="W252" s="1672"/>
      <c r="X252" s="1672"/>
      <c r="Y252" s="1672"/>
      <c r="Z252" s="1672"/>
      <c r="AA252" s="2144"/>
      <c r="AB252" s="1078"/>
      <c r="AC252" s="1078"/>
      <c r="AD252" s="1078"/>
      <c r="AE252" s="1078"/>
      <c r="AF252" s="2153">
        <v>11</v>
      </c>
    </row>
    <row s="47496" customFormat="1" customHeight="1" ht="11.549999999999999">
      <c r="A253" s="1499"/>
      <c r="B253" s="2148"/>
      <c r="C253" s="2148"/>
      <c r="D253" s="863"/>
      <c r="K253" s="1672"/>
      <c r="L253" s="2148"/>
      <c r="M253" s="2148"/>
      <c r="N253" s="1672"/>
      <c r="O253" s="1672"/>
      <c r="P253" s="1672"/>
      <c r="Q253" s="1672"/>
      <c r="R253" s="2148"/>
      <c r="S253" s="1672"/>
      <c r="T253" s="1672"/>
      <c r="U253" s="1056"/>
      <c r="V253" s="1672"/>
      <c r="W253" s="1672"/>
      <c r="X253" s="1672"/>
      <c r="Y253" s="1672"/>
      <c r="Z253" s="1672"/>
      <c r="AA253" s="2144"/>
      <c r="AB253" s="1078"/>
      <c r="AC253" s="1078"/>
      <c r="AD253" s="1078"/>
      <c r="AE253" s="1078"/>
      <c r="AF253" s="2153">
        <v>11</v>
      </c>
    </row>
    <row s="47496" customFormat="1" customHeight="1" ht="11.549999999999999">
      <c r="A254" s="1499"/>
      <c r="B254" s="2148"/>
      <c r="C254" s="2148"/>
      <c r="D254" s="863"/>
      <c r="K254" s="1672"/>
      <c r="L254" s="2148"/>
      <c r="M254" s="2148"/>
      <c r="N254" s="1672"/>
      <c r="O254" s="1672"/>
      <c r="P254" s="1672"/>
      <c r="Q254" s="1672"/>
      <c r="R254" s="2148"/>
      <c r="S254" s="1672"/>
      <c r="T254" s="1672"/>
      <c r="U254" s="1056"/>
      <c r="V254" s="1672"/>
      <c r="W254" s="1672"/>
      <c r="X254" s="1672"/>
      <c r="Y254" s="1672"/>
      <c r="Z254" s="1672"/>
      <c r="AA254" s="2144"/>
      <c r="AB254" s="1078"/>
      <c r="AC254" s="1078"/>
      <c r="AD254" s="1078"/>
      <c r="AE254" s="1078"/>
      <c r="AF254" s="2153">
        <v>11</v>
      </c>
    </row>
    <row s="47496" customFormat="1" customHeight="1" ht="11.549999999999999">
      <c r="A255" s="1499"/>
      <c r="B255" s="2148"/>
      <c r="C255" s="2148"/>
      <c r="D255" s="863"/>
      <c r="K255" s="1672"/>
      <c r="L255" s="2148"/>
      <c r="M255" s="2148"/>
      <c r="N255" s="1672"/>
      <c r="O255" s="1672"/>
      <c r="P255" s="1672"/>
      <c r="Q255" s="1672"/>
      <c r="R255" s="2148"/>
      <c r="S255" s="1672"/>
      <c r="T255" s="1672"/>
      <c r="U255" s="1056"/>
      <c r="V255" s="1672"/>
      <c r="W255" s="1672"/>
      <c r="X255" s="1672"/>
      <c r="Y255" s="1672"/>
      <c r="Z255" s="1672"/>
      <c r="AA255" s="2144"/>
      <c r="AB255" s="1078"/>
      <c r="AC255" s="1078"/>
      <c r="AD255" s="1078"/>
      <c r="AE255" s="1078"/>
      <c r="AF255" s="2153">
        <v>11</v>
      </c>
    </row>
    <row s="47496" customFormat="1" customHeight="1" ht="11.549999999999999">
      <c r="A256" s="1499"/>
      <c r="B256" s="2148"/>
      <c r="C256" s="2148"/>
      <c r="D256" s="863"/>
      <c r="K256" s="1672"/>
      <c r="L256" s="2148"/>
      <c r="M256" s="2148"/>
      <c r="N256" s="1672"/>
      <c r="O256" s="1672"/>
      <c r="P256" s="1672"/>
      <c r="Q256" s="1672"/>
      <c r="R256" s="2148"/>
      <c r="S256" s="1672"/>
      <c r="T256" s="1672"/>
      <c r="U256" s="1056"/>
      <c r="V256" s="1672"/>
      <c r="W256" s="1672"/>
      <c r="X256" s="1672"/>
      <c r="Y256" s="1672"/>
      <c r="Z256" s="1672"/>
      <c r="AA256" s="2144"/>
      <c r="AB256" s="1078"/>
      <c r="AC256" s="1078"/>
      <c r="AD256" s="1078"/>
      <c r="AE256" s="1078"/>
      <c r="AF256" s="2153">
        <v>11</v>
      </c>
    </row>
    <row s="47496" customFormat="1" customHeight="1" ht="11.549999999999999">
      <c r="A257" s="1499"/>
      <c r="B257" s="2148"/>
      <c r="C257" s="2148"/>
      <c r="D257" s="863"/>
      <c r="K257" s="1672"/>
      <c r="L257" s="2148"/>
      <c r="M257" s="2148"/>
      <c r="N257" s="1672"/>
      <c r="O257" s="1672"/>
      <c r="P257" s="1672"/>
      <c r="Q257" s="1672"/>
      <c r="R257" s="2148"/>
      <c r="S257" s="1672"/>
      <c r="T257" s="1672"/>
      <c r="U257" s="1056"/>
      <c r="V257" s="1672"/>
      <c r="W257" s="1672"/>
      <c r="X257" s="1672"/>
      <c r="Y257" s="1672"/>
      <c r="Z257" s="1672"/>
      <c r="AA257" s="2144"/>
      <c r="AB257" s="1078"/>
      <c r="AC257" s="1078"/>
      <c r="AD257" s="1078"/>
      <c r="AE257" s="1078"/>
      <c r="AF257" s="2153">
        <v>11</v>
      </c>
    </row>
    <row s="47496" customFormat="1" customHeight="1" ht="11.549999999999999">
      <c r="A258" s="1499"/>
      <c r="B258" s="2148"/>
      <c r="C258" s="2148"/>
      <c r="D258" s="863"/>
      <c r="K258" s="1672"/>
      <c r="L258" s="2148"/>
      <c r="M258" s="2148"/>
      <c r="N258" s="1672"/>
      <c r="O258" s="1672"/>
      <c r="P258" s="1672"/>
      <c r="Q258" s="1672"/>
      <c r="R258" s="2148"/>
      <c r="S258" s="1672"/>
      <c r="T258" s="1672"/>
      <c r="U258" s="1056"/>
      <c r="V258" s="1672"/>
      <c r="W258" s="1672"/>
      <c r="X258" s="1672"/>
      <c r="Y258" s="1672"/>
      <c r="Z258" s="1672"/>
      <c r="AA258" s="2144"/>
      <c r="AB258" s="1078"/>
      <c r="AC258" s="1078"/>
      <c r="AD258" s="1078"/>
      <c r="AE258" s="1078"/>
      <c r="AF258" s="2153">
        <v>11</v>
      </c>
    </row>
    <row s="47496" customFormat="1" customHeight="1" ht="11.549999999999999">
      <c r="A259" s="1499"/>
      <c r="B259" s="2148"/>
      <c r="C259" s="2148"/>
      <c r="D259" s="863"/>
      <c r="K259" s="1672"/>
      <c r="L259" s="2148"/>
      <c r="M259" s="2148"/>
      <c r="N259" s="1672"/>
      <c r="O259" s="1672"/>
      <c r="P259" s="1672"/>
      <c r="Q259" s="1672"/>
      <c r="R259" s="2148"/>
      <c r="S259" s="1672"/>
      <c r="T259" s="1672"/>
      <c r="U259" s="1056"/>
      <c r="V259" s="1672"/>
      <c r="W259" s="1672"/>
      <c r="X259" s="1672"/>
      <c r="Y259" s="1672"/>
      <c r="Z259" s="1672"/>
      <c r="AA259" s="2144"/>
      <c r="AB259" s="1078"/>
      <c r="AC259" s="1078"/>
      <c r="AD259" s="1078"/>
      <c r="AE259" s="1078"/>
      <c r="AF259" s="2153">
        <v>11</v>
      </c>
    </row>
    <row s="47496" customFormat="1" customHeight="1" ht="11.549999999999999">
      <c r="A260" s="1499"/>
      <c r="B260" s="2148"/>
      <c r="C260" s="2148"/>
      <c r="D260" s="863"/>
      <c r="K260" s="1672"/>
      <c r="L260" s="2148"/>
      <c r="M260" s="2148"/>
      <c r="N260" s="1672"/>
      <c r="O260" s="1672"/>
      <c r="P260" s="1672"/>
      <c r="Q260" s="1672"/>
      <c r="R260" s="2148"/>
      <c r="S260" s="1672"/>
      <c r="T260" s="1672"/>
      <c r="U260" s="1056"/>
      <c r="V260" s="1672"/>
      <c r="W260" s="1672"/>
      <c r="X260" s="1672"/>
      <c r="Y260" s="1672"/>
      <c r="Z260" s="1672"/>
      <c r="AA260" s="2144"/>
      <c r="AB260" s="1078"/>
      <c r="AC260" s="1078"/>
      <c r="AD260" s="1078"/>
      <c r="AE260" s="1078"/>
      <c r="AF260" s="2153">
        <v>11</v>
      </c>
    </row>
    <row s="47496" customFormat="1" customHeight="1" ht="11.549999999999999">
      <c r="A261" s="1499"/>
      <c r="B261" s="2148"/>
      <c r="C261" s="2148"/>
      <c r="D261" s="863"/>
      <c r="K261" s="1672"/>
      <c r="L261" s="2148"/>
      <c r="M261" s="2148"/>
      <c r="N261" s="1672"/>
      <c r="O261" s="1672"/>
      <c r="P261" s="1672"/>
      <c r="Q261" s="1672"/>
      <c r="R261" s="2148"/>
      <c r="S261" s="1672"/>
      <c r="T261" s="1672"/>
      <c r="U261" s="1056"/>
      <c r="V261" s="1672"/>
      <c r="W261" s="1672"/>
      <c r="X261" s="1672"/>
      <c r="Y261" s="1672"/>
      <c r="Z261" s="1672"/>
      <c r="AA261" s="2144"/>
      <c r="AB261" s="1078"/>
      <c r="AC261" s="1078"/>
      <c r="AD261" s="1078"/>
      <c r="AE261" s="1078"/>
      <c r="AF261" s="2153">
        <v>11</v>
      </c>
    </row>
    <row s="47496" customFormat="1" customHeight="1" ht="11.549999999999999">
      <c r="A262" s="1499"/>
      <c r="B262" s="2148"/>
      <c r="C262" s="2148"/>
      <c r="D262" s="863"/>
      <c r="K262" s="1672"/>
      <c r="L262" s="2148"/>
      <c r="M262" s="2148"/>
      <c r="N262" s="1672"/>
      <c r="O262" s="1672"/>
      <c r="P262" s="1672"/>
      <c r="Q262" s="1672"/>
      <c r="R262" s="2148"/>
      <c r="S262" s="1672"/>
      <c r="T262" s="1672"/>
      <c r="U262" s="1056"/>
      <c r="V262" s="1672"/>
      <c r="W262" s="1672"/>
      <c r="X262" s="1672"/>
      <c r="Y262" s="1672"/>
      <c r="Z262" s="1672"/>
      <c r="AA262" s="2144"/>
      <c r="AB262" s="1078"/>
      <c r="AC262" s="1078"/>
      <c r="AD262" s="1078"/>
      <c r="AE262" s="1078"/>
      <c r="AF262" s="2153">
        <v>11</v>
      </c>
    </row>
    <row s="47496" customFormat="1" customHeight="1" ht="11.549999999999999">
      <c r="A263" s="1499"/>
      <c r="B263" s="2148"/>
      <c r="C263" s="2148"/>
      <c r="D263" s="863"/>
      <c r="K263" s="1672"/>
      <c r="L263" s="2148"/>
      <c r="M263" s="2148"/>
      <c r="N263" s="1672"/>
      <c r="O263" s="1672"/>
      <c r="P263" s="1672"/>
      <c r="Q263" s="1672"/>
      <c r="R263" s="2148"/>
      <c r="S263" s="1672"/>
      <c r="T263" s="1672"/>
      <c r="U263" s="1056"/>
      <c r="V263" s="1672"/>
      <c r="W263" s="1672"/>
      <c r="X263" s="1672"/>
      <c r="Y263" s="1672"/>
      <c r="Z263" s="1672"/>
      <c r="AA263" s="2144"/>
      <c r="AB263" s="1078"/>
      <c r="AC263" s="1078"/>
      <c r="AD263" s="1078"/>
      <c r="AE263" s="1078"/>
      <c r="AF263" s="2153">
        <v>11</v>
      </c>
    </row>
    <row s="47496" customFormat="1" customHeight="1" ht="11.549999999999999">
      <c r="A264" s="1499"/>
      <c r="B264" s="2148"/>
      <c r="C264" s="2148"/>
      <c r="D264" s="863"/>
      <c r="K264" s="1672"/>
      <c r="L264" s="2148"/>
      <c r="M264" s="2148"/>
      <c r="N264" s="1672"/>
      <c r="O264" s="1672"/>
      <c r="P264" s="1672"/>
      <c r="Q264" s="1672"/>
      <c r="R264" s="2148"/>
      <c r="S264" s="1672"/>
      <c r="T264" s="1672"/>
      <c r="U264" s="1056"/>
      <c r="V264" s="1672"/>
      <c r="W264" s="1672"/>
      <c r="X264" s="1672"/>
      <c r="Y264" s="1672"/>
      <c r="Z264" s="1672"/>
      <c r="AA264" s="2144"/>
      <c r="AB264" s="1078"/>
      <c r="AC264" s="1078"/>
      <c r="AD264" s="1078"/>
      <c r="AE264" s="1078"/>
      <c r="AF264" s="2153">
        <v>11</v>
      </c>
    </row>
    <row s="47496" customFormat="1" customHeight="1" ht="11.549999999999999">
      <c r="A265" s="1499"/>
      <c r="B265" s="2148"/>
      <c r="C265" s="2148"/>
      <c r="D265" s="863"/>
      <c r="K265" s="1672"/>
      <c r="L265" s="2148"/>
      <c r="M265" s="2148"/>
      <c r="N265" s="1672"/>
      <c r="O265" s="1672"/>
      <c r="P265" s="1672"/>
      <c r="Q265" s="1672"/>
      <c r="R265" s="2148"/>
      <c r="S265" s="1672"/>
      <c r="T265" s="1672"/>
      <c r="U265" s="1056"/>
      <c r="V265" s="1672"/>
      <c r="W265" s="1672"/>
      <c r="X265" s="1672"/>
      <c r="Y265" s="1672"/>
      <c r="Z265" s="1672"/>
      <c r="AA265" s="2144"/>
      <c r="AB265" s="1078"/>
      <c r="AC265" s="1078"/>
      <c r="AD265" s="1078"/>
      <c r="AE265" s="1078"/>
      <c r="AF265" s="2153">
        <v>11</v>
      </c>
    </row>
    <row s="47496" customFormat="1" customHeight="1" ht="11.549999999999999">
      <c r="A266" s="1499"/>
      <c r="B266" s="2148"/>
      <c r="C266" s="2148"/>
      <c r="D266" s="863"/>
      <c r="K266" s="1672"/>
      <c r="L266" s="2148"/>
      <c r="M266" s="2148"/>
      <c r="N266" s="1672"/>
      <c r="O266" s="1672"/>
      <c r="P266" s="1672"/>
      <c r="Q266" s="1672"/>
      <c r="R266" s="2148"/>
      <c r="S266" s="1672"/>
      <c r="T266" s="1672"/>
      <c r="U266" s="1056"/>
      <c r="V266" s="1672"/>
      <c r="W266" s="1672"/>
      <c r="X266" s="1672"/>
      <c r="Y266" s="1672"/>
      <c r="Z266" s="1672"/>
      <c r="AA266" s="2144"/>
      <c r="AB266" s="1078"/>
      <c r="AC266" s="1078"/>
      <c r="AD266" s="1078"/>
      <c r="AE266" s="1078"/>
      <c r="AF266" s="2153">
        <v>11</v>
      </c>
    </row>
    <row s="47496" customFormat="1" customHeight="1" ht="11.549999999999999">
      <c r="A267" s="1499"/>
      <c r="B267" s="2148"/>
      <c r="C267" s="2148"/>
      <c r="D267" s="863"/>
      <c r="K267" s="1672"/>
      <c r="L267" s="2148"/>
      <c r="M267" s="2148"/>
      <c r="N267" s="1672"/>
      <c r="O267" s="1672"/>
      <c r="P267" s="1672"/>
      <c r="Q267" s="1672"/>
      <c r="R267" s="2148"/>
      <c r="S267" s="1672"/>
      <c r="T267" s="1672"/>
      <c r="U267" s="1056"/>
      <c r="V267" s="1672"/>
      <c r="W267" s="1672"/>
      <c r="X267" s="1672"/>
      <c r="Y267" s="1672"/>
      <c r="Z267" s="1672"/>
      <c r="AA267" s="2144"/>
      <c r="AB267" s="1078"/>
      <c r="AC267" s="1078"/>
      <c r="AD267" s="1078"/>
      <c r="AE267" s="1078"/>
      <c r="AF267" s="2153">
        <v>11</v>
      </c>
    </row>
    <row s="47496" customFormat="1" customHeight="1" ht="11.549999999999999">
      <c r="A268" s="1499"/>
      <c r="B268" s="2148"/>
      <c r="C268" s="2148"/>
      <c r="D268" s="863"/>
      <c r="K268" s="1672"/>
      <c r="L268" s="2148"/>
      <c r="M268" s="2148"/>
      <c r="N268" s="1672"/>
      <c r="O268" s="1672"/>
      <c r="P268" s="1672"/>
      <c r="Q268" s="1672"/>
      <c r="R268" s="2148"/>
      <c r="S268" s="1672"/>
      <c r="T268" s="1672"/>
      <c r="U268" s="1056"/>
      <c r="V268" s="1672"/>
      <c r="W268" s="1672"/>
      <c r="X268" s="1672"/>
      <c r="Y268" s="1672"/>
      <c r="Z268" s="1672"/>
      <c r="AA268" s="2144"/>
      <c r="AB268" s="1078"/>
      <c r="AC268" s="1078"/>
      <c r="AD268" s="1078"/>
      <c r="AE268" s="1078"/>
      <c r="AF268" s="2153">
        <v>11</v>
      </c>
    </row>
    <row s="47496" customFormat="1" customHeight="1" ht="11.549999999999999">
      <c r="A269" s="1499"/>
      <c r="B269" s="2148"/>
      <c r="C269" s="2148"/>
      <c r="D269" s="863"/>
      <c r="K269" s="1672"/>
      <c r="L269" s="2148"/>
      <c r="M269" s="2148"/>
      <c r="N269" s="1672"/>
      <c r="O269" s="1672"/>
      <c r="P269" s="1672"/>
      <c r="Q269" s="1672"/>
      <c r="R269" s="2148"/>
      <c r="S269" s="1672"/>
      <c r="T269" s="1672"/>
      <c r="U269" s="1056"/>
      <c r="V269" s="1672"/>
      <c r="W269" s="1672"/>
      <c r="X269" s="1672"/>
      <c r="Y269" s="1672"/>
      <c r="Z269" s="1672"/>
      <c r="AA269" s="2144"/>
      <c r="AB269" s="1078"/>
      <c r="AC269" s="1078"/>
      <c r="AD269" s="1078"/>
      <c r="AE269" s="1078"/>
      <c r="AF269" s="2153">
        <v>11</v>
      </c>
    </row>
    <row s="47496" customFormat="1" customHeight="1" ht="11.549999999999999">
      <c r="A270" s="1499"/>
      <c r="B270" s="2148"/>
      <c r="C270" s="2148"/>
      <c r="D270" s="863"/>
      <c r="K270" s="1672"/>
      <c r="L270" s="2148"/>
      <c r="M270" s="2148"/>
      <c r="N270" s="1672"/>
      <c r="O270" s="1672"/>
      <c r="P270" s="1672"/>
      <c r="Q270" s="1672"/>
      <c r="R270" s="2148"/>
      <c r="S270" s="1672"/>
      <c r="T270" s="1672"/>
      <c r="U270" s="1056"/>
      <c r="V270" s="1672"/>
      <c r="W270" s="1672"/>
      <c r="X270" s="1672"/>
      <c r="Y270" s="1672"/>
      <c r="Z270" s="1672"/>
      <c r="AA270" s="2144"/>
      <c r="AB270" s="1078"/>
      <c r="AC270" s="1078"/>
      <c r="AD270" s="1078"/>
      <c r="AE270" s="1078"/>
      <c r="AF270" s="2153">
        <v>11</v>
      </c>
    </row>
    <row s="47496" customFormat="1" customHeight="1" ht="11.549999999999999">
      <c r="A271" s="1499"/>
      <c r="B271" s="2148"/>
      <c r="C271" s="2148"/>
      <c r="D271" s="863"/>
      <c r="K271" s="1672"/>
      <c r="L271" s="2148"/>
      <c r="M271" s="2148"/>
      <c r="N271" s="1672"/>
      <c r="O271" s="1672"/>
      <c r="P271" s="1672"/>
      <c r="Q271" s="1672"/>
      <c r="R271" s="2148"/>
      <c r="S271" s="1672"/>
      <c r="T271" s="1672"/>
      <c r="U271" s="1056"/>
      <c r="V271" s="1672"/>
      <c r="W271" s="1672"/>
      <c r="X271" s="1672"/>
      <c r="Y271" s="1672"/>
      <c r="Z271" s="1672"/>
      <c r="AA271" s="2144"/>
      <c r="AB271" s="1078"/>
      <c r="AC271" s="1078"/>
      <c r="AD271" s="1078"/>
      <c r="AE271" s="1078"/>
      <c r="AF271" s="2153">
        <v>11</v>
      </c>
    </row>
    <row s="47496" customFormat="1" customHeight="1" ht="11.549999999999999">
      <c r="A272" s="1499"/>
      <c r="B272" s="2148"/>
      <c r="C272" s="2148"/>
      <c r="D272" s="863"/>
      <c r="K272" s="1672"/>
      <c r="L272" s="2148"/>
      <c r="M272" s="2148"/>
      <c r="N272" s="1672"/>
      <c r="O272" s="1672"/>
      <c r="P272" s="1672"/>
      <c r="Q272" s="1672"/>
      <c r="R272" s="2148"/>
      <c r="S272" s="1672"/>
      <c r="T272" s="1672"/>
      <c r="U272" s="1056"/>
      <c r="V272" s="1672"/>
      <c r="W272" s="1672"/>
      <c r="X272" s="1672"/>
      <c r="Y272" s="1672"/>
      <c r="Z272" s="1672"/>
      <c r="AA272" s="2144"/>
      <c r="AB272" s="1078"/>
      <c r="AC272" s="1078"/>
      <c r="AD272" s="1078"/>
      <c r="AE272" s="1078"/>
      <c r="AF272" s="2153">
        <v>11</v>
      </c>
    </row>
    <row s="47496" customFormat="1" customHeight="1" ht="11.549999999999999">
      <c r="A273" s="1499"/>
      <c r="B273" s="2148"/>
      <c r="C273" s="2148"/>
      <c r="D273" s="863"/>
      <c r="K273" s="1672"/>
      <c r="L273" s="2148"/>
      <c r="M273" s="2148"/>
      <c r="N273" s="1672"/>
      <c r="O273" s="1672"/>
      <c r="P273" s="1672"/>
      <c r="Q273" s="1672"/>
      <c r="R273" s="2148"/>
      <c r="S273" s="1672"/>
      <c r="T273" s="1672"/>
      <c r="U273" s="1056"/>
      <c r="V273" s="1672"/>
      <c r="W273" s="1672"/>
      <c r="X273" s="1672"/>
      <c r="Y273" s="1672"/>
      <c r="Z273" s="1672"/>
      <c r="AA273" s="2144"/>
      <c r="AB273" s="1078"/>
      <c r="AC273" s="1078"/>
      <c r="AD273" s="1078"/>
      <c r="AE273" s="1078"/>
      <c r="AF273" s="2153">
        <v>11</v>
      </c>
    </row>
    <row s="47496" customFormat="1" customHeight="1" ht="11.549999999999999">
      <c r="A274" s="1499"/>
      <c r="B274" s="2148"/>
      <c r="C274" s="2148"/>
      <c r="D274" s="863"/>
      <c r="K274" s="1672"/>
      <c r="L274" s="2148"/>
      <c r="M274" s="2148"/>
      <c r="N274" s="1672"/>
      <c r="O274" s="1672"/>
      <c r="P274" s="1672"/>
      <c r="Q274" s="1672"/>
      <c r="R274" s="2148"/>
      <c r="S274" s="1672"/>
      <c r="T274" s="1672"/>
      <c r="U274" s="1056"/>
      <c r="V274" s="1672"/>
      <c r="W274" s="1672"/>
      <c r="X274" s="1672"/>
      <c r="Y274" s="1672"/>
      <c r="Z274" s="1672"/>
      <c r="AA274" s="2144"/>
      <c r="AB274" s="1078"/>
      <c r="AC274" s="1078"/>
      <c r="AD274" s="1078"/>
      <c r="AE274" s="1078"/>
      <c r="AF274" s="2153">
        <v>11</v>
      </c>
    </row>
    <row s="47496" customFormat="1" customHeight="1" ht="11.549999999999999">
      <c r="A275" s="1499"/>
      <c r="B275" s="2148"/>
      <c r="C275" s="2148"/>
      <c r="D275" s="863"/>
      <c r="K275" s="1672"/>
      <c r="L275" s="2148"/>
      <c r="M275" s="2148"/>
      <c r="N275" s="1672"/>
      <c r="O275" s="1672"/>
      <c r="P275" s="1672"/>
      <c r="Q275" s="1672"/>
      <c r="R275" s="2148"/>
      <c r="S275" s="1672"/>
      <c r="T275" s="1672"/>
      <c r="U275" s="1056"/>
      <c r="V275" s="1672"/>
      <c r="W275" s="1672"/>
      <c r="X275" s="1672"/>
      <c r="Y275" s="1672"/>
      <c r="Z275" s="1672"/>
      <c r="AA275" s="2144"/>
      <c r="AB275" s="1078"/>
      <c r="AC275" s="1078"/>
      <c r="AD275" s="1078"/>
      <c r="AE275" s="1078"/>
      <c r="AF275" s="2153">
        <v>11</v>
      </c>
    </row>
    <row s="47496" customFormat="1" customHeight="1" ht="11.549999999999999">
      <c r="A276" s="1499"/>
      <c r="B276" s="2148"/>
      <c r="C276" s="2148"/>
      <c r="D276" s="863"/>
      <c r="K276" s="1672"/>
      <c r="L276" s="2148"/>
      <c r="M276" s="2148"/>
      <c r="N276" s="1672"/>
      <c r="O276" s="1672"/>
      <c r="P276" s="1672"/>
      <c r="Q276" s="1672"/>
      <c r="R276" s="2148"/>
      <c r="S276" s="1672"/>
      <c r="T276" s="1672"/>
      <c r="U276" s="1056"/>
      <c r="V276" s="1672"/>
      <c r="W276" s="1672"/>
      <c r="X276" s="1672"/>
      <c r="Y276" s="1672"/>
      <c r="Z276" s="1672"/>
      <c r="AA276" s="2144"/>
      <c r="AB276" s="1078"/>
      <c r="AC276" s="1078"/>
      <c r="AD276" s="1078"/>
      <c r="AE276" s="1078"/>
      <c r="AF276" s="2153">
        <v>11</v>
      </c>
    </row>
    <row s="47496" customFormat="1" customHeight="1" ht="11.549999999999999">
      <c r="A277" s="1499"/>
      <c r="B277" s="2148"/>
      <c r="C277" s="2148"/>
      <c r="D277" s="863"/>
      <c r="K277" s="1672"/>
      <c r="L277" s="2148"/>
      <c r="M277" s="2148"/>
      <c r="N277" s="1672"/>
      <c r="O277" s="1672"/>
      <c r="P277" s="1672"/>
      <c r="Q277" s="1672"/>
      <c r="R277" s="2148"/>
      <c r="S277" s="1672"/>
      <c r="T277" s="1672"/>
      <c r="U277" s="1056"/>
      <c r="V277" s="1672"/>
      <c r="W277" s="1672"/>
      <c r="X277" s="1672"/>
      <c r="Y277" s="1672"/>
      <c r="Z277" s="1672"/>
      <c r="AA277" s="2144"/>
      <c r="AB277" s="1078"/>
      <c r="AC277" s="1078"/>
      <c r="AD277" s="1078"/>
      <c r="AE277" s="1078"/>
      <c r="AF277" s="2153">
        <v>11</v>
      </c>
    </row>
    <row s="47496" customFormat="1" customHeight="1" ht="11.549999999999999">
      <c r="A278" s="1499"/>
      <c r="B278" s="2148"/>
      <c r="C278" s="2148"/>
      <c r="D278" s="863"/>
      <c r="K278" s="1672"/>
      <c r="L278" s="2148"/>
      <c r="M278" s="2148"/>
      <c r="N278" s="1672"/>
      <c r="O278" s="1672"/>
      <c r="P278" s="1672"/>
      <c r="Q278" s="1672"/>
      <c r="R278" s="2148"/>
      <c r="S278" s="1672"/>
      <c r="T278" s="1672"/>
      <c r="U278" s="1056"/>
      <c r="V278" s="1672"/>
      <c r="W278" s="1672"/>
      <c r="X278" s="1672"/>
      <c r="Y278" s="1672"/>
      <c r="Z278" s="1672"/>
      <c r="AA278" s="2144"/>
      <c r="AB278" s="1078"/>
      <c r="AC278" s="1078"/>
      <c r="AD278" s="1078"/>
      <c r="AE278" s="1078"/>
      <c r="AF278" s="2153">
        <v>11</v>
      </c>
    </row>
    <row s="47496" customFormat="1" customHeight="1" ht="11.549999999999999">
      <c r="A279" s="1499"/>
      <c r="B279" s="2148"/>
      <c r="C279" s="2148"/>
      <c r="D279" s="863"/>
      <c r="K279" s="1672"/>
      <c r="L279" s="2148"/>
      <c r="M279" s="2148"/>
      <c r="N279" s="1672"/>
      <c r="O279" s="1672"/>
      <c r="P279" s="1672"/>
      <c r="Q279" s="1672"/>
      <c r="R279" s="2148"/>
      <c r="S279" s="1672"/>
      <c r="T279" s="1672"/>
      <c r="U279" s="1056"/>
      <c r="V279" s="1672"/>
      <c r="W279" s="1672"/>
      <c r="X279" s="1672"/>
      <c r="Y279" s="1672"/>
      <c r="Z279" s="1672"/>
      <c r="AA279" s="2144"/>
      <c r="AB279" s="1078"/>
      <c r="AC279" s="1078"/>
      <c r="AD279" s="1078"/>
      <c r="AE279" s="1078"/>
      <c r="AF279" s="2153">
        <v>11</v>
      </c>
    </row>
    <row s="47496" customFormat="1" customHeight="1" ht="11.549999999999999">
      <c r="A280" s="1499"/>
      <c r="B280" s="2148"/>
      <c r="C280" s="2148"/>
      <c r="D280" s="863"/>
      <c r="K280" s="1672"/>
      <c r="L280" s="2148"/>
      <c r="M280" s="2148"/>
      <c r="N280" s="1672"/>
      <c r="O280" s="1672"/>
      <c r="P280" s="1672"/>
      <c r="Q280" s="1672"/>
      <c r="R280" s="2148"/>
      <c r="S280" s="1672"/>
      <c r="T280" s="1672"/>
      <c r="U280" s="1056"/>
      <c r="V280" s="1672"/>
      <c r="W280" s="1672"/>
      <c r="X280" s="1672"/>
      <c r="Y280" s="1672"/>
      <c r="Z280" s="1672"/>
      <c r="AA280" s="2144"/>
      <c r="AB280" s="1078"/>
      <c r="AC280" s="1078"/>
      <c r="AD280" s="1078"/>
      <c r="AE280" s="1078"/>
      <c r="AF280" s="2153">
        <v>11</v>
      </c>
    </row>
    <row s="47496" customFormat="1" customHeight="1" ht="11.549999999999999">
      <c r="A281" s="1499"/>
      <c r="B281" s="2148"/>
      <c r="C281" s="2148"/>
      <c r="D281" s="863"/>
      <c r="K281" s="1672"/>
      <c r="L281" s="2148"/>
      <c r="M281" s="2148"/>
      <c r="N281" s="1672"/>
      <c r="O281" s="1672"/>
      <c r="P281" s="1672"/>
      <c r="Q281" s="1672"/>
      <c r="R281" s="2148"/>
      <c r="S281" s="1672"/>
      <c r="T281" s="1672"/>
      <c r="U281" s="1056"/>
      <c r="V281" s="1672"/>
      <c r="W281" s="1672"/>
      <c r="X281" s="1672"/>
      <c r="Y281" s="1672"/>
      <c r="Z281" s="1672"/>
      <c r="AA281" s="2144"/>
      <c r="AB281" s="1078"/>
      <c r="AC281" s="1078"/>
      <c r="AD281" s="1078"/>
      <c r="AE281" s="1078"/>
      <c r="AF281" s="2153">
        <v>11</v>
      </c>
    </row>
    <row s="47496" customFormat="1" customHeight="1" ht="11.549999999999999">
      <c r="A282" s="1499"/>
      <c r="B282" s="2148"/>
      <c r="C282" s="2148"/>
      <c r="D282" s="863"/>
      <c r="K282" s="1672"/>
      <c r="L282" s="2148"/>
      <c r="M282" s="2148"/>
      <c r="N282" s="1672"/>
      <c r="O282" s="1672"/>
      <c r="P282" s="1672"/>
      <c r="Q282" s="1672"/>
      <c r="R282" s="2148"/>
      <c r="S282" s="1672"/>
      <c r="T282" s="1672"/>
      <c r="U282" s="1056"/>
      <c r="V282" s="1672"/>
      <c r="W282" s="1672"/>
      <c r="X282" s="1672"/>
      <c r="Y282" s="1672"/>
      <c r="Z282" s="1672"/>
      <c r="AA282" s="2144"/>
      <c r="AB282" s="1078"/>
      <c r="AC282" s="1078"/>
      <c r="AD282" s="1078"/>
      <c r="AE282" s="1078"/>
      <c r="AF282" s="2153">
        <v>11</v>
      </c>
    </row>
    <row s="47496" customFormat="1" customHeight="1" ht="11.549999999999999">
      <c r="A283" s="1499"/>
      <c r="B283" s="2148"/>
      <c r="C283" s="2148"/>
      <c r="D283" s="863"/>
      <c r="K283" s="1672"/>
      <c r="L283" s="2148"/>
      <c r="M283" s="2148"/>
      <c r="N283" s="1672"/>
      <c r="O283" s="1672"/>
      <c r="P283" s="1672"/>
      <c r="Q283" s="1672"/>
      <c r="R283" s="2148"/>
      <c r="S283" s="1672"/>
      <c r="T283" s="1672"/>
      <c r="U283" s="1056"/>
      <c r="V283" s="1672"/>
      <c r="W283" s="1672"/>
      <c r="X283" s="1672"/>
      <c r="Y283" s="1672"/>
      <c r="Z283" s="1672"/>
      <c r="AA283" s="2144"/>
      <c r="AB283" s="1078"/>
      <c r="AC283" s="1078"/>
      <c r="AD283" s="1078"/>
      <c r="AE283" s="1078"/>
      <c r="AF283" s="2153">
        <v>11</v>
      </c>
    </row>
    <row s="47496" customFormat="1" customHeight="1" ht="11.549999999999999">
      <c r="A284" s="1499"/>
      <c r="B284" s="2148"/>
      <c r="C284" s="2148"/>
      <c r="D284" s="863"/>
      <c r="K284" s="1672"/>
      <c r="L284" s="2148"/>
      <c r="M284" s="2148"/>
      <c r="N284" s="1672"/>
      <c r="O284" s="1672"/>
      <c r="P284" s="1672"/>
      <c r="Q284" s="1672"/>
      <c r="R284" s="2148"/>
      <c r="S284" s="1672"/>
      <c r="T284" s="1672"/>
      <c r="U284" s="1056"/>
      <c r="V284" s="1672"/>
      <c r="W284" s="1672"/>
      <c r="X284" s="1672"/>
      <c r="Y284" s="1672"/>
      <c r="Z284" s="1672"/>
      <c r="AA284" s="2144"/>
      <c r="AB284" s="1078"/>
      <c r="AC284" s="1078"/>
      <c r="AD284" s="1078"/>
      <c r="AE284" s="1078"/>
      <c r="AF284" s="2153">
        <v>11</v>
      </c>
    </row>
    <row s="47496" customFormat="1" customHeight="1" ht="11.549999999999999">
      <c r="A285" s="1499"/>
      <c r="B285" s="2148"/>
      <c r="C285" s="2148"/>
      <c r="D285" s="863"/>
      <c r="K285" s="1672"/>
      <c r="L285" s="2148"/>
      <c r="M285" s="2148"/>
      <c r="N285" s="1672"/>
      <c r="O285" s="1672"/>
      <c r="P285" s="1672"/>
      <c r="Q285" s="1672"/>
      <c r="R285" s="2148"/>
      <c r="S285" s="1672"/>
      <c r="T285" s="1672"/>
      <c r="U285" s="1056"/>
      <c r="V285" s="1672"/>
      <c r="W285" s="1672"/>
      <c r="X285" s="1672"/>
      <c r="Y285" s="1672"/>
      <c r="Z285" s="1672"/>
      <c r="AA285" s="2144"/>
      <c r="AB285" s="1078"/>
      <c r="AC285" s="1078"/>
      <c r="AD285" s="1078"/>
      <c r="AE285" s="1078"/>
      <c r="AF285" s="2153">
        <v>11</v>
      </c>
    </row>
    <row s="47496" customFormat="1" customHeight="1" ht="11.549999999999999">
      <c r="A286" s="1499"/>
      <c r="B286" s="2148"/>
      <c r="C286" s="2148"/>
      <c r="D286" s="863"/>
      <c r="K286" s="1672"/>
      <c r="L286" s="2148"/>
      <c r="M286" s="2148"/>
      <c r="N286" s="1672"/>
      <c r="O286" s="1672"/>
      <c r="P286" s="1672"/>
      <c r="Q286" s="1672"/>
      <c r="R286" s="2148"/>
      <c r="S286" s="1672"/>
      <c r="T286" s="1672"/>
      <c r="U286" s="1056"/>
      <c r="V286" s="1672"/>
      <c r="W286" s="1672"/>
      <c r="X286" s="1672"/>
      <c r="Y286" s="1672"/>
      <c r="Z286" s="1672"/>
      <c r="AA286" s="2144"/>
      <c r="AB286" s="1078"/>
      <c r="AC286" s="1078"/>
      <c r="AD286" s="1078"/>
      <c r="AE286" s="1078"/>
      <c r="AF286" s="2153">
        <v>11</v>
      </c>
    </row>
    <row s="47496" customFormat="1" customHeight="1" ht="11.549999999999999">
      <c r="A287" s="1499"/>
      <c r="B287" s="2148"/>
      <c r="C287" s="2148"/>
      <c r="D287" s="863"/>
      <c r="K287" s="1672"/>
      <c r="L287" s="2148"/>
      <c r="M287" s="2148"/>
      <c r="N287" s="1672"/>
      <c r="O287" s="1672"/>
      <c r="P287" s="1672"/>
      <c r="Q287" s="1672"/>
      <c r="R287" s="2148"/>
      <c r="S287" s="1672"/>
      <c r="T287" s="1672"/>
      <c r="U287" s="1056"/>
      <c r="V287" s="1672"/>
      <c r="W287" s="1672"/>
      <c r="X287" s="1672"/>
      <c r="Y287" s="1672"/>
      <c r="Z287" s="1672"/>
      <c r="AA287" s="2144"/>
      <c r="AB287" s="1078"/>
      <c r="AC287" s="1078"/>
      <c r="AD287" s="1078"/>
      <c r="AE287" s="1078"/>
      <c r="AF287" s="2153">
        <v>11</v>
      </c>
    </row>
    <row s="47496" customFormat="1" customHeight="1" ht="11.549999999999999">
      <c r="A288" s="1499"/>
      <c r="B288" s="2148"/>
      <c r="C288" s="2148"/>
      <c r="D288" s="863"/>
      <c r="K288" s="1672"/>
      <c r="L288" s="2148"/>
      <c r="M288" s="2148"/>
      <c r="N288" s="1672"/>
      <c r="O288" s="1672"/>
      <c r="P288" s="1672"/>
      <c r="Q288" s="1672"/>
      <c r="R288" s="2148"/>
      <c r="S288" s="1672"/>
      <c r="T288" s="1672"/>
      <c r="U288" s="1056"/>
      <c r="V288" s="1672"/>
      <c r="W288" s="1672"/>
      <c r="X288" s="1672"/>
      <c r="Y288" s="1672"/>
      <c r="Z288" s="1672"/>
      <c r="AA288" s="2144"/>
      <c r="AB288" s="1078"/>
      <c r="AC288" s="1078"/>
      <c r="AD288" s="1078"/>
      <c r="AE288" s="1078"/>
      <c r="AF288" s="2153">
        <v>11</v>
      </c>
    </row>
    <row customHeight="1" ht="11.549999999999999">
      <c r="AF289" s="2143">
        <v>11</v>
      </c>
    </row>
    <row customHeight="1" ht="11.549999999999999">
      <c r="AF290" s="2143">
        <v>11</v>
      </c>
    </row>
    <row customHeight="1" ht="11.549999999999999">
      <c r="AF291" s="2143">
        <v>11</v>
      </c>
    </row>
    <row customHeight="1" ht="11.549999999999999">
      <c r="A292" s="1502"/>
      <c r="B292" s="2143"/>
      <c r="D292" s="2143"/>
      <c r="K292" s="2143"/>
      <c r="N292" s="2143"/>
      <c r="O292" s="2143"/>
      <c r="P292" s="2143"/>
      <c r="Q292" s="2143"/>
      <c r="S292" s="2143"/>
      <c r="T292" s="2143"/>
      <c r="U292" s="2143"/>
      <c r="V292" s="2143"/>
      <c r="W292" s="2143"/>
      <c r="X292" s="2143"/>
      <c r="Y292" s="2143"/>
      <c r="Z292" s="2143"/>
      <c r="AA292" s="2143"/>
      <c r="AB292" s="2143"/>
      <c r="AC292" s="2143"/>
      <c r="AD292" s="2143"/>
      <c r="AE292" s="2143"/>
      <c r="AF292" s="2143">
        <v>11</v>
      </c>
    </row>
    <row customHeight="1" ht="11.549999999999999">
      <c r="A293" s="1502"/>
      <c r="B293" s="2143"/>
      <c r="D293" s="2143"/>
      <c r="K293" s="2143"/>
      <c r="N293" s="2143"/>
      <c r="O293" s="2143"/>
      <c r="P293" s="2143"/>
      <c r="Q293" s="2143"/>
      <c r="S293" s="2143"/>
      <c r="T293" s="2143"/>
      <c r="U293" s="2143"/>
      <c r="V293" s="2143"/>
      <c r="W293" s="2143"/>
      <c r="X293" s="2143"/>
      <c r="Y293" s="2143"/>
      <c r="Z293" s="2143"/>
      <c r="AA293" s="2143"/>
      <c r="AB293" s="2143"/>
      <c r="AC293" s="2143"/>
      <c r="AD293" s="2143"/>
      <c r="AE293" s="2143"/>
      <c r="AF293" s="2143">
        <v>11</v>
      </c>
    </row>
    <row customHeight="1" ht="11.549999999999999">
      <c r="A294" s="1502"/>
      <c r="B294" s="2143"/>
      <c r="D294" s="2143"/>
      <c r="K294" s="2143"/>
      <c r="N294" s="2143"/>
      <c r="O294" s="2143"/>
      <c r="P294" s="2143"/>
      <c r="Q294" s="2143"/>
      <c r="S294" s="2143"/>
      <c r="T294" s="2143"/>
      <c r="U294" s="2143"/>
      <c r="V294" s="2143"/>
      <c r="W294" s="2143"/>
      <c r="X294" s="2143"/>
      <c r="Y294" s="2143"/>
      <c r="Z294" s="2143"/>
      <c r="AA294" s="2143"/>
      <c r="AB294" s="2143"/>
      <c r="AC294" s="2143"/>
      <c r="AD294" s="2143"/>
      <c r="AE294" s="2143"/>
      <c r="AF294" s="2143">
        <v>11</v>
      </c>
    </row>
    <row customHeight="1" ht="11.549999999999999">
      <c r="A295" s="1502"/>
      <c r="B295" s="2143"/>
      <c r="D295" s="2143"/>
      <c r="K295" s="2143"/>
      <c r="N295" s="2143"/>
      <c r="O295" s="2143"/>
      <c r="P295" s="2143"/>
      <c r="Q295" s="2143"/>
      <c r="S295" s="2143"/>
      <c r="T295" s="2143"/>
      <c r="U295" s="2143"/>
      <c r="V295" s="2143"/>
      <c r="W295" s="2143"/>
      <c r="X295" s="2143"/>
      <c r="Y295" s="2143"/>
      <c r="Z295" s="2143"/>
      <c r="AA295" s="2143"/>
      <c r="AB295" s="2143"/>
      <c r="AC295" s="2143"/>
      <c r="AD295" s="2143"/>
      <c r="AE295" s="2143"/>
      <c r="AF295" s="2143">
        <v>11</v>
      </c>
    </row>
    <row customHeight="1" ht="11.549999999999999">
      <c r="A296" s="1502"/>
      <c r="B296" s="2143"/>
      <c r="D296" s="2143"/>
      <c r="K296" s="2143"/>
      <c r="N296" s="2143"/>
      <c r="O296" s="2143"/>
      <c r="P296" s="2143"/>
      <c r="Q296" s="2143"/>
      <c r="S296" s="2143"/>
      <c r="T296" s="2143"/>
      <c r="U296" s="2143"/>
      <c r="V296" s="2143"/>
      <c r="W296" s="2143"/>
      <c r="X296" s="2143"/>
      <c r="Y296" s="2143"/>
      <c r="Z296" s="2143"/>
      <c r="AA296" s="2143"/>
      <c r="AB296" s="2143"/>
      <c r="AC296" s="2143"/>
      <c r="AD296" s="2143"/>
      <c r="AE296" s="2143"/>
      <c r="AF296" s="2143">
        <v>11</v>
      </c>
    </row>
    <row customHeight="1" ht="11.549999999999999">
      <c r="A297" s="1502"/>
      <c r="B297" s="2143"/>
      <c r="D297" s="2143"/>
      <c r="K297" s="2143"/>
      <c r="N297" s="2143"/>
      <c r="O297" s="2143"/>
      <c r="P297" s="2143"/>
      <c r="Q297" s="2143"/>
      <c r="S297" s="2143"/>
      <c r="T297" s="2143"/>
      <c r="U297" s="2143"/>
      <c r="V297" s="2143"/>
      <c r="W297" s="2143"/>
      <c r="X297" s="2143"/>
      <c r="Y297" s="2143"/>
      <c r="Z297" s="2143"/>
      <c r="AA297" s="2143"/>
      <c r="AB297" s="2143"/>
      <c r="AC297" s="2143"/>
      <c r="AD297" s="2143"/>
      <c r="AE297" s="2143"/>
      <c r="AF297" s="2143">
        <v>11</v>
      </c>
    </row>
    <row customHeight="1" ht="11.549999999999999">
      <c r="A298" s="1502"/>
      <c r="B298" s="2143"/>
      <c r="D298" s="2143"/>
      <c r="K298" s="2143"/>
      <c r="N298" s="2143"/>
      <c r="O298" s="2143"/>
      <c r="P298" s="2143"/>
      <c r="Q298" s="2143"/>
      <c r="S298" s="2143"/>
      <c r="T298" s="2143"/>
      <c r="U298" s="2143"/>
      <c r="V298" s="2143"/>
      <c r="W298" s="2143"/>
      <c r="X298" s="2143"/>
      <c r="Y298" s="2143"/>
      <c r="Z298" s="2143"/>
      <c r="AA298" s="2143"/>
      <c r="AB298" s="2143"/>
      <c r="AC298" s="2143"/>
      <c r="AD298" s="2143"/>
      <c r="AE298" s="2143"/>
      <c r="AF298" s="2143">
        <v>11</v>
      </c>
    </row>
    <row customHeight="1" ht="11.549999999999999">
      <c r="A299" s="1502"/>
      <c r="B299" s="2143"/>
      <c r="D299" s="2143"/>
      <c r="K299" s="2143"/>
      <c r="N299" s="2143"/>
      <c r="O299" s="2143"/>
      <c r="P299" s="2143"/>
      <c r="Q299" s="2143"/>
      <c r="S299" s="2143"/>
      <c r="T299" s="2143"/>
      <c r="U299" s="2143"/>
      <c r="V299" s="2143"/>
      <c r="W299" s="2143"/>
      <c r="X299" s="2143"/>
      <c r="Y299" s="2143"/>
      <c r="Z299" s="2143"/>
      <c r="AA299" s="2143"/>
      <c r="AB299" s="2143"/>
      <c r="AC299" s="2143"/>
      <c r="AD299" s="2143"/>
      <c r="AE299" s="2143"/>
      <c r="AF299" s="2143">
        <v>11</v>
      </c>
    </row>
    <row customHeight="1" ht="11.549999999999999">
      <c r="A300" s="1502"/>
      <c r="B300" s="2143"/>
      <c r="D300" s="2143"/>
      <c r="K300" s="2143"/>
      <c r="N300" s="2143"/>
      <c r="O300" s="2143"/>
      <c r="P300" s="2143"/>
      <c r="Q300" s="2143"/>
      <c r="S300" s="2143"/>
      <c r="T300" s="2143"/>
      <c r="U300" s="2143"/>
      <c r="V300" s="2143"/>
      <c r="W300" s="2143"/>
      <c r="X300" s="2143"/>
      <c r="Y300" s="2143"/>
      <c r="Z300" s="2143"/>
      <c r="AA300" s="2143"/>
      <c r="AB300" s="2143"/>
      <c r="AC300" s="2143"/>
      <c r="AD300" s="2143"/>
      <c r="AE300" s="2143"/>
      <c r="AF300" s="2143">
        <v>11</v>
      </c>
    </row>
    <row customHeight="1" ht="11.549999999999999">
      <c r="A301" s="1502"/>
      <c r="B301" s="2143"/>
      <c r="D301" s="2143"/>
      <c r="K301" s="2143"/>
      <c r="N301" s="2143"/>
      <c r="O301" s="2143"/>
      <c r="P301" s="2143"/>
      <c r="Q301" s="2143"/>
      <c r="S301" s="2143"/>
      <c r="T301" s="2143"/>
      <c r="U301" s="2143"/>
      <c r="V301" s="2143"/>
      <c r="W301" s="2143"/>
      <c r="X301" s="2143"/>
      <c r="Y301" s="2143"/>
      <c r="Z301" s="2143"/>
      <c r="AA301" s="2143"/>
      <c r="AB301" s="2143"/>
      <c r="AC301" s="2143"/>
      <c r="AD301" s="2143"/>
      <c r="AE301" s="2143"/>
      <c r="AF301" s="2143">
        <v>11</v>
      </c>
    </row>
    <row customHeight="1" ht="11.549999999999999">
      <c r="A302" s="1502"/>
      <c r="B302" s="2143"/>
      <c r="D302" s="2143"/>
      <c r="K302" s="2143"/>
      <c r="N302" s="2143"/>
      <c r="O302" s="2143"/>
      <c r="P302" s="2143"/>
      <c r="Q302" s="2143"/>
      <c r="S302" s="2143"/>
      <c r="T302" s="2143"/>
      <c r="U302" s="2143"/>
      <c r="V302" s="2143"/>
      <c r="W302" s="2143"/>
      <c r="X302" s="2143"/>
      <c r="Y302" s="2143"/>
      <c r="Z302" s="2143"/>
      <c r="AA302" s="2143"/>
      <c r="AB302" s="2143"/>
      <c r="AC302" s="2143"/>
      <c r="AD302" s="2143"/>
      <c r="AE302" s="2143"/>
      <c r="AF302" s="2143">
        <v>11</v>
      </c>
    </row>
    <row customHeight="1" ht="11.25" hidden="1">
      <c r="A303" s="1499" t="s">
        <v>84</v>
      </c>
      <c r="B303" s="1672">
        <v>0</v>
      </c>
      <c r="C303" s="2148">
        <v>0</v>
      </c>
      <c r="D303" s="2147">
        <v>3</v>
      </c>
      <c r="E303" s="2143">
        <v>7</v>
      </c>
      <c r="F303" s="2143">
        <v>54</v>
      </c>
      <c r="G303" s="2143">
        <v>10</v>
      </c>
      <c r="H303" s="2143">
        <v>0</v>
      </c>
      <c r="I303" s="2143">
        <v>40</v>
      </c>
      <c r="J303" s="2143">
        <v>102</v>
      </c>
      <c r="K303" s="1672">
        <v>9</v>
      </c>
      <c r="L303" s="2148">
        <v>5</v>
      </c>
      <c r="M303" s="2148">
        <v>3</v>
      </c>
      <c r="N303" s="1672">
        <v>3</v>
      </c>
      <c r="O303" s="1672">
        <v>3</v>
      </c>
      <c r="P303" s="1672">
        <v>3</v>
      </c>
      <c r="Q303" s="1672">
        <v>3</v>
      </c>
      <c r="R303" s="2148">
        <v>10</v>
      </c>
      <c r="S303" s="1672">
        <v>34</v>
      </c>
      <c r="T303" s="1672">
        <v>9</v>
      </c>
      <c r="U303" s="1056">
        <v>8</v>
      </c>
      <c r="V303" s="1672">
        <v>8</v>
      </c>
      <c r="W303" s="1672">
        <v>8</v>
      </c>
      <c r="X303" s="1672">
        <v>8</v>
      </c>
      <c r="Y303" s="1672">
        <v>8</v>
      </c>
      <c r="Z303" s="1672">
        <v>8</v>
      </c>
      <c r="AA303" s="2144">
        <v>8</v>
      </c>
      <c r="AB303" s="2144">
        <v>8</v>
      </c>
      <c r="AC303" s="2144">
        <v>8</v>
      </c>
      <c r="AD303" s="2144">
        <v>8</v>
      </c>
      <c r="AE303" s="2144">
        <v>8</v>
      </c>
      <c r="AF303" s="2143">
        <v>11</v>
      </c>
    </row>
  </sheetData>
  <sheetProtection formatColumns="0" formatRows="0" autoFilter="0" sort="0" insertRows="0" insertColumns="1" deleteRows="0" deleteColumns="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1: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C9AA671-CF66-2D8F-64D4-B3A0B88B9DFF}" mc:Ignorable="x14ac xr xr2 xr3">
  <sheetPr>
    <tabColor theme="9" tint="-0.25"/>
  </sheetPr>
  <dimension ref="A1:CF29"/>
  <sheetViews>
    <sheetView topLeftCell="A1" showGridLines="0" zoomScale="90" workbookViewId="0">
      <selection activeCell="A1" sqref="A1"/>
    </sheetView>
  </sheetViews>
  <sheetFormatPr defaultColWidth="9.140625" customHeight="1" defaultRowHeight="11.25"/>
  <cols>
    <col min="1" max="1" style="54748" width="14.7109375" hidden="1" customWidth="1"/>
    <col min="2" max="2" style="46772" width="17.00390625" hidden="1" customWidth="1"/>
    <col min="3" max="3" style="46808" width="3.00390625" customWidth="1"/>
    <col min="4" max="4" style="46808" width="1.8515625" hidden="1" customWidth="1"/>
    <col min="5" max="6" style="46808" width="7.00390625" customWidth="1"/>
    <col min="7" max="7" style="46808" width="29.00390625" customWidth="1"/>
    <col min="8" max="8" style="46808" width="3.7109375" customWidth="1"/>
    <col min="9" max="9" style="46808" width="5.00390625" customWidth="1"/>
    <col min="10" max="11" style="46808" width="24.00390625" customWidth="1"/>
    <col min="12" max="12" style="46808" width="3.00390625" customWidth="1"/>
    <col min="13" max="13" style="46808" width="6.00390625" customWidth="1"/>
    <col min="14" max="14" style="46808" width="25.00390625" customWidth="1"/>
    <col min="15" max="18" style="46808" width="18.00390625" customWidth="1"/>
    <col min="19" max="19" style="46808" width="93.00390625" customWidth="1"/>
    <col min="20" max="20" style="46808" width="10.00390625" customWidth="1"/>
    <col min="21" max="21" style="46890" width="10.00390625" customWidth="1"/>
    <col min="22" max="22" style="46890" width="11.00390625" customWidth="1"/>
    <col min="23" max="27" style="46772" width="10.00390625" customWidth="1"/>
    <col min="28" max="83" style="46808" width="8.00390625" customWidth="1"/>
    <col min="84" max="84" style="46808" width="9.140625" hidden="1"/>
  </cols>
  <sheetData>
    <row customHeight="1" ht="22.5" hidden="1">
      <c r="CF1" s="1017" t="s">
        <v>14</v>
      </c>
    </row>
    <row customHeight="1" ht="11.25" hidden="1">
      <c r="CF2" s="1017">
        <v>0</v>
      </c>
    </row>
    <row customHeight="1" ht="11.25" hidden="1">
      <c r="CF3" s="1017">
        <v>0</v>
      </c>
    </row>
    <row customHeight="1" ht="3">
      <c r="C4" s="1021"/>
      <c r="D4" s="1021"/>
      <c r="E4" s="1021"/>
      <c r="F4" s="1021"/>
      <c r="G4" s="1021"/>
      <c r="H4" s="1021"/>
      <c r="I4" s="1021"/>
      <c r="J4" s="1021"/>
      <c r="K4" s="678"/>
      <c r="L4" s="678"/>
      <c r="M4" s="678"/>
      <c r="CF4" s="1017">
        <v>3</v>
      </c>
    </row>
    <row customHeight="1" ht="29.25">
      <c r="C5" s="1021"/>
      <c r="D5" s="1569"/>
      <c r="E5" s="2749"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749"/>
      <c r="G5" s="2749"/>
      <c r="H5" s="2749"/>
      <c r="I5" s="2749"/>
      <c r="J5" s="2749"/>
      <c r="K5" s="2749"/>
      <c r="L5" s="1125"/>
      <c r="M5" s="1125"/>
      <c r="CF5" s="1017">
        <v>28</v>
      </c>
    </row>
    <row s="46808" customFormat="1" customHeight="1" ht="16.8">
      <c r="A6" s="1122"/>
      <c r="B6" s="1271"/>
      <c r="C6" s="1021"/>
      <c r="D6" s="1570"/>
      <c r="E6" s="2688" t="str">
        <f>IF(org=0,"Не определено",org)</f>
        <v>КГУП "Примтеплоэнерго"</v>
      </c>
      <c r="F6" s="2688"/>
      <c r="G6" s="2688"/>
      <c r="H6" s="2688"/>
      <c r="I6" s="2688"/>
      <c r="J6" s="2688"/>
      <c r="K6" s="2688"/>
      <c r="L6" s="1125"/>
      <c r="M6" s="1125"/>
      <c r="U6" s="1123"/>
      <c r="V6" s="1123"/>
      <c r="W6" s="1124"/>
      <c r="X6" s="1271"/>
      <c r="Y6" s="1271"/>
      <c r="Z6" s="1271"/>
      <c r="AA6" s="1271"/>
      <c r="CF6" s="1270">
        <v>16</v>
      </c>
    </row>
    <row customHeight="1" ht="11.549999999999999">
      <c r="C7" s="1021"/>
      <c r="D7" s="1021"/>
      <c r="E7" s="1021"/>
      <c r="F7" s="1021"/>
      <c r="G7" s="1034"/>
      <c r="H7" s="1034"/>
      <c r="I7" s="1034"/>
      <c r="J7" s="1034"/>
      <c r="K7" s="1126"/>
      <c r="L7" s="1126"/>
      <c r="M7" s="1126"/>
      <c r="R7" s="1264"/>
      <c r="CF7" s="1017">
        <v>11</v>
      </c>
    </row>
    <row s="47496" customFormat="1" customHeight="1" ht="4.2">
      <c r="A8" s="1133"/>
      <c r="B8" s="1078"/>
      <c r="C8" s="863"/>
      <c r="D8" s="863"/>
      <c r="E8" s="863"/>
      <c r="F8" s="863"/>
      <c r="G8" s="1487"/>
      <c r="H8" s="1487"/>
      <c r="I8" s="1487"/>
      <c r="J8" s="1487"/>
      <c r="K8" s="1530"/>
      <c r="L8" s="1530"/>
      <c r="M8" s="1530"/>
      <c r="R8" s="1531"/>
      <c r="U8" s="1123"/>
      <c r="V8" s="1123"/>
      <c r="W8" s="1134"/>
      <c r="X8" s="1078"/>
      <c r="Y8" s="1078"/>
      <c r="Z8" s="1078"/>
      <c r="AA8" s="1078"/>
      <c r="CF8" s="1008">
        <v>4</v>
      </c>
    </row>
    <row customHeight="1" ht="19.95">
      <c r="D9" s="801"/>
      <c r="E9" s="2613" t="s">
        <v>418</v>
      </c>
      <c r="F9" s="2614"/>
      <c r="G9" s="2614"/>
      <c r="H9" s="2614"/>
      <c r="I9" s="2614"/>
      <c r="J9" s="2614"/>
      <c r="K9" s="2614"/>
      <c r="L9" s="2614"/>
      <c r="M9" s="2614"/>
      <c r="N9" s="2614"/>
      <c r="O9" s="2614"/>
      <c r="P9" s="2614"/>
      <c r="Q9" s="2614"/>
      <c r="R9" s="2615"/>
      <c r="S9" s="2639" t="s">
        <v>419</v>
      </c>
      <c r="T9" s="846"/>
      <c r="CF9" s="1017">
        <v>19</v>
      </c>
    </row>
    <row customHeight="1" ht="48.29999999999999">
      <c r="D10" s="1063" t="s">
        <v>90</v>
      </c>
      <c r="E10" s="2639" t="s">
        <v>90</v>
      </c>
      <c r="F10" s="2639"/>
      <c r="G10" s="1033" t="s">
        <v>420</v>
      </c>
      <c r="H10" s="2639" t="s">
        <v>90</v>
      </c>
      <c r="I10" s="2639"/>
      <c r="J10" s="1033" t="s">
        <v>719</v>
      </c>
      <c r="K10" s="1033" t="s">
        <v>720</v>
      </c>
      <c r="L10" s="2639" t="s">
        <v>90</v>
      </c>
      <c r="M10" s="2639"/>
      <c r="N10" s="1033" t="s">
        <v>721</v>
      </c>
      <c r="O10" s="1033" t="s">
        <v>722</v>
      </c>
      <c r="P10" s="1033" t="s">
        <v>723</v>
      </c>
      <c r="Q10" s="1033" t="s">
        <v>724</v>
      </c>
      <c r="R10" s="1033" t="s">
        <v>725</v>
      </c>
      <c r="S10" s="2639"/>
      <c r="T10" s="846"/>
      <c r="CF10" s="1017">
        <v>46</v>
      </c>
    </row>
    <row s="46890" customFormat="1" customHeight="1" ht="15" hidden="1">
      <c r="A11" s="1564"/>
      <c r="D11" s="1537" t="s">
        <v>101</v>
      </c>
      <c r="E11" s="1537"/>
      <c r="F11" s="1537" t="s">
        <v>105</v>
      </c>
      <c r="G11" s="1537" t="s">
        <v>92</v>
      </c>
      <c r="H11" s="1537"/>
      <c r="I11" s="1537" t="s">
        <v>93</v>
      </c>
      <c r="J11" s="1537" t="s">
        <v>120</v>
      </c>
      <c r="K11" s="1537" t="s">
        <v>94</v>
      </c>
      <c r="L11" s="1537"/>
      <c r="M11" s="1537" t="s">
        <v>95</v>
      </c>
      <c r="N11" s="1537" t="s">
        <v>134</v>
      </c>
      <c r="O11" s="1537" t="s">
        <v>139</v>
      </c>
      <c r="P11" s="1537" t="s">
        <v>145</v>
      </c>
      <c r="Q11" s="1537" t="s">
        <v>150</v>
      </c>
      <c r="R11" s="1537" t="s">
        <v>154</v>
      </c>
      <c r="S11" s="1537" t="s">
        <v>158</v>
      </c>
      <c r="U11" s="1123"/>
      <c r="V11" s="1123"/>
      <c r="W11" s="1123"/>
      <c r="CF11" s="1023">
        <v>0</v>
      </c>
    </row>
    <row s="46808" customFormat="1" customHeight="1" ht="1.05">
      <c r="A12" s="1127"/>
      <c r="B12" s="874"/>
      <c r="D12" s="1060"/>
      <c r="E12" s="858"/>
      <c r="F12" s="858"/>
      <c r="Q12" s="1128"/>
      <c r="R12" s="1129"/>
      <c r="T12" s="1130"/>
      <c r="U12" s="1131"/>
      <c r="V12" s="1131"/>
      <c r="W12" s="1132"/>
      <c r="X12" s="874"/>
      <c r="Y12" s="874"/>
      <c r="Z12" s="874"/>
      <c r="AA12" s="874"/>
      <c r="CF12" s="1021">
        <v>1</v>
      </c>
    </row>
    <row s="47496" customFormat="1" customHeight="1" ht="1.05">
      <c r="A13" s="1133"/>
      <c r="B13" s="1078"/>
      <c r="D13" s="1060" t="s">
        <v>494</v>
      </c>
      <c r="E13" s="1072"/>
      <c r="F13" s="1072"/>
      <c r="G13" s="1072"/>
      <c r="H13" s="1072"/>
      <c r="I13" s="1072"/>
      <c r="J13" s="1072"/>
      <c r="K13" s="1072"/>
      <c r="L13" s="1072"/>
      <c r="M13" s="1072"/>
      <c r="N13" s="1072"/>
      <c r="O13" s="1072"/>
      <c r="P13" s="1072"/>
      <c r="Q13" s="1072"/>
      <c r="R13" s="1072"/>
      <c r="T13" s="846"/>
      <c r="U13" s="1123"/>
      <c r="V13" s="1123"/>
      <c r="W13" s="1134"/>
      <c r="X13" s="1078"/>
      <c r="Y13" s="1078"/>
      <c r="Z13" s="1078"/>
      <c r="AA13" s="1078"/>
      <c r="CF13" s="1008">
        <v>1</v>
      </c>
    </row>
    <row s="46950" customFormat="1" customHeight="1" ht="15" hidden="1">
      <c r="A14" s="1135" t="s">
        <v>173</v>
      </c>
      <c r="B14" s="1136"/>
      <c r="C14" s="1136"/>
      <c r="D14" s="2892" t="s">
        <v>101</v>
      </c>
      <c r="E14" s="2889" t="s">
        <v>165</v>
      </c>
      <c r="F14" s="2890"/>
      <c r="G14" s="2891"/>
      <c r="H14" s="2895">
        <f>IF(A14="","",INDEX(DIFFERENTIATION_UNMERGE_VD,MATCH(A14,DIFFERENTIATION_ID_DIFF,0)))</f>
        <v>0</v>
      </c>
      <c r="I14" s="2895"/>
      <c r="J14" s="2895"/>
      <c r="K14" s="2895"/>
      <c r="L14" s="2895"/>
      <c r="M14" s="2895"/>
      <c r="N14" s="2895"/>
      <c r="O14" s="2895"/>
      <c r="P14" s="2895"/>
      <c r="Q14" s="2895"/>
      <c r="R14" s="2895"/>
      <c r="S14" s="1231"/>
      <c r="T14" s="1228"/>
      <c r="U14" s="1137"/>
      <c r="V14" s="1137"/>
      <c r="W14" s="1138"/>
      <c r="X14" s="1138"/>
      <c r="Y14" s="1138"/>
      <c r="Z14" s="1138"/>
      <c r="AA14" s="1139"/>
      <c r="AB14" s="1140"/>
      <c r="AC14" s="2887"/>
      <c r="AD14" s="1141"/>
      <c r="AE14" s="1142" t="s">
        <v>28</v>
      </c>
      <c r="AF14" s="1142"/>
      <c r="AG14" s="1143" t="s">
        <v>726</v>
      </c>
      <c r="AH14" s="1144">
        <v>3</v>
      </c>
      <c r="AI14" s="1137"/>
      <c r="AJ14" s="1137"/>
      <c r="AK14" s="1137"/>
      <c r="AL14" s="1137"/>
      <c r="AM14" s="1137"/>
      <c r="AN14" s="1137"/>
      <c r="AO14" s="1137"/>
      <c r="AP14" s="1137"/>
      <c r="AQ14" s="1137"/>
      <c r="AR14" s="1137"/>
      <c r="AS14" s="1137"/>
      <c r="AT14" s="1137"/>
      <c r="AU14" s="1137"/>
      <c r="AV14" s="1137"/>
      <c r="AW14" s="1137"/>
      <c r="AX14" s="1137"/>
      <c r="AY14" s="1137"/>
      <c r="AZ14" s="1137"/>
      <c r="BA14" s="1137"/>
      <c r="BB14" s="1137"/>
      <c r="BC14" s="1137"/>
      <c r="BD14" s="1137"/>
      <c r="BE14" s="1137"/>
      <c r="BF14" s="1137"/>
      <c r="BG14" s="1137"/>
      <c r="BH14" s="1137"/>
      <c r="BI14" s="1137"/>
      <c r="BJ14" s="1137"/>
      <c r="BK14" s="1137"/>
      <c r="BL14" s="1137"/>
      <c r="BM14" s="1137"/>
      <c r="BN14" s="1137"/>
      <c r="BO14" s="1137"/>
      <c r="BP14" s="1137"/>
      <c r="BQ14" s="1137"/>
      <c r="BR14" s="1137"/>
      <c r="BS14" s="1137"/>
      <c r="BT14" s="1137"/>
      <c r="BU14" s="1137"/>
      <c r="BV14" s="1138"/>
      <c r="BW14" s="1138"/>
      <c r="BX14" s="1138"/>
      <c r="BY14" s="1138"/>
      <c r="BZ14" s="1138"/>
      <c r="CA14" s="1138"/>
      <c r="CB14" s="1138"/>
      <c r="CC14" s="1138"/>
      <c r="CD14" s="1138"/>
      <c r="CE14" s="1138"/>
      <c r="CF14" s="805">
        <v>0</v>
      </c>
    </row>
    <row s="46950" customFormat="1" customHeight="1" ht="15" hidden="1">
      <c r="A15" s="1135"/>
      <c r="B15" s="1136"/>
      <c r="C15" s="1136"/>
      <c r="D15" s="2893"/>
      <c r="E15" s="2889" t="s">
        <v>681</v>
      </c>
      <c r="F15" s="2890"/>
      <c r="G15" s="2891"/>
      <c r="H15" s="2895" t="str">
        <f>IF(A14="","",INDEX(DIFFERENTIATION_UNMERGE_AREA,MATCH(A14,DIFFERENTIATION_ID_DIFF,0)))</f>
        <v/>
      </c>
      <c r="I15" s="2895"/>
      <c r="J15" s="2895"/>
      <c r="K15" s="2895"/>
      <c r="L15" s="2895"/>
      <c r="M15" s="2895"/>
      <c r="N15" s="2895"/>
      <c r="O15" s="2895"/>
      <c r="P15" s="2895"/>
      <c r="Q15" s="2895"/>
      <c r="R15" s="2895"/>
      <c r="S15" s="1231"/>
      <c r="T15" s="1228"/>
      <c r="U15" s="1137"/>
      <c r="V15" s="1137"/>
      <c r="W15" s="1138"/>
      <c r="X15" s="1138"/>
      <c r="Y15" s="1138"/>
      <c r="Z15" s="1138"/>
      <c r="AA15" s="1139"/>
      <c r="AB15" s="1140"/>
      <c r="AC15" s="2887"/>
      <c r="AD15" s="1141"/>
      <c r="AE15" s="1142"/>
      <c r="AF15" s="1142"/>
      <c r="AG15" s="1143"/>
      <c r="AH15" s="1144"/>
      <c r="AI15" s="1137"/>
      <c r="AJ15" s="1137"/>
      <c r="AK15" s="1137"/>
      <c r="AL15" s="1137"/>
      <c r="AM15" s="1137"/>
      <c r="AN15" s="1137"/>
      <c r="AO15" s="1137"/>
      <c r="AP15" s="1137"/>
      <c r="AQ15" s="1137"/>
      <c r="AR15" s="1137"/>
      <c r="AS15" s="1137"/>
      <c r="AT15" s="1137"/>
      <c r="AU15" s="1137"/>
      <c r="AV15" s="1137"/>
      <c r="AW15" s="1137"/>
      <c r="AX15" s="1137"/>
      <c r="AY15" s="1137"/>
      <c r="AZ15" s="1137"/>
      <c r="BA15" s="1137"/>
      <c r="BB15" s="1137"/>
      <c r="BC15" s="1137"/>
      <c r="BD15" s="1137"/>
      <c r="BE15" s="1137"/>
      <c r="BF15" s="1137"/>
      <c r="BG15" s="1137"/>
      <c r="BH15" s="1137"/>
      <c r="BI15" s="1137"/>
      <c r="BJ15" s="1137"/>
      <c r="BK15" s="1137"/>
      <c r="BL15" s="1137"/>
      <c r="BM15" s="1137"/>
      <c r="BN15" s="1137"/>
      <c r="BO15" s="1137"/>
      <c r="BP15" s="1137"/>
      <c r="BQ15" s="1137"/>
      <c r="BR15" s="1137"/>
      <c r="BS15" s="1137"/>
      <c r="BT15" s="1137"/>
      <c r="BU15" s="1137"/>
      <c r="BV15" s="1138"/>
      <c r="BW15" s="1138"/>
      <c r="BX15" s="1138"/>
      <c r="BY15" s="1138"/>
      <c r="BZ15" s="1138"/>
      <c r="CA15" s="1138"/>
      <c r="CB15" s="1138"/>
      <c r="CC15" s="1138"/>
      <c r="CD15" s="1138"/>
      <c r="CE15" s="1138"/>
      <c r="CF15" s="805">
        <v>0</v>
      </c>
    </row>
    <row s="46950" customFormat="1" customHeight="1" ht="15" hidden="1">
      <c r="A16" s="1135"/>
      <c r="B16" s="1136"/>
      <c r="C16" s="1136"/>
      <c r="D16" s="2893"/>
      <c r="E16" s="2889" t="s">
        <v>682</v>
      </c>
      <c r="F16" s="2890"/>
      <c r="G16" s="2891"/>
      <c r="H16" s="2895" t="str">
        <f>IF(A14="","",INDEX(DIFFERENTIATION_UNMERGE_SYSTEM,MATCH(A14,DIFFERENTIATION_ID_DIFF,0)))</f>
        <v>без дифференциации</v>
      </c>
      <c r="I16" s="2895"/>
      <c r="J16" s="2895"/>
      <c r="K16" s="2895"/>
      <c r="L16" s="2895"/>
      <c r="M16" s="2895"/>
      <c r="N16" s="2895"/>
      <c r="O16" s="2895"/>
      <c r="P16" s="2895"/>
      <c r="Q16" s="2895"/>
      <c r="R16" s="2895"/>
      <c r="S16" s="1231"/>
      <c r="T16" s="1228"/>
      <c r="U16" s="1137"/>
      <c r="V16" s="1137"/>
      <c r="W16" s="1138"/>
      <c r="X16" s="1138"/>
      <c r="Y16" s="1138"/>
      <c r="Z16" s="1138"/>
      <c r="AA16" s="1139"/>
      <c r="AB16" s="1140"/>
      <c r="AC16" s="2887"/>
      <c r="AD16" s="1141"/>
      <c r="AE16" s="1142"/>
      <c r="AF16" s="1142"/>
      <c r="AG16" s="1143"/>
      <c r="AH16" s="1144"/>
      <c r="AI16" s="1137"/>
      <c r="AJ16" s="1137"/>
      <c r="AK16" s="1137"/>
      <c r="AL16" s="1137"/>
      <c r="AM16" s="1137"/>
      <c r="AN16" s="1137"/>
      <c r="AO16" s="1137"/>
      <c r="AP16" s="1137"/>
      <c r="AQ16" s="1137"/>
      <c r="AR16" s="1137"/>
      <c r="AS16" s="1137"/>
      <c r="AT16" s="1137"/>
      <c r="AU16" s="1137"/>
      <c r="AV16" s="1137"/>
      <c r="AW16" s="1137"/>
      <c r="AX16" s="1137"/>
      <c r="AY16" s="1137"/>
      <c r="AZ16" s="1137"/>
      <c r="BA16" s="1137"/>
      <c r="BB16" s="1137"/>
      <c r="BC16" s="1137"/>
      <c r="BD16" s="1137"/>
      <c r="BE16" s="1137"/>
      <c r="BF16" s="1137"/>
      <c r="BG16" s="1137"/>
      <c r="BH16" s="1137"/>
      <c r="BI16" s="1137"/>
      <c r="BJ16" s="1137"/>
      <c r="BK16" s="1137"/>
      <c r="BL16" s="1137"/>
      <c r="BM16" s="1137"/>
      <c r="BN16" s="1137"/>
      <c r="BO16" s="1137"/>
      <c r="BP16" s="1137"/>
      <c r="BQ16" s="1137"/>
      <c r="BR16" s="1137"/>
      <c r="BS16" s="1137"/>
      <c r="BT16" s="1137"/>
      <c r="BU16" s="1137"/>
      <c r="BV16" s="1138"/>
      <c r="BW16" s="1138"/>
      <c r="BX16" s="1138"/>
      <c r="BY16" s="1138"/>
      <c r="BZ16" s="1138"/>
      <c r="CA16" s="1138"/>
      <c r="CB16" s="1138"/>
      <c r="CC16" s="1138"/>
      <c r="CD16" s="1138"/>
      <c r="CE16" s="1138"/>
      <c r="CF16" s="805">
        <v>0</v>
      </c>
    </row>
    <row s="46950" customFormat="1" customHeight="1" ht="22.5" hidden="1">
      <c r="A17" s="1145"/>
      <c r="B17" s="929"/>
      <c r="C17" s="924"/>
      <c r="D17" s="2893"/>
      <c r="E17" s="2888" t="s">
        <v>727</v>
      </c>
      <c r="F17" s="2888"/>
      <c r="G17" s="2888"/>
      <c r="H17" s="2888"/>
      <c r="I17" s="2888"/>
      <c r="J17" s="2888"/>
      <c r="K17" s="2888"/>
      <c r="L17" s="2888"/>
      <c r="M17" s="2888"/>
      <c r="N17" s="2888"/>
      <c r="O17" s="2888"/>
      <c r="P17" s="2888"/>
      <c r="Q17" s="1070">
        <f>SUMIF(T18:T19,"i",Q18:Q19)</f>
        <v>0</v>
      </c>
      <c r="R17" s="1529"/>
      <c r="S17" s="1409" t="s">
        <v>728</v>
      </c>
      <c r="T17" s="1229" t="s">
        <v>729</v>
      </c>
      <c r="U17" s="2886">
        <v>1</v>
      </c>
      <c r="V17" s="2886" t="str">
        <f>INDEX(B_FHD_FLAG_INDEX_1,1,MATCH(A14,B_FHD_FLAG_DIFFERENTIATION,0))</f>
        <v>отсутствует</v>
      </c>
      <c r="W17" s="929"/>
      <c r="X17" s="929"/>
      <c r="Y17" s="929"/>
      <c r="Z17" s="929"/>
      <c r="AA17" s="1023"/>
      <c r="AB17" s="929"/>
      <c r="AC17" s="2887"/>
      <c r="AD17" s="1141"/>
      <c r="AE17" s="929"/>
      <c r="AF17" s="929"/>
      <c r="AG17" s="1023"/>
      <c r="AH17" s="1023"/>
      <c r="AI17" s="1023"/>
      <c r="AJ17" s="1023"/>
      <c r="AK17" s="1023"/>
      <c r="AL17" s="1023"/>
      <c r="AM17" s="1023"/>
      <c r="AN17" s="1023"/>
      <c r="AO17" s="1023"/>
      <c r="AP17" s="1023"/>
      <c r="AQ17" s="1023"/>
      <c r="AR17" s="1023"/>
      <c r="AS17" s="1023"/>
      <c r="AT17" s="1023"/>
      <c r="AU17" s="1023"/>
      <c r="AV17" s="1023"/>
      <c r="AW17" s="1023"/>
      <c r="AX17" s="1023"/>
      <c r="AY17" s="1023"/>
      <c r="AZ17" s="1023"/>
      <c r="BA17" s="1023"/>
      <c r="BB17" s="1023"/>
      <c r="BC17" s="1023"/>
      <c r="BD17" s="1023"/>
      <c r="BE17" s="1023"/>
      <c r="BF17" s="1023"/>
      <c r="BG17" s="1023"/>
      <c r="BH17" s="1023"/>
      <c r="BI17" s="1023"/>
      <c r="BJ17" s="1023"/>
      <c r="BK17" s="1023"/>
      <c r="BL17" s="1023"/>
      <c r="BM17" s="1023"/>
      <c r="BN17" s="1023"/>
      <c r="BO17" s="1023"/>
      <c r="BP17" s="1023"/>
      <c r="BQ17" s="1023"/>
      <c r="BR17" s="1023"/>
      <c r="BS17" s="1023"/>
      <c r="BT17" s="1023"/>
      <c r="BU17" s="1023"/>
      <c r="BV17" s="929"/>
      <c r="BW17" s="929"/>
      <c r="BX17" s="929"/>
      <c r="BY17" s="929"/>
      <c r="BZ17" s="929"/>
      <c r="CA17" s="929"/>
      <c r="CB17" s="929"/>
      <c r="CC17" s="929"/>
      <c r="CD17" s="929"/>
      <c r="CE17" s="929"/>
      <c r="CF17" s="805">
        <v>0</v>
      </c>
    </row>
    <row s="46950" customFormat="1" customHeight="1" ht="11.25" hidden="1">
      <c r="A18" s="1146"/>
      <c r="B18" s="1023"/>
      <c r="C18" s="1023"/>
      <c r="D18" s="2893"/>
      <c r="E18" s="1147"/>
      <c r="F18" s="1147">
        <v>0</v>
      </c>
      <c r="G18" s="1147"/>
      <c r="H18" s="1147"/>
      <c r="I18" s="1147"/>
      <c r="J18" s="1147"/>
      <c r="K18" s="1147"/>
      <c r="L18" s="1147"/>
      <c r="M18" s="1147"/>
      <c r="N18" s="1147"/>
      <c r="O18" s="1147"/>
      <c r="P18" s="1147"/>
      <c r="Q18" s="1147"/>
      <c r="R18" s="1147"/>
      <c r="S18" s="1148"/>
      <c r="T18" s="1230"/>
      <c r="U18" s="2886"/>
      <c r="V18" s="2886"/>
      <c r="W18" s="1023"/>
      <c r="X18" s="1023"/>
      <c r="Y18" s="1023"/>
      <c r="Z18" s="1023"/>
      <c r="AA18" s="1023"/>
      <c r="AB18" s="929"/>
      <c r="AC18" s="2887"/>
      <c r="AD18" s="1141"/>
      <c r="AE18" s="929"/>
      <c r="AF18" s="929"/>
      <c r="AG18" s="1023"/>
      <c r="AH18" s="1023"/>
      <c r="AI18" s="1023"/>
      <c r="AJ18" s="1023"/>
      <c r="AK18" s="1023"/>
      <c r="AL18" s="1023"/>
      <c r="AM18" s="1023"/>
      <c r="AN18" s="1023"/>
      <c r="AO18" s="1023"/>
      <c r="AP18" s="1023"/>
      <c r="AQ18" s="1023"/>
      <c r="AR18" s="1023"/>
      <c r="AS18" s="1023"/>
      <c r="AT18" s="1023"/>
      <c r="AU18" s="1023"/>
      <c r="AV18" s="1023"/>
      <c r="AW18" s="1023"/>
      <c r="AX18" s="1023"/>
      <c r="AY18" s="1023"/>
      <c r="AZ18" s="1023"/>
      <c r="BA18" s="1023"/>
      <c r="BB18" s="1023"/>
      <c r="BC18" s="1023"/>
      <c r="BD18" s="1023"/>
      <c r="BE18" s="1023"/>
      <c r="BF18" s="1023"/>
      <c r="BG18" s="1023"/>
      <c r="BH18" s="1023"/>
      <c r="BI18" s="1023"/>
      <c r="BJ18" s="1023"/>
      <c r="BK18" s="1023"/>
      <c r="BL18" s="1023"/>
      <c r="BM18" s="1023"/>
      <c r="BN18" s="1023"/>
      <c r="BO18" s="1023"/>
      <c r="BP18" s="1023"/>
      <c r="BQ18" s="1023"/>
      <c r="BR18" s="1023"/>
      <c r="BS18" s="1023"/>
      <c r="BT18" s="1023"/>
      <c r="BU18" s="1023"/>
      <c r="BV18" s="1023"/>
      <c r="BW18" s="1023"/>
      <c r="BX18" s="1023"/>
      <c r="BY18" s="1023"/>
      <c r="BZ18" s="1023"/>
      <c r="CA18" s="1023"/>
      <c r="CB18" s="1023"/>
      <c r="CC18" s="1023"/>
      <c r="CD18" s="1023"/>
      <c r="CE18" s="1023"/>
      <c r="CF18" s="805">
        <v>0</v>
      </c>
    </row>
    <row s="46950" customFormat="1" customHeight="1" ht="11.25" hidden="1">
      <c r="A19" s="1145"/>
      <c r="B19" s="929"/>
      <c r="C19" s="924"/>
      <c r="D19" s="2893"/>
      <c r="E19" s="1161" t="s">
        <v>28</v>
      </c>
      <c r="F19" s="1162" t="s">
        <v>28</v>
      </c>
      <c r="G19" s="1162" t="s">
        <v>28</v>
      </c>
      <c r="H19" s="1163" t="s">
        <v>28</v>
      </c>
      <c r="I19" s="1163"/>
      <c r="J19" s="1163"/>
      <c r="K19" s="1163"/>
      <c r="L19" s="1163"/>
      <c r="M19" s="1163"/>
      <c r="N19" s="1163"/>
      <c r="O19" s="1163"/>
      <c r="P19" s="1163"/>
      <c r="Q19" s="1163"/>
      <c r="R19" s="1164"/>
      <c r="S19" s="1532"/>
      <c r="T19" s="1230"/>
      <c r="U19" s="2886"/>
      <c r="V19" s="2886"/>
      <c r="W19" s="929"/>
      <c r="X19" s="929"/>
      <c r="Y19" s="929"/>
      <c r="Z19" s="929"/>
      <c r="AA19" s="1023"/>
      <c r="AB19" s="929"/>
      <c r="AC19" s="2887"/>
      <c r="AD19" s="1141"/>
      <c r="AE19" s="929"/>
      <c r="AF19" s="929"/>
      <c r="AG19" s="1023"/>
      <c r="AH19" s="1023"/>
      <c r="AI19" s="1023"/>
      <c r="AJ19" s="1023"/>
      <c r="AK19" s="1023"/>
      <c r="AL19" s="1023"/>
      <c r="AM19" s="1023"/>
      <c r="AN19" s="1023"/>
      <c r="AO19" s="1023"/>
      <c r="AP19" s="1023"/>
      <c r="AQ19" s="1023"/>
      <c r="AR19" s="1023"/>
      <c r="AS19" s="1023"/>
      <c r="AT19" s="1023"/>
      <c r="AU19" s="1023"/>
      <c r="AV19" s="1023"/>
      <c r="AW19" s="1023"/>
      <c r="AX19" s="1023"/>
      <c r="AY19" s="1023"/>
      <c r="AZ19" s="1023"/>
      <c r="BA19" s="1023"/>
      <c r="BB19" s="1023"/>
      <c r="BC19" s="1023"/>
      <c r="BD19" s="1023"/>
      <c r="BE19" s="1023"/>
      <c r="BF19" s="1023"/>
      <c r="BG19" s="1023"/>
      <c r="BH19" s="1023"/>
      <c r="BI19" s="1023"/>
      <c r="BJ19" s="1023"/>
      <c r="BK19" s="1023"/>
      <c r="BL19" s="1023"/>
      <c r="BM19" s="1023"/>
      <c r="BN19" s="1023"/>
      <c r="BO19" s="1023"/>
      <c r="BP19" s="1023"/>
      <c r="BQ19" s="1023"/>
      <c r="BR19" s="1023"/>
      <c r="BS19" s="1023"/>
      <c r="BT19" s="1023"/>
      <c r="BU19" s="1023"/>
      <c r="BV19" s="929"/>
      <c r="BW19" s="929"/>
      <c r="BX19" s="929"/>
      <c r="BY19" s="929"/>
      <c r="BZ19" s="929"/>
      <c r="CA19" s="929"/>
      <c r="CB19" s="929"/>
      <c r="CC19" s="929"/>
      <c r="CD19" s="929"/>
      <c r="CE19" s="929"/>
      <c r="CF19" s="805">
        <v>0</v>
      </c>
    </row>
    <row s="46950" customFormat="1" customHeight="1" ht="22.5" hidden="1">
      <c r="A20" s="1145"/>
      <c r="B20" s="929"/>
      <c r="C20" s="924"/>
      <c r="D20" s="2893"/>
      <c r="E20" s="2888" t="s">
        <v>730</v>
      </c>
      <c r="F20" s="2888"/>
      <c r="G20" s="2888"/>
      <c r="H20" s="2888"/>
      <c r="I20" s="2888"/>
      <c r="J20" s="2888"/>
      <c r="K20" s="2888"/>
      <c r="L20" s="2888"/>
      <c r="M20" s="2888"/>
      <c r="N20" s="2888"/>
      <c r="O20" s="2888"/>
      <c r="P20" s="2888"/>
      <c r="Q20" s="1070">
        <f>SUMIF(T21:T22,"i",Q21:Q22)</f>
        <v>0</v>
      </c>
      <c r="R20" s="1529"/>
      <c r="S20" s="1221" t="s">
        <v>731</v>
      </c>
      <c r="T20" s="1229" t="s">
        <v>729</v>
      </c>
      <c r="U20" s="2886">
        <v>2</v>
      </c>
      <c r="V20" s="2886" t="str">
        <f>INDEX(B_FHD_FLAG_INDEX_2,1,MATCH(A14,B_FHD_FLAG_DIFFERENTIATION,0))</f>
        <v>отсутствует</v>
      </c>
      <c r="W20" s="929"/>
      <c r="X20" s="929"/>
      <c r="Y20" s="929"/>
      <c r="Z20" s="929"/>
      <c r="AA20" s="1023"/>
      <c r="AB20" s="929"/>
      <c r="AC20" s="1218"/>
      <c r="AD20" s="1141"/>
      <c r="AE20" s="929"/>
      <c r="AF20" s="929"/>
      <c r="AG20" s="1023"/>
      <c r="AH20" s="1023"/>
      <c r="AI20" s="1023"/>
      <c r="AJ20" s="1023"/>
      <c r="AK20" s="1023"/>
      <c r="AL20" s="1023"/>
      <c r="AM20" s="1023"/>
      <c r="AN20" s="1023"/>
      <c r="AO20" s="1023"/>
      <c r="AP20" s="1023"/>
      <c r="AQ20" s="1023"/>
      <c r="AR20" s="1023"/>
      <c r="AS20" s="1023"/>
      <c r="AT20" s="1023"/>
      <c r="AU20" s="1023"/>
      <c r="AV20" s="1023"/>
      <c r="AW20" s="1023"/>
      <c r="AX20" s="1023"/>
      <c r="AY20" s="1023"/>
      <c r="AZ20" s="1023"/>
      <c r="BA20" s="1023"/>
      <c r="BB20" s="1023"/>
      <c r="BC20" s="1023"/>
      <c r="BD20" s="1023"/>
      <c r="BE20" s="1023"/>
      <c r="BF20" s="1023"/>
      <c r="BG20" s="1023"/>
      <c r="BH20" s="1023"/>
      <c r="BI20" s="1023"/>
      <c r="BJ20" s="1023"/>
      <c r="BK20" s="1023"/>
      <c r="BL20" s="1023"/>
      <c r="BM20" s="1023"/>
      <c r="BN20" s="1023"/>
      <c r="BO20" s="1023"/>
      <c r="BP20" s="1023"/>
      <c r="BQ20" s="1023"/>
      <c r="BR20" s="1023"/>
      <c r="BS20" s="1023"/>
      <c r="BT20" s="1023"/>
      <c r="BU20" s="1023"/>
      <c r="BV20" s="929"/>
      <c r="BW20" s="929"/>
      <c r="BX20" s="929"/>
      <c r="BY20" s="929"/>
      <c r="BZ20" s="929"/>
      <c r="CA20" s="929"/>
      <c r="CB20" s="929"/>
      <c r="CC20" s="929"/>
      <c r="CD20" s="929"/>
      <c r="CE20" s="929"/>
      <c r="CF20" s="805">
        <v>0</v>
      </c>
    </row>
    <row s="46950" customFormat="1" customHeight="1" ht="11.25" hidden="1">
      <c r="A21" s="1220"/>
      <c r="B21" s="1023"/>
      <c r="C21" s="1023"/>
      <c r="D21" s="2893"/>
      <c r="E21" s="1147"/>
      <c r="F21" s="1147">
        <v>0</v>
      </c>
      <c r="G21" s="1147"/>
      <c r="H21" s="1147"/>
      <c r="I21" s="1147"/>
      <c r="J21" s="1147"/>
      <c r="K21" s="1147"/>
      <c r="L21" s="1147"/>
      <c r="M21" s="1147"/>
      <c r="N21" s="1147"/>
      <c r="O21" s="1147"/>
      <c r="P21" s="1147"/>
      <c r="Q21" s="1147"/>
      <c r="R21" s="1147"/>
      <c r="S21" s="1148"/>
      <c r="T21" s="1230"/>
      <c r="U21" s="2886"/>
      <c r="V21" s="2886"/>
      <c r="W21" s="1023"/>
      <c r="X21" s="1023"/>
      <c r="Y21" s="1023"/>
      <c r="Z21" s="1023"/>
      <c r="AA21" s="1023"/>
      <c r="AB21" s="929"/>
      <c r="AC21" s="1218"/>
      <c r="AD21" s="1141"/>
      <c r="AE21" s="929"/>
      <c r="AF21" s="929"/>
      <c r="AG21" s="1023"/>
      <c r="AH21" s="1023"/>
      <c r="AI21" s="1023"/>
      <c r="AJ21" s="1023"/>
      <c r="AK21" s="1023"/>
      <c r="AL21" s="1023"/>
      <c r="AM21" s="1023"/>
      <c r="AN21" s="1023"/>
      <c r="AO21" s="1023"/>
      <c r="AP21" s="1023"/>
      <c r="AQ21" s="1023"/>
      <c r="AR21" s="1023"/>
      <c r="AS21" s="1023"/>
      <c r="AT21" s="1023"/>
      <c r="AU21" s="1023"/>
      <c r="AV21" s="1023"/>
      <c r="AW21" s="1023"/>
      <c r="AX21" s="1023"/>
      <c r="AY21" s="1023"/>
      <c r="AZ21" s="1023"/>
      <c r="BA21" s="1023"/>
      <c r="BB21" s="1023"/>
      <c r="BC21" s="1023"/>
      <c r="BD21" s="1023"/>
      <c r="BE21" s="1023"/>
      <c r="BF21" s="1023"/>
      <c r="BG21" s="1023"/>
      <c r="BH21" s="1023"/>
      <c r="BI21" s="1023"/>
      <c r="BJ21" s="1023"/>
      <c r="BK21" s="1023"/>
      <c r="BL21" s="1023"/>
      <c r="BM21" s="1023"/>
      <c r="BN21" s="1023"/>
      <c r="BO21" s="1023"/>
      <c r="BP21" s="1023"/>
      <c r="BQ21" s="1023"/>
      <c r="BR21" s="1023"/>
      <c r="BS21" s="1023"/>
      <c r="BT21" s="1023"/>
      <c r="BU21" s="1023"/>
      <c r="BV21" s="1023"/>
      <c r="BW21" s="1023"/>
      <c r="BX21" s="1023"/>
      <c r="BY21" s="1023"/>
      <c r="BZ21" s="1023"/>
      <c r="CA21" s="1023"/>
      <c r="CB21" s="1023"/>
      <c r="CC21" s="1023"/>
      <c r="CD21" s="1023"/>
      <c r="CE21" s="1023"/>
      <c r="CF21" s="805">
        <v>0</v>
      </c>
    </row>
    <row s="46950" customFormat="1" customHeight="1" ht="11.25" hidden="1">
      <c r="A22" s="1145"/>
      <c r="B22" s="929"/>
      <c r="C22" s="924"/>
      <c r="D22" s="2894"/>
      <c r="E22" s="1161" t="s">
        <v>28</v>
      </c>
      <c r="F22" s="1162" t="s">
        <v>28</v>
      </c>
      <c r="G22" s="1162" t="s">
        <v>28</v>
      </c>
      <c r="H22" s="1163" t="s">
        <v>28</v>
      </c>
      <c r="I22" s="1163"/>
      <c r="J22" s="1163"/>
      <c r="K22" s="1163"/>
      <c r="L22" s="1163"/>
      <c r="M22" s="1163"/>
      <c r="N22" s="1163"/>
      <c r="O22" s="1163"/>
      <c r="P22" s="1163"/>
      <c r="Q22" s="1163"/>
      <c r="R22" s="1164"/>
      <c r="S22" s="1532"/>
      <c r="T22" s="1230"/>
      <c r="U22" s="2886"/>
      <c r="V22" s="2886"/>
      <c r="W22" s="929"/>
      <c r="X22" s="929"/>
      <c r="Y22" s="929"/>
      <c r="Z22" s="929"/>
      <c r="AA22" s="1023"/>
      <c r="AB22" s="929"/>
      <c r="AC22" s="1218"/>
      <c r="AD22" s="1141"/>
      <c r="AE22" s="929"/>
      <c r="AF22" s="929"/>
      <c r="AG22" s="1023"/>
      <c r="AH22" s="1023"/>
      <c r="AI22" s="1023"/>
      <c r="AJ22" s="1023"/>
      <c r="AK22" s="1023"/>
      <c r="AL22" s="1023"/>
      <c r="AM22" s="1023"/>
      <c r="AN22" s="1023"/>
      <c r="AO22" s="1023"/>
      <c r="AP22" s="1023"/>
      <c r="AQ22" s="1023"/>
      <c r="AR22" s="1023"/>
      <c r="AS22" s="1023"/>
      <c r="AT22" s="1023"/>
      <c r="AU22" s="1023"/>
      <c r="AV22" s="1023"/>
      <c r="AW22" s="1023"/>
      <c r="AX22" s="1023"/>
      <c r="AY22" s="1023"/>
      <c r="AZ22" s="1023"/>
      <c r="BA22" s="1023"/>
      <c r="BB22" s="1023"/>
      <c r="BC22" s="1023"/>
      <c r="BD22" s="1023"/>
      <c r="BE22" s="1023"/>
      <c r="BF22" s="1023"/>
      <c r="BG22" s="1023"/>
      <c r="BH22" s="1023"/>
      <c r="BI22" s="1023"/>
      <c r="BJ22" s="1023"/>
      <c r="BK22" s="1023"/>
      <c r="BL22" s="1023"/>
      <c r="BM22" s="1023"/>
      <c r="BN22" s="1023"/>
      <c r="BO22" s="1023"/>
      <c r="BP22" s="1023"/>
      <c r="BQ22" s="1023"/>
      <c r="BR22" s="1023"/>
      <c r="BS22" s="1023"/>
      <c r="BT22" s="1023"/>
      <c r="BU22" s="1023"/>
      <c r="BV22" s="929"/>
      <c r="BW22" s="929"/>
      <c r="BX22" s="929"/>
      <c r="BY22" s="929"/>
      <c r="BZ22" s="929"/>
      <c r="CA22" s="929"/>
      <c r="CB22" s="929"/>
      <c r="CC22" s="929"/>
      <c r="CD22" s="929"/>
      <c r="CE22" s="929"/>
      <c r="CF22" s="805">
        <v>0</v>
      </c>
    </row>
    <row customHeight="1" ht="19.95">
      <c r="D23" s="1559"/>
      <c r="E23" s="1559"/>
      <c r="F23" s="1559"/>
      <c r="G23" s="1559"/>
      <c r="H23" s="1559"/>
      <c r="I23" s="1559"/>
      <c r="J23" s="1559"/>
      <c r="K23" s="1559"/>
      <c r="L23" s="1559"/>
      <c r="M23" s="1559"/>
      <c r="N23" s="1559"/>
      <c r="O23" s="1559"/>
      <c r="P23" s="1559"/>
      <c r="Q23" s="1559"/>
      <c r="R23" s="1559"/>
      <c r="S23" s="1559"/>
      <c r="T23" s="846"/>
      <c r="CF23" s="1017">
        <v>19</v>
      </c>
    </row>
    <row customHeight="1" ht="11.549999999999999">
      <c r="D24" s="1021"/>
      <c r="CF24" s="1017">
        <v>11</v>
      </c>
    </row>
    <row customHeight="1" ht="11.549999999999999">
      <c r="D25" s="1166"/>
      <c r="E25" s="1166"/>
      <c r="F25" s="1166"/>
      <c r="G25" s="1167"/>
      <c r="CF25" s="1017">
        <v>11</v>
      </c>
    </row>
    <row customHeight="1" ht="11.549999999999999">
      <c r="CF26" s="1017">
        <v>11</v>
      </c>
    </row>
    <row customHeight="1" ht="11.549999999999999">
      <c r="D27" s="1168"/>
      <c r="E27" s="2896"/>
      <c r="F27" s="2896"/>
      <c r="G27" s="2896"/>
      <c r="H27" s="2896"/>
      <c r="I27" s="2896"/>
      <c r="J27" s="2896"/>
      <c r="K27" s="2896"/>
      <c r="L27" s="2896"/>
      <c r="M27" s="2896"/>
      <c r="N27" s="2896"/>
      <c r="O27" s="2896"/>
      <c r="P27" s="2896"/>
      <c r="Q27" s="2896"/>
      <c r="R27" s="2896"/>
      <c r="CF27" s="1017">
        <v>11</v>
      </c>
    </row>
    <row customHeight="1" ht="11.549999999999999">
      <c r="F28" s="1270"/>
      <c r="G28" s="1270"/>
      <c r="CF28" s="1017">
        <v>11</v>
      </c>
    </row>
    <row customHeight="1" ht="11.25" hidden="1">
      <c r="A29" s="1122" t="s">
        <v>84</v>
      </c>
      <c r="B29" s="961">
        <v>0</v>
      </c>
      <c r="C29" s="1017">
        <v>3</v>
      </c>
      <c r="D29" s="1017">
        <v>0</v>
      </c>
      <c r="E29" s="1017">
        <v>7</v>
      </c>
      <c r="F29" s="1017">
        <v>7</v>
      </c>
      <c r="G29" s="1017">
        <v>29</v>
      </c>
      <c r="H29" s="1017">
        <v>3</v>
      </c>
      <c r="I29" s="1017">
        <v>5</v>
      </c>
      <c r="J29" s="1017">
        <v>24</v>
      </c>
      <c r="K29" s="1017">
        <v>24</v>
      </c>
      <c r="L29" s="1017">
        <v>3</v>
      </c>
      <c r="M29" s="1017">
        <v>6</v>
      </c>
      <c r="N29" s="1017">
        <v>25</v>
      </c>
      <c r="O29" s="1017">
        <v>18</v>
      </c>
      <c r="P29" s="1017">
        <v>18</v>
      </c>
      <c r="Q29" s="1017">
        <v>18</v>
      </c>
      <c r="R29" s="1017">
        <v>18</v>
      </c>
      <c r="S29" s="1017">
        <v>93</v>
      </c>
      <c r="T29" s="1017">
        <v>10</v>
      </c>
      <c r="U29" s="1123">
        <v>10</v>
      </c>
      <c r="V29" s="1123">
        <v>11</v>
      </c>
      <c r="W29" s="1124">
        <v>10</v>
      </c>
      <c r="X29" s="961">
        <v>10</v>
      </c>
      <c r="Y29" s="961">
        <v>10</v>
      </c>
      <c r="Z29" s="961">
        <v>10</v>
      </c>
      <c r="AA29" s="961">
        <v>10</v>
      </c>
      <c r="AB29" s="1017">
        <v>8</v>
      </c>
      <c r="AC29" s="1017">
        <v>8</v>
      </c>
      <c r="AD29" s="1017">
        <v>8</v>
      </c>
      <c r="AE29" s="1017">
        <v>8</v>
      </c>
      <c r="AF29" s="1017">
        <v>8</v>
      </c>
      <c r="AG29" s="1017">
        <v>8</v>
      </c>
      <c r="AH29" s="1017">
        <v>8</v>
      </c>
      <c r="AI29" s="1017">
        <v>8</v>
      </c>
      <c r="AJ29" s="1017">
        <v>8</v>
      </c>
      <c r="AK29" s="1017">
        <v>8</v>
      </c>
      <c r="AL29" s="1017">
        <v>8</v>
      </c>
      <c r="AM29" s="1017">
        <v>8</v>
      </c>
      <c r="AN29" s="1017">
        <v>8</v>
      </c>
      <c r="AO29" s="1017">
        <v>8</v>
      </c>
      <c r="AP29" s="1017">
        <v>8</v>
      </c>
      <c r="AQ29" s="1017">
        <v>8</v>
      </c>
      <c r="AR29" s="1017">
        <v>8</v>
      </c>
      <c r="AS29" s="1017">
        <v>8</v>
      </c>
      <c r="AT29" s="1017">
        <v>8</v>
      </c>
      <c r="AU29" s="1017">
        <v>8</v>
      </c>
      <c r="AV29" s="1017">
        <v>8</v>
      </c>
      <c r="AW29" s="1017">
        <v>8</v>
      </c>
      <c r="AX29" s="1017">
        <v>8</v>
      </c>
      <c r="AY29" s="1017">
        <v>8</v>
      </c>
      <c r="AZ29" s="1017">
        <v>8</v>
      </c>
      <c r="BA29" s="1017">
        <v>8</v>
      </c>
      <c r="BB29" s="1017">
        <v>8</v>
      </c>
      <c r="BC29" s="1017">
        <v>8</v>
      </c>
      <c r="BD29" s="1017">
        <v>8</v>
      </c>
      <c r="BE29" s="1017">
        <v>8</v>
      </c>
      <c r="BF29" s="1017">
        <v>8</v>
      </c>
      <c r="BG29" s="1017">
        <v>8</v>
      </c>
      <c r="BH29" s="1017">
        <v>8</v>
      </c>
      <c r="BI29" s="1017">
        <v>8</v>
      </c>
      <c r="BJ29" s="1017">
        <v>8</v>
      </c>
      <c r="BK29" s="1017">
        <v>8</v>
      </c>
      <c r="BL29" s="1017">
        <v>8</v>
      </c>
      <c r="BM29" s="1017">
        <v>8</v>
      </c>
      <c r="BN29" s="1017">
        <v>8</v>
      </c>
      <c r="BO29" s="1017">
        <v>8</v>
      </c>
      <c r="BP29" s="1017">
        <v>8</v>
      </c>
      <c r="BQ29" s="1017">
        <v>8</v>
      </c>
      <c r="BR29" s="1017">
        <v>8</v>
      </c>
      <c r="BS29" s="1017">
        <v>8</v>
      </c>
      <c r="BT29" s="1017">
        <v>8</v>
      </c>
      <c r="BU29" s="1017">
        <v>8</v>
      </c>
      <c r="BV29" s="1017">
        <v>8</v>
      </c>
      <c r="BW29" s="1017">
        <v>8</v>
      </c>
      <c r="BX29" s="1017">
        <v>8</v>
      </c>
      <c r="BY29" s="1017">
        <v>8</v>
      </c>
      <c r="BZ29" s="1017">
        <v>8</v>
      </c>
      <c r="CA29" s="1017">
        <v>8</v>
      </c>
      <c r="CB29" s="1017">
        <v>8</v>
      </c>
      <c r="CC29" s="1017">
        <v>8</v>
      </c>
      <c r="CD29" s="1017">
        <v>8</v>
      </c>
      <c r="CE29" s="1017">
        <v>8</v>
      </c>
      <c r="CF29" s="1017">
        <v>11</v>
      </c>
    </row>
  </sheetData>
  <sheetProtection formatColumns="0" formatRows="0" autoFilter="0" sort="0" insertRows="0" insertColumns="1" deleteRows="0" deleteColumns="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EFDDDCE-4E39-13FB-4977-69FFAE0CA54E}" mc:Ignorable="x14ac xr xr2 xr3">
  <sheetPr>
    <tabColor theme="9" tint="-0.25"/>
  </sheetPr>
  <dimension ref="A1:AK204"/>
  <sheetViews>
    <sheetView topLeftCell="A1" showGridLines="0" zoomScale="90" workbookViewId="0">
      <selection activeCell="A1" sqref="A1"/>
    </sheetView>
  </sheetViews>
  <sheetFormatPr defaultColWidth="9.140625" customHeight="1" defaultRowHeight="11.25"/>
  <cols>
    <col min="1" max="5" style="54680" width="10.7109375" hidden="1" customWidth="1"/>
    <col min="6" max="6" style="46889" width="16.8515625" hidden="1" customWidth="1"/>
    <col min="7" max="7" style="46890" width="5.57421875" hidden="1" customWidth="1"/>
    <col min="8" max="8" style="46808" width="3.00390625" customWidth="1"/>
    <col min="9" max="9" style="46808" width="7.00390625" customWidth="1"/>
    <col min="10" max="10" style="46808" width="56.00390625" customWidth="1"/>
    <col min="11" max="11" style="46808" width="10.00390625" customWidth="1"/>
    <col min="12" max="12" style="46808" width="40.57421875" hidden="1" customWidth="1"/>
    <col min="13" max="13" style="46808" width="40.7109375" customWidth="1"/>
    <col min="14" max="14" style="46889" width="9.7109375" hidden="1" customWidth="1"/>
    <col min="15" max="15" style="46808" width="102.00390625" customWidth="1"/>
    <col min="16" max="16" style="46889" width="9.00390625" customWidth="1"/>
    <col min="17" max="17" style="46890" width="5.00390625" customWidth="1"/>
    <col min="18" max="18" style="46890" width="3.00390625" customWidth="1"/>
    <col min="19" max="22" style="46889" width="3.00390625" customWidth="1"/>
    <col min="23" max="23" style="46890" width="10.00390625" customWidth="1"/>
    <col min="24" max="24" style="46889" width="34.00390625" customWidth="1"/>
    <col min="25" max="25" style="46889" width="9.00390625" customWidth="1"/>
    <col min="26" max="26" style="54681" width="8.00390625" customWidth="1"/>
    <col min="27" max="31" style="46889" width="8.00390625" customWidth="1"/>
    <col min="32" max="36" style="46772" width="8.00390625" customWidth="1"/>
    <col min="37" max="37" style="46808" width="5.421875" hidden="1" customWidth="1"/>
  </cols>
  <sheetData>
    <row s="46889" customFormat="1" customHeight="1" ht="33.75" hidden="1">
      <c r="A1" s="1499"/>
      <c r="B1" s="1499"/>
      <c r="C1" s="1499"/>
      <c r="D1" s="1499"/>
      <c r="E1" s="1499"/>
      <c r="G1" s="2148"/>
      <c r="H1" s="1390"/>
      <c r="L1" s="1878">
        <v>4</v>
      </c>
      <c r="M1" s="1878">
        <v>4</v>
      </c>
      <c r="Q1" s="2148"/>
      <c r="R1" s="2148"/>
      <c r="W1" s="2148"/>
      <c r="AK1" s="1878" t="s">
        <v>14</v>
      </c>
    </row>
    <row s="46889" customFormat="1" customHeight="1" ht="78.75" hidden="1">
      <c r="A2" s="1499"/>
      <c r="B2" s="2565" t="s">
        <v>732</v>
      </c>
      <c r="C2" s="2565" t="s">
        <v>733</v>
      </c>
      <c r="D2" s="2564" t="s">
        <v>734</v>
      </c>
      <c r="E2" s="2568">
        <f>RIGHT(I2,LEN(I2)-SEARCH("#",SUBSTITUTE(I2,".","#",LEN(I2)-LEN(SUBSTITUTE(I2,".","")))))</f>
      </c>
      <c r="F2" s="2570">
        <f>J2</f>
        <v>0</v>
      </c>
      <c r="G2" s="2148"/>
      <c r="H2" s="2571"/>
      <c r="I2" s="2561"/>
      <c r="J2" s="1052"/>
      <c r="K2" s="2531" t="s">
        <v>673</v>
      </c>
      <c r="L2" s="1263"/>
      <c r="M2" s="1263"/>
      <c r="N2" s="1055"/>
      <c r="O2" s="2037" t="s">
        <v>674</v>
      </c>
      <c r="P2" s="1055"/>
      <c r="Q2" s="2148"/>
      <c r="R2" s="2148"/>
      <c r="W2" s="2148"/>
      <c r="Z2" s="1056"/>
      <c r="AF2" s="2144"/>
      <c r="AG2" s="2144"/>
      <c r="AH2" s="2144"/>
      <c r="AI2" s="2144"/>
      <c r="AJ2" s="2144"/>
      <c r="AK2" s="1878">
        <v>0</v>
      </c>
    </row>
    <row customHeight="1" ht="11.25" hidden="1">
      <c r="E3" s="2563" t="s">
        <v>735</v>
      </c>
      <c r="L3" s="2143">
        <f>0</f>
        <v>0</v>
      </c>
      <c r="M3" s="2143">
        <v>1</v>
      </c>
      <c r="AK3" s="2143">
        <v>0</v>
      </c>
    </row>
    <row s="46772" customFormat="1" customHeight="1" ht="11.25" hidden="1">
      <c r="A4" s="1499"/>
      <c r="B4" s="1499"/>
      <c r="C4" s="1499"/>
      <c r="E4" s="1499"/>
      <c r="F4" s="1878"/>
      <c r="G4" s="2148"/>
      <c r="H4" s="1132"/>
      <c r="N4" s="1878"/>
      <c r="O4" s="2144">
        <v>4</v>
      </c>
      <c r="P4" s="1878"/>
      <c r="Q4" s="2148"/>
      <c r="R4" s="2148"/>
      <c r="S4" s="1878"/>
      <c r="T4" s="1878"/>
      <c r="U4" s="1878"/>
      <c r="V4" s="1878"/>
      <c r="W4" s="2148"/>
      <c r="X4" s="1878"/>
      <c r="Y4" s="1878"/>
      <c r="Z4" s="1056"/>
      <c r="AA4" s="1878"/>
      <c r="AB4" s="1878"/>
      <c r="AC4" s="1878"/>
      <c r="AD4" s="1878"/>
      <c r="AE4" s="1878"/>
      <c r="AK4" s="2144">
        <v>0</v>
      </c>
    </row>
    <row customHeight="1" ht="11.549999999999999">
      <c r="AK5" s="2143">
        <v>11</v>
      </c>
    </row>
    <row customHeight="1" ht="57.75">
      <c r="I6" s="2819" t="s">
        <v>736</v>
      </c>
      <c r="J6" s="2819"/>
      <c r="K6" s="2819"/>
      <c r="L6" s="2819"/>
      <c r="M6" s="2819"/>
      <c r="O6" s="1068"/>
      <c r="AK6" s="2143">
        <v>55</v>
      </c>
    </row>
    <row customHeight="1" ht="25.2">
      <c r="I7" s="2761" t="str">
        <f>IF(org=0,"Не определено",org)</f>
        <v>КГУП "Примтеплоэнерго"</v>
      </c>
      <c r="J7" s="2761"/>
      <c r="K7" s="2761"/>
      <c r="L7" s="2761"/>
      <c r="M7" s="2761"/>
      <c r="AK7" s="2143">
        <v>24</v>
      </c>
    </row>
    <row customHeight="1" ht="11.549999999999999">
      <c r="I8" s="1647"/>
      <c r="J8" s="1647"/>
      <c r="K8" s="1647"/>
      <c r="L8" s="1647"/>
      <c r="M8" s="1647"/>
      <c r="AK8" s="2143">
        <v>11</v>
      </c>
    </row>
    <row s="46890" customFormat="1" customHeight="1" ht="30" hidden="1">
      <c r="A9" s="1679"/>
      <c r="B9" s="1679"/>
      <c r="C9" s="1679"/>
      <c r="E9" s="1679"/>
      <c r="H9" s="2154"/>
      <c r="L9" s="1401"/>
      <c r="M9" s="1401" t="s">
        <v>173</v>
      </c>
      <c r="AK9" s="2148">
        <v>1</v>
      </c>
    </row>
    <row customHeight="1" ht="11.549999999999999">
      <c r="E10" s="2562" t="s">
        <v>737</v>
      </c>
      <c r="I10" s="1223"/>
      <c r="J10" s="2879" t="s">
        <v>165</v>
      </c>
      <c r="K10" s="2880"/>
      <c r="L10" s="2541" t="str">
        <f>IF(L9="","",INDEX(DIFFERENTIATION_UNMERGE_VD,MATCH(L9,DIFFERENTIATION_ID_DIFF,0)))</f>
        <v/>
      </c>
      <c r="M10" s="2541">
        <f>IF(M9="","",INDEX(DIFFERENTIATION_UNMERGE_VD,MATCH(M9,DIFFERENTIATION_ID_DIFF,0)))</f>
        <v>0</v>
      </c>
      <c r="O10" s="2639" t="s">
        <v>419</v>
      </c>
      <c r="AK10" s="2143">
        <v>11</v>
      </c>
    </row>
    <row customHeight="1" ht="11.549999999999999">
      <c r="E11" s="2562" t="s">
        <v>738</v>
      </c>
      <c r="I11" s="1223"/>
      <c r="J11" s="2879" t="s">
        <v>681</v>
      </c>
      <c r="K11" s="2880"/>
      <c r="L11" s="2541" t="str">
        <f>IF(L9="","",INDEX(DIFFERENTIATION_UNMERGE_AREA,MATCH(L9,DIFFERENTIATION_ID_DIFF,0)))</f>
        <v/>
      </c>
      <c r="M11" s="2541" t="str">
        <f>IF(M9="","",INDEX(DIFFERENTIATION_UNMERGE_AREA,MATCH(M9,DIFFERENTIATION_ID_DIFF,0)))</f>
        <v/>
      </c>
      <c r="O11" s="2639"/>
      <c r="AK11" s="2143">
        <v>11</v>
      </c>
    </row>
    <row customHeight="1" ht="11.549999999999999">
      <c r="E12" s="2562" t="s">
        <v>739</v>
      </c>
      <c r="I12" s="2174"/>
      <c r="J12" s="2879" t="s">
        <v>682</v>
      </c>
      <c r="K12" s="2880"/>
      <c r="L12" s="2541" t="str">
        <f>IF(L9="","",INDEX(DIFFERENTIATION_UNMERGE_SYSTEM,MATCH(L9,DIFFERENTIATION_ID_DIFF,0)))</f>
        <v/>
      </c>
      <c r="M12" s="2541" t="str">
        <f>IF(M9="","",INDEX(DIFFERENTIATION_UNMERGE_SYSTEM,MATCH(M9,DIFFERENTIATION_ID_DIFF,0)))</f>
        <v>без дифференциации</v>
      </c>
      <c r="O12" s="2639"/>
      <c r="AK12" s="2143">
        <v>11</v>
      </c>
    </row>
    <row customHeight="1" ht="11.549999999999999">
      <c r="E13" s="2562" t="s">
        <v>740</v>
      </c>
      <c r="F13" s="2562" t="s">
        <v>741</v>
      </c>
      <c r="I13" s="2881" t="s">
        <v>418</v>
      </c>
      <c r="J13" s="2882"/>
      <c r="K13" s="2882"/>
      <c r="L13" s="2539"/>
      <c r="M13" s="2579"/>
      <c r="O13" s="2639"/>
      <c r="AK13" s="2143">
        <v>11</v>
      </c>
    </row>
    <row customHeight="1" ht="24">
      <c r="I14" s="2532" t="s">
        <v>90</v>
      </c>
      <c r="J14" s="2532" t="s">
        <v>420</v>
      </c>
      <c r="K14" s="2532" t="s">
        <v>683</v>
      </c>
      <c r="L14" s="2572" t="s">
        <v>421</v>
      </c>
      <c r="M14" s="2573" t="s">
        <v>421</v>
      </c>
      <c r="O14" s="2639"/>
      <c r="AK14" s="2143">
        <v>23</v>
      </c>
    </row>
    <row customHeight="1" ht="24">
      <c r="A15" s="2566"/>
      <c r="B15" s="2565" t="s">
        <v>742</v>
      </c>
      <c r="C15" s="2565" t="s">
        <v>743</v>
      </c>
      <c r="D15" s="2564" t="s">
        <v>744</v>
      </c>
      <c r="E15" s="2568" t="s">
        <v>745</v>
      </c>
      <c r="F15" s="2568" t="s">
        <v>745</v>
      </c>
      <c r="G15" s="2148" t="s">
        <v>705</v>
      </c>
      <c r="H15" s="2533"/>
      <c r="I15" s="2142">
        <v>1</v>
      </c>
      <c r="J15" s="2534" t="s">
        <v>746</v>
      </c>
      <c r="K15" s="2532" t="s">
        <v>424</v>
      </c>
      <c r="L15" s="1174"/>
      <c r="M15" s="1330"/>
      <c r="N15" s="1055" t="s">
        <v>747</v>
      </c>
      <c r="O15" s="2037" t="s">
        <v>748</v>
      </c>
      <c r="P15" s="1055" t="s">
        <v>747</v>
      </c>
      <c r="AK15" s="2143">
        <v>23</v>
      </c>
    </row>
    <row customHeight="1" ht="35.699999999999996">
      <c r="A16" s="2566"/>
      <c r="B16" s="2565" t="s">
        <v>749</v>
      </c>
      <c r="C16" s="2565" t="s">
        <v>750</v>
      </c>
      <c r="D16" s="2564" t="s">
        <v>734</v>
      </c>
      <c r="E16" s="2568" t="s">
        <v>745</v>
      </c>
      <c r="F16" s="2568" t="s">
        <v>745</v>
      </c>
      <c r="H16" s="2533"/>
      <c r="I16" s="2141">
        <v>2</v>
      </c>
      <c r="J16" s="2575" t="s">
        <v>751</v>
      </c>
      <c r="K16" s="2574" t="s">
        <v>673</v>
      </c>
      <c r="L16" s="2580"/>
      <c r="M16" s="2188"/>
      <c r="N16" s="1055" t="s">
        <v>747</v>
      </c>
      <c r="O16" s="2037" t="s">
        <v>752</v>
      </c>
      <c r="P16" s="1055" t="s">
        <v>747</v>
      </c>
      <c r="AK16" s="2143">
        <v>34</v>
      </c>
    </row>
    <row s="46890" customFormat="1" customHeight="1" ht="17.25" hidden="1">
      <c r="A17" s="1679"/>
      <c r="B17" s="1679"/>
      <c r="C17" s="1679"/>
      <c r="D17" s="1679"/>
      <c r="E17" s="1679"/>
      <c r="H17" s="1836"/>
      <c r="I17" s="1525" t="s">
        <v>753</v>
      </c>
      <c r="J17" s="1503"/>
      <c r="K17" s="1525"/>
      <c r="L17" s="1504"/>
      <c r="M17" s="1504"/>
      <c r="O17" s="1897"/>
      <c r="AK17" s="2148">
        <v>1</v>
      </c>
    </row>
    <row s="46889" customFormat="1" customHeight="1" ht="24">
      <c r="A18" s="1499"/>
      <c r="B18" s="1499"/>
      <c r="C18" s="1499"/>
      <c r="D18" s="1499"/>
      <c r="E18" s="1499"/>
      <c r="G18" s="2148"/>
      <c r="H18" s="2145"/>
      <c r="I18" s="1082"/>
      <c r="J18" s="1083" t="s">
        <v>703</v>
      </c>
      <c r="K18" s="1084"/>
      <c r="L18" s="2582"/>
      <c r="M18" s="1085"/>
      <c r="N18" s="1055"/>
      <c r="O18" s="2037" t="s">
        <v>704</v>
      </c>
      <c r="P18" s="1055"/>
      <c r="Q18" s="2148"/>
      <c r="R18" s="2148"/>
      <c r="W18" s="2148"/>
      <c r="Z18" s="1056"/>
      <c r="AF18" s="2144"/>
      <c r="AG18" s="2144"/>
      <c r="AH18" s="2144"/>
      <c r="AI18" s="2144"/>
      <c r="AJ18" s="2144"/>
      <c r="AK18" s="1878">
        <v>23</v>
      </c>
    </row>
    <row customHeight="1" ht="19.95">
      <c r="A19" s="2566"/>
      <c r="B19" s="2565" t="s">
        <v>754</v>
      </c>
      <c r="C19" s="2565" t="s">
        <v>755</v>
      </c>
      <c r="D19" s="2564" t="s">
        <v>734</v>
      </c>
      <c r="E19" s="2568" t="s">
        <v>745</v>
      </c>
      <c r="F19" s="2568" t="s">
        <v>745</v>
      </c>
      <c r="H19" s="2533"/>
      <c r="I19" s="2176">
        <v>3</v>
      </c>
      <c r="J19" s="2534" t="s">
        <v>755</v>
      </c>
      <c r="K19" s="2530" t="s">
        <v>673</v>
      </c>
      <c r="L19" s="1239"/>
      <c r="M19" s="1069"/>
      <c r="N19" s="1055"/>
      <c r="O19" s="2037" t="s">
        <v>756</v>
      </c>
      <c r="P19" s="1055"/>
      <c r="AK19" s="2143">
        <v>19</v>
      </c>
    </row>
    <row customHeight="1" ht="77.7">
      <c r="A20" s="2566"/>
      <c r="B20" s="2565" t="s">
        <v>757</v>
      </c>
      <c r="C20" s="2565" t="s">
        <v>758</v>
      </c>
      <c r="D20" s="2564" t="s">
        <v>734</v>
      </c>
      <c r="E20" s="2568" t="s">
        <v>745</v>
      </c>
      <c r="F20" s="2568" t="s">
        <v>745</v>
      </c>
      <c r="H20" s="2533"/>
      <c r="I20" s="2176">
        <v>4</v>
      </c>
      <c r="J20" s="2534" t="s">
        <v>759</v>
      </c>
      <c r="K20" s="2530" t="s">
        <v>700</v>
      </c>
      <c r="L20" s="1239"/>
      <c r="M20" s="1069"/>
      <c r="N20" s="1055"/>
      <c r="O20" s="2037"/>
      <c r="P20" s="1055"/>
      <c r="AK20" s="2143">
        <v>74</v>
      </c>
    </row>
    <row customHeight="1" ht="35.699999999999996">
      <c r="A21" s="2566"/>
      <c r="B21" s="2565" t="s">
        <v>760</v>
      </c>
      <c r="C21" s="2565" t="s">
        <v>761</v>
      </c>
      <c r="D21" s="2564" t="s">
        <v>734</v>
      </c>
      <c r="E21" s="2568" t="s">
        <v>745</v>
      </c>
      <c r="F21" s="2568" t="s">
        <v>745</v>
      </c>
      <c r="H21" s="2533"/>
      <c r="I21" s="2176">
        <v>5</v>
      </c>
      <c r="J21" s="2534" t="s">
        <v>762</v>
      </c>
      <c r="K21" s="2530" t="s">
        <v>700</v>
      </c>
      <c r="L21" s="1239"/>
      <c r="M21" s="1069"/>
      <c r="N21" s="1055"/>
      <c r="O21" s="2037" t="s">
        <v>756</v>
      </c>
      <c r="P21" s="1055"/>
      <c r="AK21" s="2143">
        <v>34</v>
      </c>
    </row>
    <row customHeight="1" ht="48.29999999999999">
      <c r="A22" s="2566"/>
      <c r="B22" s="2565" t="s">
        <v>763</v>
      </c>
      <c r="C22" s="2565" t="s">
        <v>764</v>
      </c>
      <c r="D22" s="2564" t="s">
        <v>734</v>
      </c>
      <c r="E22" s="2568" t="s">
        <v>745</v>
      </c>
      <c r="F22" s="2568" t="s">
        <v>745</v>
      </c>
      <c r="H22" s="2533"/>
      <c r="I22" s="2176">
        <v>6</v>
      </c>
      <c r="J22" s="2534" t="s">
        <v>765</v>
      </c>
      <c r="K22" s="2530" t="s">
        <v>700</v>
      </c>
      <c r="L22" s="1239"/>
      <c r="M22" s="1069"/>
      <c r="N22" s="1055"/>
      <c r="O22" s="2037" t="s">
        <v>766</v>
      </c>
      <c r="P22" s="1055"/>
      <c r="AK22" s="2143">
        <v>46</v>
      </c>
    </row>
    <row customHeight="1" ht="19.95">
      <c r="A23" s="2566"/>
      <c r="B23" s="2565" t="s">
        <v>767</v>
      </c>
      <c r="C23" s="2565" t="s">
        <v>768</v>
      </c>
      <c r="D23" s="2564" t="s">
        <v>734</v>
      </c>
      <c r="E23" s="2568" t="s">
        <v>745</v>
      </c>
      <c r="F23" s="2568" t="s">
        <v>745</v>
      </c>
      <c r="H23" s="2533"/>
      <c r="I23" s="2176" t="s">
        <v>769</v>
      </c>
      <c r="J23" s="2036" t="s">
        <v>770</v>
      </c>
      <c r="K23" s="2530" t="s">
        <v>700</v>
      </c>
      <c r="L23" s="1239"/>
      <c r="M23" s="1069"/>
      <c r="N23" s="1055"/>
      <c r="O23" s="2037" t="s">
        <v>756</v>
      </c>
      <c r="P23" s="1055"/>
      <c r="AK23" s="2143">
        <v>19</v>
      </c>
    </row>
    <row customHeight="1" ht="19.95">
      <c r="A24" s="2566"/>
      <c r="B24" s="2565" t="s">
        <v>771</v>
      </c>
      <c r="C24" s="2565" t="s">
        <v>772</v>
      </c>
      <c r="D24" s="2564" t="s">
        <v>734</v>
      </c>
      <c r="E24" s="2568" t="s">
        <v>745</v>
      </c>
      <c r="F24" s="2568" t="s">
        <v>745</v>
      </c>
      <c r="H24" s="2533"/>
      <c r="I24" s="2176" t="s">
        <v>773</v>
      </c>
      <c r="J24" s="2036" t="s">
        <v>774</v>
      </c>
      <c r="K24" s="2530" t="s">
        <v>700</v>
      </c>
      <c r="L24" s="1239"/>
      <c r="M24" s="1069"/>
      <c r="N24" s="1055"/>
      <c r="O24" s="2037"/>
      <c r="P24" s="1055"/>
      <c r="AK24" s="2143">
        <v>19</v>
      </c>
    </row>
    <row customHeight="1" ht="24">
      <c r="A25" s="2566"/>
      <c r="B25" s="2565" t="s">
        <v>775</v>
      </c>
      <c r="C25" s="2565" t="s">
        <v>776</v>
      </c>
      <c r="D25" s="2564" t="s">
        <v>734</v>
      </c>
      <c r="E25" s="2568" t="s">
        <v>745</v>
      </c>
      <c r="F25" s="2568" t="s">
        <v>745</v>
      </c>
      <c r="H25" s="2533"/>
      <c r="I25" s="2176" t="s">
        <v>777</v>
      </c>
      <c r="J25" s="2036" t="s">
        <v>778</v>
      </c>
      <c r="K25" s="2530" t="s">
        <v>700</v>
      </c>
      <c r="L25" s="1239"/>
      <c r="M25" s="1069"/>
      <c r="N25" s="1055"/>
      <c r="O25" s="2037"/>
      <c r="P25" s="1055"/>
      <c r="AK25" s="2143">
        <v>23</v>
      </c>
    </row>
    <row customHeight="1" ht="24">
      <c r="A26" s="2566"/>
      <c r="B26" s="2565" t="s">
        <v>779</v>
      </c>
      <c r="C26" s="2565" t="s">
        <v>780</v>
      </c>
      <c r="D26" s="2564" t="s">
        <v>734</v>
      </c>
      <c r="E26" s="2568" t="s">
        <v>745</v>
      </c>
      <c r="F26" s="2568" t="s">
        <v>745</v>
      </c>
      <c r="H26" s="2533"/>
      <c r="I26" s="2176">
        <v>7</v>
      </c>
      <c r="J26" s="2534" t="s">
        <v>780</v>
      </c>
      <c r="K26" s="2530" t="s">
        <v>781</v>
      </c>
      <c r="L26" s="1239"/>
      <c r="M26" s="1069"/>
      <c r="N26" s="1055"/>
      <c r="O26" s="2037"/>
      <c r="P26" s="1055"/>
      <c r="AK26" s="2143">
        <v>23</v>
      </c>
    </row>
    <row customHeight="1" ht="24">
      <c r="A27" s="2566"/>
      <c r="B27" s="2565" t="s">
        <v>782</v>
      </c>
      <c r="C27" s="2565" t="s">
        <v>783</v>
      </c>
      <c r="D27" s="2564" t="s">
        <v>734</v>
      </c>
      <c r="E27" s="2568" t="s">
        <v>745</v>
      </c>
      <c r="F27" s="2568" t="s">
        <v>745</v>
      </c>
      <c r="H27" s="2533"/>
      <c r="I27" s="2176">
        <v>8</v>
      </c>
      <c r="J27" s="2534" t="s">
        <v>783</v>
      </c>
      <c r="K27" s="2530" t="s">
        <v>706</v>
      </c>
      <c r="L27" s="1239"/>
      <c r="M27" s="1069"/>
      <c r="N27" s="1055"/>
      <c r="O27" s="2037"/>
      <c r="P27" s="1055"/>
      <c r="AK27" s="2143">
        <v>23</v>
      </c>
    </row>
    <row customHeight="1" ht="35.699999999999996">
      <c r="A28" s="2566"/>
      <c r="B28" s="2565" t="s">
        <v>784</v>
      </c>
      <c r="C28" s="2565" t="s">
        <v>785</v>
      </c>
      <c r="D28" s="2564" t="s">
        <v>734</v>
      </c>
      <c r="E28" s="2568" t="s">
        <v>745</v>
      </c>
      <c r="F28" s="2568" t="s">
        <v>745</v>
      </c>
      <c r="H28" s="2533"/>
      <c r="I28" s="2187">
        <v>9</v>
      </c>
      <c r="J28" s="2534" t="s">
        <v>786</v>
      </c>
      <c r="K28" s="2530" t="s">
        <v>677</v>
      </c>
      <c r="L28" s="1239"/>
      <c r="M28" s="1069"/>
      <c r="N28" s="1055"/>
      <c r="O28" s="2037"/>
      <c r="P28" s="1055"/>
      <c r="AK28" s="2143">
        <v>34</v>
      </c>
    </row>
    <row customHeight="1" ht="35.699999999999996">
      <c r="A29" s="2566"/>
      <c r="B29" s="2565" t="s">
        <v>787</v>
      </c>
      <c r="C29" s="2565" t="s">
        <v>788</v>
      </c>
      <c r="D29" s="2564" t="s">
        <v>734</v>
      </c>
      <c r="E29" s="2568" t="s">
        <v>745</v>
      </c>
      <c r="F29" s="2568" t="s">
        <v>745</v>
      </c>
      <c r="H29" s="2533"/>
      <c r="I29" s="2187">
        <v>10</v>
      </c>
      <c r="J29" s="2534" t="s">
        <v>789</v>
      </c>
      <c r="K29" s="2530" t="s">
        <v>677</v>
      </c>
      <c r="L29" s="1239"/>
      <c r="M29" s="1069"/>
      <c r="N29" s="1055"/>
      <c r="O29" s="2037"/>
      <c r="P29" s="1055"/>
      <c r="AK29" s="2143">
        <v>34</v>
      </c>
    </row>
    <row customHeight="1" ht="24">
      <c r="A30" s="2566"/>
      <c r="B30" s="2565" t="s">
        <v>790</v>
      </c>
      <c r="C30" s="2565" t="s">
        <v>791</v>
      </c>
      <c r="D30" s="2564" t="s">
        <v>734</v>
      </c>
      <c r="E30" s="2568" t="s">
        <v>745</v>
      </c>
      <c r="F30" s="2568" t="s">
        <v>745</v>
      </c>
      <c r="H30" s="2533"/>
      <c r="I30" s="2187">
        <v>11</v>
      </c>
      <c r="J30" s="2534" t="s">
        <v>791</v>
      </c>
      <c r="K30" s="2530" t="s">
        <v>707</v>
      </c>
      <c r="L30" s="2581"/>
      <c r="M30" s="2133"/>
      <c r="N30" s="1055"/>
      <c r="O30" s="2037"/>
      <c r="P30" s="1055"/>
      <c r="AK30" s="2143">
        <v>23</v>
      </c>
    </row>
    <row customHeight="1" ht="24">
      <c r="A31" s="2566"/>
      <c r="B31" s="2565" t="s">
        <v>792</v>
      </c>
      <c r="C31" s="2565" t="s">
        <v>793</v>
      </c>
      <c r="D31" s="2564" t="s">
        <v>734</v>
      </c>
      <c r="E31" s="2568" t="s">
        <v>745</v>
      </c>
      <c r="F31" s="2568" t="s">
        <v>745</v>
      </c>
      <c r="H31" s="2533"/>
      <c r="I31" s="2187">
        <v>12</v>
      </c>
      <c r="J31" s="2534" t="s">
        <v>793</v>
      </c>
      <c r="K31" s="2530" t="s">
        <v>707</v>
      </c>
      <c r="L31" s="2581"/>
      <c r="M31" s="2133"/>
      <c r="N31" s="1055"/>
      <c r="O31" s="2037"/>
      <c r="P31" s="1055"/>
      <c r="AK31" s="2143">
        <v>23</v>
      </c>
    </row>
    <row customHeight="1" ht="48.29999999999999">
      <c r="A32" s="2566"/>
      <c r="B32" s="2565" t="s">
        <v>794</v>
      </c>
      <c r="C32" s="2565" t="s">
        <v>795</v>
      </c>
      <c r="D32" s="2564" t="s">
        <v>734</v>
      </c>
      <c r="E32" s="2568" t="s">
        <v>745</v>
      </c>
      <c r="F32" s="2568" t="s">
        <v>745</v>
      </c>
      <c r="H32" s="2533"/>
      <c r="I32" s="2187">
        <v>13</v>
      </c>
      <c r="J32" s="2534" t="s">
        <v>796</v>
      </c>
      <c r="K32" s="2530" t="s">
        <v>717</v>
      </c>
      <c r="L32" s="1239"/>
      <c r="M32" s="1069"/>
      <c r="N32" s="1055"/>
      <c r="O32" s="2037" t="s">
        <v>756</v>
      </c>
      <c r="P32" s="1055"/>
      <c r="AK32" s="2143">
        <v>46</v>
      </c>
    </row>
    <row s="46889" customFormat="1" customHeight="1" ht="48.29999999999999">
      <c r="A33" s="2566"/>
      <c r="B33" s="2565" t="s">
        <v>797</v>
      </c>
      <c r="C33" s="2565" t="s">
        <v>798</v>
      </c>
      <c r="D33" s="2564" t="s">
        <v>734</v>
      </c>
      <c r="E33" s="2568" t="s">
        <v>745</v>
      </c>
      <c r="F33" s="2568" t="s">
        <v>745</v>
      </c>
      <c r="G33" s="2148"/>
      <c r="H33" s="2533"/>
      <c r="I33" s="2187">
        <v>14</v>
      </c>
      <c r="J33" s="2546" t="s">
        <v>799</v>
      </c>
      <c r="K33" s="2535" t="s">
        <v>800</v>
      </c>
      <c r="L33" s="1239"/>
      <c r="M33" s="1069"/>
      <c r="N33" s="1055"/>
      <c r="O33" s="2037" t="s">
        <v>756</v>
      </c>
      <c r="P33" s="1055"/>
      <c r="Q33" s="2148"/>
      <c r="R33" s="2148"/>
      <c r="W33" s="2148"/>
      <c r="Z33" s="1056"/>
      <c r="AF33" s="2144"/>
      <c r="AG33" s="2144"/>
      <c r="AH33" s="2144"/>
      <c r="AI33" s="2144"/>
      <c r="AJ33" s="2144"/>
      <c r="AK33" s="1878">
        <v>46</v>
      </c>
    </row>
    <row customHeight="1" ht="108">
      <c r="A34" s="2566"/>
      <c r="B34" s="2565" t="s">
        <v>801</v>
      </c>
      <c r="C34" s="2565" t="s">
        <v>802</v>
      </c>
      <c r="D34" s="2564" t="s">
        <v>744</v>
      </c>
      <c r="E34" s="2568" t="s">
        <v>745</v>
      </c>
      <c r="F34" s="2568" t="s">
        <v>745</v>
      </c>
      <c r="G34" s="2148" t="s">
        <v>705</v>
      </c>
      <c r="H34" s="2533"/>
      <c r="I34" s="2544">
        <v>15</v>
      </c>
      <c r="J34" s="2545" t="s">
        <v>803</v>
      </c>
      <c r="K34" s="2530" t="s">
        <v>424</v>
      </c>
      <c r="L34" s="897"/>
      <c r="M34" s="1676"/>
      <c r="N34" s="1055"/>
      <c r="O34" s="2037" t="s">
        <v>748</v>
      </c>
      <c r="P34" s="1055"/>
      <c r="AK34" s="2143">
        <v>103</v>
      </c>
    </row>
    <row s="47496" customFormat="1" customHeight="1" ht="11.549999999999999">
      <c r="A35" s="1499"/>
      <c r="B35" s="1499"/>
      <c r="C35" s="1499"/>
      <c r="D35" s="1499"/>
      <c r="E35" s="1499"/>
      <c r="F35" s="2148"/>
      <c r="G35" s="2148"/>
      <c r="H35" s="863"/>
      <c r="N35" s="1878"/>
      <c r="P35" s="1878"/>
      <c r="Q35" s="2148"/>
      <c r="R35" s="2148"/>
      <c r="S35" s="1878"/>
      <c r="T35" s="1878"/>
      <c r="U35" s="1878"/>
      <c r="V35" s="1878"/>
      <c r="W35" s="2148"/>
      <c r="X35" s="1878"/>
      <c r="Y35" s="1878"/>
      <c r="Z35" s="1056"/>
      <c r="AA35" s="1878"/>
      <c r="AB35" s="1878"/>
      <c r="AC35" s="1878"/>
      <c r="AD35" s="1878"/>
      <c r="AE35" s="1878"/>
      <c r="AF35" s="2144"/>
      <c r="AG35" s="1134"/>
      <c r="AH35" s="1134"/>
      <c r="AI35" s="1134"/>
      <c r="AJ35" s="1134"/>
      <c r="AK35" s="2153">
        <v>11</v>
      </c>
    </row>
    <row s="47496" customFormat="1" customHeight="1" ht="11.549999999999999">
      <c r="A36" s="1499"/>
      <c r="B36" s="1499"/>
      <c r="C36" s="1499"/>
      <c r="D36" s="1499"/>
      <c r="E36" s="1499"/>
      <c r="F36" s="2148"/>
      <c r="G36" s="2148"/>
      <c r="H36" s="863"/>
      <c r="N36" s="1878"/>
      <c r="P36" s="1878"/>
      <c r="Q36" s="2148"/>
      <c r="R36" s="2148"/>
      <c r="S36" s="1878"/>
      <c r="T36" s="1878"/>
      <c r="U36" s="1878"/>
      <c r="V36" s="1878"/>
      <c r="W36" s="2148"/>
      <c r="X36" s="1878"/>
      <c r="Y36" s="1878"/>
      <c r="Z36" s="1056"/>
      <c r="AA36" s="1878"/>
      <c r="AB36" s="1878"/>
      <c r="AC36" s="1878"/>
      <c r="AD36" s="1878"/>
      <c r="AE36" s="1878"/>
      <c r="AF36" s="2144"/>
      <c r="AG36" s="1134"/>
      <c r="AH36" s="1134"/>
      <c r="AI36" s="1134"/>
      <c r="AJ36" s="1134"/>
      <c r="AK36" s="2153">
        <v>11</v>
      </c>
    </row>
    <row s="47496" customFormat="1" customHeight="1" ht="11.549999999999999">
      <c r="A37" s="1499"/>
      <c r="B37" s="1499"/>
      <c r="C37" s="1499"/>
      <c r="D37" s="1499"/>
      <c r="E37" s="1499"/>
      <c r="F37" s="2148"/>
      <c r="G37" s="2148"/>
      <c r="H37" s="863"/>
      <c r="L37" s="1134"/>
      <c r="M37" s="1134"/>
      <c r="N37" s="1878"/>
      <c r="P37" s="1878"/>
      <c r="Q37" s="2148"/>
      <c r="R37" s="2148"/>
      <c r="S37" s="1878"/>
      <c r="T37" s="1878"/>
      <c r="U37" s="1878"/>
      <c r="V37" s="1878"/>
      <c r="W37" s="2148"/>
      <c r="X37" s="1878"/>
      <c r="Y37" s="1878"/>
      <c r="Z37" s="1056"/>
      <c r="AA37" s="1878"/>
      <c r="AB37" s="1878"/>
      <c r="AC37" s="1878"/>
      <c r="AD37" s="1878"/>
      <c r="AE37" s="1878"/>
      <c r="AF37" s="2144"/>
      <c r="AG37" s="1134"/>
      <c r="AH37" s="1134"/>
      <c r="AI37" s="1134"/>
      <c r="AJ37" s="1134"/>
      <c r="AK37" s="2153">
        <v>11</v>
      </c>
    </row>
    <row s="47496" customFormat="1" customHeight="1" ht="11.549999999999999">
      <c r="A38" s="1499"/>
      <c r="B38" s="1499"/>
      <c r="C38" s="1499"/>
      <c r="D38" s="1499"/>
      <c r="E38" s="1499"/>
      <c r="F38" s="2148"/>
      <c r="G38" s="2148"/>
      <c r="H38" s="863"/>
      <c r="N38" s="1878"/>
      <c r="P38" s="1878"/>
      <c r="Q38" s="2148"/>
      <c r="R38" s="2148"/>
      <c r="S38" s="1878"/>
      <c r="T38" s="1878"/>
      <c r="U38" s="1878"/>
      <c r="V38" s="1878"/>
      <c r="W38" s="2148"/>
      <c r="X38" s="1878"/>
      <c r="Y38" s="1878"/>
      <c r="Z38" s="1056"/>
      <c r="AA38" s="1878"/>
      <c r="AB38" s="1878"/>
      <c r="AC38" s="1878"/>
      <c r="AD38" s="1878"/>
      <c r="AE38" s="1878"/>
      <c r="AF38" s="2144"/>
      <c r="AG38" s="1134"/>
      <c r="AH38" s="1134"/>
      <c r="AI38" s="1134"/>
      <c r="AJ38" s="1134"/>
      <c r="AK38" s="2153">
        <v>11</v>
      </c>
    </row>
    <row s="47496" customFormat="1" customHeight="1" ht="11.549999999999999">
      <c r="A39" s="1499"/>
      <c r="B39" s="1499"/>
      <c r="C39" s="1499"/>
      <c r="D39" s="1499"/>
      <c r="E39" s="1499"/>
      <c r="F39" s="2148"/>
      <c r="G39" s="2148"/>
      <c r="H39" s="863"/>
      <c r="N39" s="1878"/>
      <c r="P39" s="1878"/>
      <c r="Q39" s="2148"/>
      <c r="R39" s="2148"/>
      <c r="S39" s="1878"/>
      <c r="T39" s="1878"/>
      <c r="U39" s="1878"/>
      <c r="V39" s="1878"/>
      <c r="W39" s="2148"/>
      <c r="X39" s="1878"/>
      <c r="Y39" s="1878"/>
      <c r="Z39" s="1056"/>
      <c r="AA39" s="1878"/>
      <c r="AB39" s="1878"/>
      <c r="AC39" s="1878"/>
      <c r="AD39" s="1878"/>
      <c r="AE39" s="1878"/>
      <c r="AF39" s="2144"/>
      <c r="AG39" s="1134"/>
      <c r="AH39" s="1134"/>
      <c r="AI39" s="1134"/>
      <c r="AJ39" s="1134"/>
      <c r="AK39" s="2153">
        <v>11</v>
      </c>
    </row>
    <row s="47496" customFormat="1" customHeight="1" ht="11.549999999999999">
      <c r="A40" s="1499"/>
      <c r="B40" s="1499"/>
      <c r="C40" s="1499"/>
      <c r="D40" s="1499"/>
      <c r="E40" s="1499"/>
      <c r="F40" s="2148"/>
      <c r="G40" s="2148"/>
      <c r="H40" s="863"/>
      <c r="N40" s="1878"/>
      <c r="P40" s="1878"/>
      <c r="Q40" s="2148"/>
      <c r="R40" s="2148"/>
      <c r="S40" s="1878"/>
      <c r="T40" s="1878"/>
      <c r="U40" s="1878"/>
      <c r="V40" s="1878"/>
      <c r="W40" s="2148"/>
      <c r="X40" s="1878"/>
      <c r="Y40" s="1878"/>
      <c r="Z40" s="1056"/>
      <c r="AA40" s="1878"/>
      <c r="AB40" s="1878"/>
      <c r="AC40" s="1878"/>
      <c r="AD40" s="1878"/>
      <c r="AE40" s="1878"/>
      <c r="AF40" s="2144"/>
      <c r="AG40" s="1134"/>
      <c r="AH40" s="1134"/>
      <c r="AI40" s="1134"/>
      <c r="AJ40" s="1134"/>
      <c r="AK40" s="2153">
        <v>11</v>
      </c>
    </row>
    <row s="47496" customFormat="1" customHeight="1" ht="11.549999999999999">
      <c r="A41" s="1499"/>
      <c r="B41" s="1499"/>
      <c r="C41" s="1499"/>
      <c r="D41" s="1499"/>
      <c r="E41" s="1499"/>
      <c r="F41" s="2148"/>
      <c r="G41" s="2148"/>
      <c r="H41" s="863"/>
      <c r="N41" s="1878"/>
      <c r="P41" s="1878"/>
      <c r="Q41" s="2148"/>
      <c r="R41" s="2148"/>
      <c r="S41" s="1878"/>
      <c r="T41" s="1878"/>
      <c r="U41" s="1878"/>
      <c r="V41" s="1878"/>
      <c r="W41" s="2148"/>
      <c r="X41" s="1878"/>
      <c r="Y41" s="1878"/>
      <c r="Z41" s="1056"/>
      <c r="AA41" s="1878"/>
      <c r="AB41" s="1878"/>
      <c r="AC41" s="1878"/>
      <c r="AD41" s="1878"/>
      <c r="AE41" s="1878"/>
      <c r="AF41" s="2144"/>
      <c r="AG41" s="1134"/>
      <c r="AH41" s="1134"/>
      <c r="AI41" s="1134"/>
      <c r="AJ41" s="1134"/>
      <c r="AK41" s="2153">
        <v>11</v>
      </c>
    </row>
    <row s="47496" customFormat="1" customHeight="1" ht="11.549999999999999">
      <c r="A42" s="1499"/>
      <c r="B42" s="1499"/>
      <c r="C42" s="1499"/>
      <c r="D42" s="1499"/>
      <c r="E42" s="1499"/>
      <c r="F42" s="2148"/>
      <c r="G42" s="2148"/>
      <c r="H42" s="863"/>
      <c r="N42" s="1878"/>
      <c r="P42" s="1878"/>
      <c r="Q42" s="2148"/>
      <c r="R42" s="2148"/>
      <c r="S42" s="1878"/>
      <c r="T42" s="1878"/>
      <c r="U42" s="1878"/>
      <c r="V42" s="1878"/>
      <c r="W42" s="2148"/>
      <c r="X42" s="1878"/>
      <c r="Y42" s="1878"/>
      <c r="Z42" s="1056"/>
      <c r="AA42" s="1878"/>
      <c r="AB42" s="1878"/>
      <c r="AC42" s="1878"/>
      <c r="AD42" s="1878"/>
      <c r="AE42" s="1878"/>
      <c r="AF42" s="2144"/>
      <c r="AG42" s="1134"/>
      <c r="AH42" s="1134"/>
      <c r="AI42" s="1134"/>
      <c r="AJ42" s="1134"/>
      <c r="AK42" s="2153">
        <v>11</v>
      </c>
    </row>
    <row s="47496" customFormat="1" customHeight="1" ht="11.549999999999999">
      <c r="A43" s="1499"/>
      <c r="B43" s="1499"/>
      <c r="C43" s="1499"/>
      <c r="D43" s="1499"/>
      <c r="E43" s="1499"/>
      <c r="F43" s="2148"/>
      <c r="G43" s="2148"/>
      <c r="H43" s="863"/>
      <c r="N43" s="1878"/>
      <c r="P43" s="1878"/>
      <c r="Q43" s="2148"/>
      <c r="R43" s="2148"/>
      <c r="S43" s="1878"/>
      <c r="T43" s="1878"/>
      <c r="U43" s="1878"/>
      <c r="V43" s="1878"/>
      <c r="W43" s="2148"/>
      <c r="X43" s="1878"/>
      <c r="Y43" s="1878"/>
      <c r="Z43" s="1056"/>
      <c r="AA43" s="1878"/>
      <c r="AB43" s="1878"/>
      <c r="AC43" s="1878"/>
      <c r="AD43" s="1878"/>
      <c r="AE43" s="1878"/>
      <c r="AF43" s="2144"/>
      <c r="AG43" s="1134"/>
      <c r="AH43" s="1134"/>
      <c r="AI43" s="1134"/>
      <c r="AJ43" s="1134"/>
      <c r="AK43" s="2153">
        <v>11</v>
      </c>
    </row>
    <row s="47496" customFormat="1" customHeight="1" ht="11.549999999999999">
      <c r="A44" s="1499"/>
      <c r="B44" s="1499"/>
      <c r="C44" s="1499"/>
      <c r="D44" s="1499"/>
      <c r="E44" s="1499"/>
      <c r="F44" s="2148"/>
      <c r="G44" s="2148"/>
      <c r="H44" s="863"/>
      <c r="N44" s="1878"/>
      <c r="P44" s="1878"/>
      <c r="Q44" s="2148"/>
      <c r="R44" s="2148"/>
      <c r="S44" s="1878"/>
      <c r="T44" s="1878"/>
      <c r="U44" s="1878"/>
      <c r="V44" s="1878"/>
      <c r="W44" s="2148"/>
      <c r="X44" s="1878"/>
      <c r="Y44" s="1878"/>
      <c r="Z44" s="1056"/>
      <c r="AA44" s="1878"/>
      <c r="AB44" s="1878"/>
      <c r="AC44" s="1878"/>
      <c r="AD44" s="1878"/>
      <c r="AE44" s="1878"/>
      <c r="AF44" s="2144"/>
      <c r="AG44" s="1134"/>
      <c r="AH44" s="1134"/>
      <c r="AI44" s="1134"/>
      <c r="AJ44" s="1134"/>
      <c r="AK44" s="2153">
        <v>11</v>
      </c>
    </row>
    <row s="47496" customFormat="1" customHeight="1" ht="11.549999999999999">
      <c r="A45" s="1499"/>
      <c r="B45" s="1499"/>
      <c r="C45" s="1499"/>
      <c r="D45" s="1499"/>
      <c r="E45" s="1499"/>
      <c r="F45" s="2148"/>
      <c r="G45" s="2148"/>
      <c r="H45" s="863"/>
      <c r="N45" s="1878"/>
      <c r="P45" s="1878"/>
      <c r="Q45" s="2148"/>
      <c r="R45" s="2148"/>
      <c r="S45" s="1878"/>
      <c r="T45" s="1878"/>
      <c r="U45" s="1878"/>
      <c r="V45" s="1878"/>
      <c r="W45" s="2148"/>
      <c r="X45" s="1878"/>
      <c r="Y45" s="1878"/>
      <c r="Z45" s="1056"/>
      <c r="AA45" s="1878"/>
      <c r="AB45" s="1878"/>
      <c r="AC45" s="1878"/>
      <c r="AD45" s="1878"/>
      <c r="AE45" s="1878"/>
      <c r="AF45" s="2144"/>
      <c r="AG45" s="1134"/>
      <c r="AH45" s="1134"/>
      <c r="AI45" s="1134"/>
      <c r="AJ45" s="1134"/>
      <c r="AK45" s="2153">
        <v>11</v>
      </c>
    </row>
    <row s="47496" customFormat="1" customHeight="1" ht="11.549999999999999">
      <c r="A46" s="1499"/>
      <c r="B46" s="1499"/>
      <c r="C46" s="1499"/>
      <c r="D46" s="1499"/>
      <c r="E46" s="1499"/>
      <c r="F46" s="2148"/>
      <c r="G46" s="2148"/>
      <c r="H46" s="863"/>
      <c r="N46" s="1878"/>
      <c r="P46" s="1878"/>
      <c r="Q46" s="2148"/>
      <c r="R46" s="2148"/>
      <c r="S46" s="1878"/>
      <c r="T46" s="1878"/>
      <c r="U46" s="1878"/>
      <c r="V46" s="1878"/>
      <c r="W46" s="2148"/>
      <c r="X46" s="1878"/>
      <c r="Y46" s="1878"/>
      <c r="Z46" s="1056"/>
      <c r="AA46" s="1878"/>
      <c r="AB46" s="1878"/>
      <c r="AC46" s="1878"/>
      <c r="AD46" s="1878"/>
      <c r="AE46" s="1878"/>
      <c r="AF46" s="2144"/>
      <c r="AG46" s="1134"/>
      <c r="AH46" s="1134"/>
      <c r="AI46" s="1134"/>
      <c r="AJ46" s="1134"/>
      <c r="AK46" s="2153">
        <v>11</v>
      </c>
    </row>
    <row s="47496" customFormat="1" customHeight="1" ht="11.549999999999999">
      <c r="A47" s="1499"/>
      <c r="B47" s="1499"/>
      <c r="C47" s="1499"/>
      <c r="D47" s="1499"/>
      <c r="E47" s="1499"/>
      <c r="F47" s="2148"/>
      <c r="G47" s="2148"/>
      <c r="H47" s="863"/>
      <c r="N47" s="1878"/>
      <c r="P47" s="1878"/>
      <c r="Q47" s="2148"/>
      <c r="R47" s="2148"/>
      <c r="S47" s="1878"/>
      <c r="T47" s="1878"/>
      <c r="U47" s="1878"/>
      <c r="V47" s="1878"/>
      <c r="W47" s="2148"/>
      <c r="X47" s="1878"/>
      <c r="Y47" s="1878"/>
      <c r="Z47" s="1056"/>
      <c r="AA47" s="1878"/>
      <c r="AB47" s="1878"/>
      <c r="AC47" s="1878"/>
      <c r="AD47" s="1878"/>
      <c r="AE47" s="1878"/>
      <c r="AF47" s="2144"/>
      <c r="AG47" s="1134"/>
      <c r="AH47" s="1134"/>
      <c r="AI47" s="1134"/>
      <c r="AJ47" s="1134"/>
      <c r="AK47" s="2153">
        <v>11</v>
      </c>
    </row>
    <row s="47496" customFormat="1" customHeight="1" ht="11.549999999999999">
      <c r="A48" s="1499"/>
      <c r="B48" s="1499"/>
      <c r="C48" s="1499"/>
      <c r="D48" s="1499"/>
      <c r="E48" s="1499"/>
      <c r="F48" s="2148"/>
      <c r="G48" s="2148"/>
      <c r="H48" s="863"/>
      <c r="N48" s="1878"/>
      <c r="P48" s="1878"/>
      <c r="Q48" s="2148"/>
      <c r="R48" s="2148"/>
      <c r="S48" s="1878"/>
      <c r="T48" s="1878"/>
      <c r="U48" s="1878"/>
      <c r="V48" s="1878"/>
      <c r="W48" s="2148"/>
      <c r="X48" s="1878"/>
      <c r="Y48" s="1878"/>
      <c r="Z48" s="1056"/>
      <c r="AA48" s="1878"/>
      <c r="AB48" s="1878"/>
      <c r="AC48" s="1878"/>
      <c r="AD48" s="1878"/>
      <c r="AE48" s="1878"/>
      <c r="AF48" s="2144"/>
      <c r="AG48" s="1134"/>
      <c r="AH48" s="1134"/>
      <c r="AI48" s="1134"/>
      <c r="AJ48" s="1134"/>
      <c r="AK48" s="2153">
        <v>11</v>
      </c>
    </row>
    <row s="47496" customFormat="1" customHeight="1" ht="11.549999999999999">
      <c r="A49" s="1499"/>
      <c r="B49" s="1499"/>
      <c r="C49" s="1499"/>
      <c r="D49" s="1499"/>
      <c r="E49" s="1499"/>
      <c r="F49" s="2148"/>
      <c r="G49" s="2148"/>
      <c r="H49" s="863"/>
      <c r="N49" s="1878"/>
      <c r="P49" s="1878"/>
      <c r="Q49" s="2148"/>
      <c r="R49" s="2148"/>
      <c r="S49" s="1878"/>
      <c r="T49" s="1878"/>
      <c r="U49" s="1878"/>
      <c r="V49" s="1878"/>
      <c r="W49" s="2148"/>
      <c r="X49" s="1878"/>
      <c r="Y49" s="1878"/>
      <c r="Z49" s="1056"/>
      <c r="AA49" s="1878"/>
      <c r="AB49" s="1878"/>
      <c r="AC49" s="1878"/>
      <c r="AD49" s="1878"/>
      <c r="AE49" s="1878"/>
      <c r="AF49" s="2144"/>
      <c r="AG49" s="1134"/>
      <c r="AH49" s="1134"/>
      <c r="AI49" s="1134"/>
      <c r="AJ49" s="1134"/>
      <c r="AK49" s="2153">
        <v>11</v>
      </c>
    </row>
    <row s="47496" customFormat="1" customHeight="1" ht="11.549999999999999">
      <c r="A50" s="1499"/>
      <c r="B50" s="1499"/>
      <c r="C50" s="1499"/>
      <c r="D50" s="1499"/>
      <c r="E50" s="1499"/>
      <c r="F50" s="2148"/>
      <c r="G50" s="2148"/>
      <c r="H50" s="863"/>
      <c r="N50" s="1878"/>
      <c r="P50" s="1878"/>
      <c r="Q50" s="2148"/>
      <c r="R50" s="2148"/>
      <c r="S50" s="1878"/>
      <c r="T50" s="1878"/>
      <c r="U50" s="1878"/>
      <c r="V50" s="1878"/>
      <c r="W50" s="2148"/>
      <c r="X50" s="1878"/>
      <c r="Y50" s="1878"/>
      <c r="Z50" s="1056"/>
      <c r="AA50" s="1878"/>
      <c r="AB50" s="1878"/>
      <c r="AC50" s="1878"/>
      <c r="AD50" s="1878"/>
      <c r="AE50" s="1878"/>
      <c r="AF50" s="2144"/>
      <c r="AG50" s="1134"/>
      <c r="AH50" s="1134"/>
      <c r="AI50" s="1134"/>
      <c r="AJ50" s="1134"/>
      <c r="AK50" s="2153">
        <v>11</v>
      </c>
    </row>
    <row s="47496" customFormat="1" customHeight="1" ht="11.549999999999999">
      <c r="A51" s="1499"/>
      <c r="B51" s="1499"/>
      <c r="C51" s="1499"/>
      <c r="D51" s="1499"/>
      <c r="E51" s="1499"/>
      <c r="F51" s="2148"/>
      <c r="G51" s="2148"/>
      <c r="H51" s="863"/>
      <c r="N51" s="1878"/>
      <c r="P51" s="1878"/>
      <c r="Q51" s="2148"/>
      <c r="R51" s="2148"/>
      <c r="S51" s="1878"/>
      <c r="T51" s="1878"/>
      <c r="U51" s="1878"/>
      <c r="V51" s="1878"/>
      <c r="W51" s="2148"/>
      <c r="X51" s="1878"/>
      <c r="Y51" s="1878"/>
      <c r="Z51" s="1056"/>
      <c r="AA51" s="1878"/>
      <c r="AB51" s="1878"/>
      <c r="AC51" s="1878"/>
      <c r="AD51" s="1878"/>
      <c r="AE51" s="1878"/>
      <c r="AF51" s="2144"/>
      <c r="AG51" s="1134"/>
      <c r="AH51" s="1134"/>
      <c r="AI51" s="1134"/>
      <c r="AJ51" s="1134"/>
      <c r="AK51" s="2153">
        <v>11</v>
      </c>
    </row>
    <row s="47496" customFormat="1" customHeight="1" ht="11.549999999999999">
      <c r="A52" s="1499"/>
      <c r="B52" s="1499"/>
      <c r="C52" s="1499"/>
      <c r="D52" s="1499"/>
      <c r="E52" s="1499"/>
      <c r="F52" s="2148"/>
      <c r="G52" s="2148"/>
      <c r="H52" s="863"/>
      <c r="N52" s="1878"/>
      <c r="P52" s="1878"/>
      <c r="Q52" s="2148"/>
      <c r="R52" s="2148"/>
      <c r="S52" s="1878"/>
      <c r="T52" s="1878"/>
      <c r="U52" s="1878"/>
      <c r="V52" s="1878"/>
      <c r="W52" s="2148"/>
      <c r="X52" s="1878"/>
      <c r="Y52" s="1878"/>
      <c r="Z52" s="1056"/>
      <c r="AA52" s="1878"/>
      <c r="AB52" s="1878"/>
      <c r="AC52" s="1878"/>
      <c r="AD52" s="1878"/>
      <c r="AE52" s="1878"/>
      <c r="AF52" s="2144"/>
      <c r="AG52" s="1134"/>
      <c r="AH52" s="1134"/>
      <c r="AI52" s="1134"/>
      <c r="AJ52" s="1134"/>
      <c r="AK52" s="2153">
        <v>11</v>
      </c>
    </row>
    <row s="47496" customFormat="1" customHeight="1" ht="11.549999999999999">
      <c r="A53" s="1499"/>
      <c r="B53" s="1499"/>
      <c r="C53" s="1499"/>
      <c r="D53" s="1499"/>
      <c r="E53" s="1499"/>
      <c r="F53" s="2148"/>
      <c r="G53" s="2148"/>
      <c r="H53" s="863"/>
      <c r="N53" s="1878"/>
      <c r="P53" s="1878"/>
      <c r="Q53" s="2148"/>
      <c r="R53" s="2148"/>
      <c r="S53" s="1878"/>
      <c r="T53" s="1878"/>
      <c r="U53" s="1878"/>
      <c r="V53" s="1878"/>
      <c r="W53" s="2148"/>
      <c r="X53" s="1878"/>
      <c r="Y53" s="1878"/>
      <c r="Z53" s="1056"/>
      <c r="AA53" s="1878"/>
      <c r="AB53" s="1878"/>
      <c r="AC53" s="1878"/>
      <c r="AD53" s="1878"/>
      <c r="AE53" s="1878"/>
      <c r="AF53" s="2144"/>
      <c r="AG53" s="1134"/>
      <c r="AH53" s="1134"/>
      <c r="AI53" s="1134"/>
      <c r="AJ53" s="1134"/>
      <c r="AK53" s="2153">
        <v>11</v>
      </c>
    </row>
    <row s="47496" customFormat="1" customHeight="1" ht="11.549999999999999">
      <c r="A54" s="1499"/>
      <c r="B54" s="1499"/>
      <c r="C54" s="1499"/>
      <c r="D54" s="1499"/>
      <c r="E54" s="1499"/>
      <c r="F54" s="2148"/>
      <c r="G54" s="2148"/>
      <c r="H54" s="863"/>
      <c r="N54" s="1878"/>
      <c r="P54" s="1878"/>
      <c r="Q54" s="2148"/>
      <c r="R54" s="2148"/>
      <c r="S54" s="1878"/>
      <c r="T54" s="1878"/>
      <c r="U54" s="1878"/>
      <c r="V54" s="1878"/>
      <c r="W54" s="2148"/>
      <c r="X54" s="1878"/>
      <c r="Y54" s="1878"/>
      <c r="Z54" s="1056"/>
      <c r="AA54" s="1878"/>
      <c r="AB54" s="1878"/>
      <c r="AC54" s="1878"/>
      <c r="AD54" s="1878"/>
      <c r="AE54" s="1878"/>
      <c r="AF54" s="2144"/>
      <c r="AG54" s="1134"/>
      <c r="AH54" s="1134"/>
      <c r="AI54" s="1134"/>
      <c r="AJ54" s="1134"/>
      <c r="AK54" s="2153">
        <v>11</v>
      </c>
    </row>
    <row s="47496" customFormat="1" customHeight="1" ht="11.549999999999999">
      <c r="A55" s="1499"/>
      <c r="B55" s="1499"/>
      <c r="C55" s="1499"/>
      <c r="D55" s="1499"/>
      <c r="E55" s="1499"/>
      <c r="F55" s="2148"/>
      <c r="G55" s="2148"/>
      <c r="H55" s="863"/>
      <c r="N55" s="1878"/>
      <c r="P55" s="1878"/>
      <c r="Q55" s="2148"/>
      <c r="R55" s="2148"/>
      <c r="S55" s="1878"/>
      <c r="T55" s="1878"/>
      <c r="U55" s="1878"/>
      <c r="V55" s="1878"/>
      <c r="W55" s="2148"/>
      <c r="X55" s="1878"/>
      <c r="Y55" s="1878"/>
      <c r="Z55" s="1056"/>
      <c r="AA55" s="1878"/>
      <c r="AB55" s="1878"/>
      <c r="AC55" s="1878"/>
      <c r="AD55" s="1878"/>
      <c r="AE55" s="1878"/>
      <c r="AF55" s="2144"/>
      <c r="AG55" s="1134"/>
      <c r="AH55" s="1134"/>
      <c r="AI55" s="1134"/>
      <c r="AJ55" s="1134"/>
      <c r="AK55" s="2153">
        <v>11</v>
      </c>
    </row>
    <row s="47496" customFormat="1" customHeight="1" ht="11.549999999999999">
      <c r="A56" s="1499"/>
      <c r="B56" s="1499"/>
      <c r="C56" s="1499"/>
      <c r="D56" s="1499"/>
      <c r="E56" s="1499"/>
      <c r="F56" s="2148"/>
      <c r="G56" s="2148"/>
      <c r="H56" s="863"/>
      <c r="N56" s="1878"/>
      <c r="P56" s="1878"/>
      <c r="Q56" s="2148"/>
      <c r="R56" s="2148"/>
      <c r="S56" s="1878"/>
      <c r="T56" s="1878"/>
      <c r="U56" s="1878"/>
      <c r="V56" s="1878"/>
      <c r="W56" s="2148"/>
      <c r="X56" s="1878"/>
      <c r="Y56" s="1878"/>
      <c r="Z56" s="1056"/>
      <c r="AA56" s="1878"/>
      <c r="AB56" s="1878"/>
      <c r="AC56" s="1878"/>
      <c r="AD56" s="1878"/>
      <c r="AE56" s="1878"/>
      <c r="AF56" s="2144"/>
      <c r="AG56" s="1134"/>
      <c r="AH56" s="1134"/>
      <c r="AI56" s="1134"/>
      <c r="AJ56" s="1134"/>
      <c r="AK56" s="2153">
        <v>11</v>
      </c>
    </row>
    <row s="47496" customFormat="1" customHeight="1" ht="11.549999999999999">
      <c r="A57" s="1499"/>
      <c r="B57" s="1499"/>
      <c r="C57" s="1499"/>
      <c r="D57" s="1499"/>
      <c r="E57" s="1499"/>
      <c r="F57" s="2148"/>
      <c r="G57" s="2148"/>
      <c r="H57" s="863"/>
      <c r="N57" s="1878"/>
      <c r="P57" s="1878"/>
      <c r="Q57" s="2148"/>
      <c r="R57" s="2148"/>
      <c r="S57" s="1878"/>
      <c r="T57" s="1878"/>
      <c r="U57" s="1878"/>
      <c r="V57" s="1878"/>
      <c r="W57" s="2148"/>
      <c r="X57" s="1878"/>
      <c r="Y57" s="1878"/>
      <c r="Z57" s="1056"/>
      <c r="AA57" s="1878"/>
      <c r="AB57" s="1878"/>
      <c r="AC57" s="1878"/>
      <c r="AD57" s="1878"/>
      <c r="AE57" s="1878"/>
      <c r="AF57" s="2144"/>
      <c r="AG57" s="1134"/>
      <c r="AH57" s="1134"/>
      <c r="AI57" s="1134"/>
      <c r="AJ57" s="1134"/>
      <c r="AK57" s="2153">
        <v>11</v>
      </c>
    </row>
    <row s="47496" customFormat="1" customHeight="1" ht="11.549999999999999">
      <c r="A58" s="1499"/>
      <c r="B58" s="1499"/>
      <c r="C58" s="1499"/>
      <c r="D58" s="1499"/>
      <c r="E58" s="1499"/>
      <c r="F58" s="2148"/>
      <c r="G58" s="2148"/>
      <c r="H58" s="863"/>
      <c r="N58" s="1878"/>
      <c r="P58" s="1878"/>
      <c r="Q58" s="2148"/>
      <c r="R58" s="2148"/>
      <c r="S58" s="1878"/>
      <c r="T58" s="1878"/>
      <c r="U58" s="1878"/>
      <c r="V58" s="1878"/>
      <c r="W58" s="2148"/>
      <c r="X58" s="1878"/>
      <c r="Y58" s="1878"/>
      <c r="Z58" s="1056"/>
      <c r="AA58" s="1878"/>
      <c r="AB58" s="1878"/>
      <c r="AC58" s="1878"/>
      <c r="AD58" s="1878"/>
      <c r="AE58" s="1878"/>
      <c r="AF58" s="2144"/>
      <c r="AG58" s="1134"/>
      <c r="AH58" s="1134"/>
      <c r="AI58" s="1134"/>
      <c r="AJ58" s="1134"/>
      <c r="AK58" s="2153">
        <v>11</v>
      </c>
    </row>
    <row s="47496" customFormat="1" customHeight="1" ht="11.549999999999999">
      <c r="A59" s="1499"/>
      <c r="B59" s="1499"/>
      <c r="C59" s="1499"/>
      <c r="D59" s="1499"/>
      <c r="E59" s="1499"/>
      <c r="F59" s="2148"/>
      <c r="G59" s="2148"/>
      <c r="H59" s="863"/>
      <c r="N59" s="1878"/>
      <c r="P59" s="1878"/>
      <c r="Q59" s="2148"/>
      <c r="R59" s="2148"/>
      <c r="S59" s="1878"/>
      <c r="T59" s="1878"/>
      <c r="U59" s="1878"/>
      <c r="V59" s="1878"/>
      <c r="W59" s="2148"/>
      <c r="X59" s="1878"/>
      <c r="Y59" s="1878"/>
      <c r="Z59" s="1056"/>
      <c r="AA59" s="1878"/>
      <c r="AB59" s="1878"/>
      <c r="AC59" s="1878"/>
      <c r="AD59" s="1878"/>
      <c r="AE59" s="1878"/>
      <c r="AF59" s="2144"/>
      <c r="AG59" s="1134"/>
      <c r="AH59" s="1134"/>
      <c r="AI59" s="1134"/>
      <c r="AJ59" s="1134"/>
      <c r="AK59" s="2153">
        <v>11</v>
      </c>
    </row>
    <row s="47496" customFormat="1" customHeight="1" ht="11.549999999999999">
      <c r="A60" s="1499"/>
      <c r="B60" s="1499"/>
      <c r="C60" s="1499"/>
      <c r="D60" s="1499"/>
      <c r="E60" s="1499"/>
      <c r="F60" s="2148"/>
      <c r="G60" s="2148"/>
      <c r="H60" s="863"/>
      <c r="N60" s="1878"/>
      <c r="P60" s="1878"/>
      <c r="Q60" s="2148"/>
      <c r="R60" s="2148"/>
      <c r="S60" s="1878"/>
      <c r="T60" s="1878"/>
      <c r="U60" s="1878"/>
      <c r="V60" s="1878"/>
      <c r="W60" s="2148"/>
      <c r="X60" s="1878"/>
      <c r="Y60" s="1878"/>
      <c r="Z60" s="1056"/>
      <c r="AA60" s="1878"/>
      <c r="AB60" s="1878"/>
      <c r="AC60" s="1878"/>
      <c r="AD60" s="1878"/>
      <c r="AE60" s="1878"/>
      <c r="AF60" s="2144"/>
      <c r="AG60" s="1134"/>
      <c r="AH60" s="1134"/>
      <c r="AI60" s="1134"/>
      <c r="AJ60" s="1134"/>
      <c r="AK60" s="2153">
        <v>11</v>
      </c>
    </row>
    <row s="47496" customFormat="1" customHeight="1" ht="11.549999999999999">
      <c r="A61" s="1499"/>
      <c r="B61" s="1499"/>
      <c r="C61" s="1499"/>
      <c r="D61" s="1499"/>
      <c r="E61" s="1499"/>
      <c r="F61" s="2148"/>
      <c r="G61" s="2148"/>
      <c r="H61" s="863"/>
      <c r="N61" s="1878"/>
      <c r="P61" s="1878"/>
      <c r="Q61" s="2148"/>
      <c r="R61" s="2148"/>
      <c r="S61" s="1878"/>
      <c r="T61" s="1878"/>
      <c r="U61" s="1878"/>
      <c r="V61" s="1878"/>
      <c r="W61" s="2148"/>
      <c r="X61" s="1878"/>
      <c r="Y61" s="1878"/>
      <c r="Z61" s="1056"/>
      <c r="AA61" s="1878"/>
      <c r="AB61" s="1878"/>
      <c r="AC61" s="1878"/>
      <c r="AD61" s="1878"/>
      <c r="AE61" s="1878"/>
      <c r="AF61" s="2144"/>
      <c r="AG61" s="1134"/>
      <c r="AH61" s="1134"/>
      <c r="AI61" s="1134"/>
      <c r="AJ61" s="1134"/>
      <c r="AK61" s="2153">
        <v>11</v>
      </c>
    </row>
    <row s="47496" customFormat="1" customHeight="1" ht="11.549999999999999">
      <c r="A62" s="1499"/>
      <c r="B62" s="1499"/>
      <c r="C62" s="1499"/>
      <c r="D62" s="1499"/>
      <c r="E62" s="1499"/>
      <c r="F62" s="2148"/>
      <c r="G62" s="2148"/>
      <c r="H62" s="863"/>
      <c r="N62" s="1878"/>
      <c r="P62" s="1878"/>
      <c r="Q62" s="2148"/>
      <c r="R62" s="2148"/>
      <c r="S62" s="1878"/>
      <c r="T62" s="1878"/>
      <c r="U62" s="1878"/>
      <c r="V62" s="1878"/>
      <c r="W62" s="2148"/>
      <c r="X62" s="1878"/>
      <c r="Y62" s="1878"/>
      <c r="Z62" s="1056"/>
      <c r="AA62" s="1878"/>
      <c r="AB62" s="1878"/>
      <c r="AC62" s="1878"/>
      <c r="AD62" s="1878"/>
      <c r="AE62" s="1878"/>
      <c r="AF62" s="2144"/>
      <c r="AG62" s="1134"/>
      <c r="AH62" s="1134"/>
      <c r="AI62" s="1134"/>
      <c r="AJ62" s="1134"/>
      <c r="AK62" s="2153">
        <v>11</v>
      </c>
    </row>
    <row s="47496" customFormat="1" customHeight="1" ht="11.549999999999999">
      <c r="A63" s="1499"/>
      <c r="B63" s="1499"/>
      <c r="C63" s="1499"/>
      <c r="D63" s="1499"/>
      <c r="E63" s="1499"/>
      <c r="F63" s="2148"/>
      <c r="G63" s="2148"/>
      <c r="H63" s="863"/>
      <c r="N63" s="1878"/>
      <c r="P63" s="1878"/>
      <c r="Q63" s="2148"/>
      <c r="R63" s="2148"/>
      <c r="S63" s="1878"/>
      <c r="T63" s="1878"/>
      <c r="U63" s="1878"/>
      <c r="V63" s="1878"/>
      <c r="W63" s="2148"/>
      <c r="X63" s="1878"/>
      <c r="Y63" s="1878"/>
      <c r="Z63" s="1056"/>
      <c r="AA63" s="1878"/>
      <c r="AB63" s="1878"/>
      <c r="AC63" s="1878"/>
      <c r="AD63" s="1878"/>
      <c r="AE63" s="1878"/>
      <c r="AF63" s="2144"/>
      <c r="AG63" s="1134"/>
      <c r="AH63" s="1134"/>
      <c r="AI63" s="1134"/>
      <c r="AJ63" s="1134"/>
      <c r="AK63" s="2153">
        <v>11</v>
      </c>
    </row>
    <row s="47496" customFormat="1" customHeight="1" ht="11.549999999999999">
      <c r="A64" s="1499"/>
      <c r="B64" s="1499"/>
      <c r="C64" s="1499"/>
      <c r="D64" s="1499"/>
      <c r="E64" s="1499"/>
      <c r="F64" s="2148"/>
      <c r="G64" s="2148"/>
      <c r="H64" s="863"/>
      <c r="N64" s="1878"/>
      <c r="P64" s="1878"/>
      <c r="Q64" s="2148"/>
      <c r="R64" s="2148"/>
      <c r="S64" s="1878"/>
      <c r="T64" s="1878"/>
      <c r="U64" s="1878"/>
      <c r="V64" s="1878"/>
      <c r="W64" s="2148"/>
      <c r="X64" s="1878"/>
      <c r="Y64" s="1878"/>
      <c r="Z64" s="1056"/>
      <c r="AA64" s="1878"/>
      <c r="AB64" s="1878"/>
      <c r="AC64" s="1878"/>
      <c r="AD64" s="1878"/>
      <c r="AE64" s="1878"/>
      <c r="AF64" s="2144"/>
      <c r="AG64" s="1134"/>
      <c r="AH64" s="1134"/>
      <c r="AI64" s="1134"/>
      <c r="AJ64" s="1134"/>
      <c r="AK64" s="2153">
        <v>11</v>
      </c>
    </row>
    <row s="47496" customFormat="1" customHeight="1" ht="11.549999999999999">
      <c r="A65" s="1499"/>
      <c r="B65" s="1499"/>
      <c r="C65" s="1499"/>
      <c r="D65" s="1499"/>
      <c r="E65" s="1499"/>
      <c r="F65" s="2148"/>
      <c r="G65" s="2148"/>
      <c r="H65" s="863"/>
      <c r="N65" s="1878"/>
      <c r="P65" s="1878"/>
      <c r="Q65" s="2148"/>
      <c r="R65" s="2148"/>
      <c r="S65" s="1878"/>
      <c r="T65" s="1878"/>
      <c r="U65" s="1878"/>
      <c r="V65" s="1878"/>
      <c r="W65" s="2148"/>
      <c r="X65" s="1878"/>
      <c r="Y65" s="1878"/>
      <c r="Z65" s="1056"/>
      <c r="AA65" s="1878"/>
      <c r="AB65" s="1878"/>
      <c r="AC65" s="1878"/>
      <c r="AD65" s="1878"/>
      <c r="AE65" s="1878"/>
      <c r="AF65" s="2144"/>
      <c r="AG65" s="1134"/>
      <c r="AH65" s="1134"/>
      <c r="AI65" s="1134"/>
      <c r="AJ65" s="1134"/>
      <c r="AK65" s="2153">
        <v>11</v>
      </c>
    </row>
    <row s="47496" customFormat="1" customHeight="1" ht="11.549999999999999">
      <c r="A66" s="1499"/>
      <c r="B66" s="1499"/>
      <c r="C66" s="1499"/>
      <c r="D66" s="1499"/>
      <c r="E66" s="1499"/>
      <c r="F66" s="2148"/>
      <c r="G66" s="2148"/>
      <c r="H66" s="863"/>
      <c r="N66" s="1878"/>
      <c r="P66" s="1878"/>
      <c r="Q66" s="2148"/>
      <c r="R66" s="2148"/>
      <c r="S66" s="1878"/>
      <c r="T66" s="1878"/>
      <c r="U66" s="1878"/>
      <c r="V66" s="1878"/>
      <c r="W66" s="2148"/>
      <c r="X66" s="1878"/>
      <c r="Y66" s="1878"/>
      <c r="Z66" s="1056"/>
      <c r="AA66" s="1878"/>
      <c r="AB66" s="1878"/>
      <c r="AC66" s="1878"/>
      <c r="AD66" s="1878"/>
      <c r="AE66" s="1878"/>
      <c r="AF66" s="2144"/>
      <c r="AG66" s="1134"/>
      <c r="AH66" s="1134"/>
      <c r="AI66" s="1134"/>
      <c r="AJ66" s="1134"/>
      <c r="AK66" s="2153">
        <v>11</v>
      </c>
    </row>
    <row s="47496" customFormat="1" customHeight="1" ht="11.549999999999999">
      <c r="A67" s="1499"/>
      <c r="B67" s="1499"/>
      <c r="C67" s="1499"/>
      <c r="D67" s="1499"/>
      <c r="E67" s="1499"/>
      <c r="F67" s="2148"/>
      <c r="G67" s="2148"/>
      <c r="H67" s="863"/>
      <c r="N67" s="1878"/>
      <c r="P67" s="1878"/>
      <c r="Q67" s="2148"/>
      <c r="R67" s="2148"/>
      <c r="S67" s="1878"/>
      <c r="T67" s="1878"/>
      <c r="U67" s="1878"/>
      <c r="V67" s="1878"/>
      <c r="W67" s="2148"/>
      <c r="X67" s="1878"/>
      <c r="Y67" s="1878"/>
      <c r="Z67" s="1056"/>
      <c r="AA67" s="1878"/>
      <c r="AB67" s="1878"/>
      <c r="AC67" s="1878"/>
      <c r="AD67" s="1878"/>
      <c r="AE67" s="1878"/>
      <c r="AF67" s="2144"/>
      <c r="AG67" s="1134"/>
      <c r="AH67" s="1134"/>
      <c r="AI67" s="1134"/>
      <c r="AJ67" s="1134"/>
      <c r="AK67" s="2153">
        <v>11</v>
      </c>
    </row>
    <row s="47496" customFormat="1" customHeight="1" ht="11.549999999999999">
      <c r="A68" s="1499"/>
      <c r="B68" s="1499"/>
      <c r="C68" s="1499"/>
      <c r="D68" s="1499"/>
      <c r="E68" s="1499"/>
      <c r="F68" s="2148"/>
      <c r="G68" s="2148"/>
      <c r="H68" s="863"/>
      <c r="N68" s="1878"/>
      <c r="P68" s="1878"/>
      <c r="Q68" s="2148"/>
      <c r="R68" s="2148"/>
      <c r="S68" s="1878"/>
      <c r="T68" s="1878"/>
      <c r="U68" s="1878"/>
      <c r="V68" s="1878"/>
      <c r="W68" s="2148"/>
      <c r="X68" s="1878"/>
      <c r="Y68" s="1878"/>
      <c r="Z68" s="1056"/>
      <c r="AA68" s="1878"/>
      <c r="AB68" s="1878"/>
      <c r="AC68" s="1878"/>
      <c r="AD68" s="1878"/>
      <c r="AE68" s="1878"/>
      <c r="AF68" s="2144"/>
      <c r="AG68" s="1134"/>
      <c r="AH68" s="1134"/>
      <c r="AI68" s="1134"/>
      <c r="AJ68" s="1134"/>
      <c r="AK68" s="2153">
        <v>11</v>
      </c>
    </row>
    <row s="47496" customFormat="1" customHeight="1" ht="11.549999999999999">
      <c r="A69" s="1499"/>
      <c r="B69" s="1499"/>
      <c r="C69" s="1499"/>
      <c r="D69" s="1499"/>
      <c r="E69" s="1499"/>
      <c r="F69" s="2148"/>
      <c r="G69" s="2148"/>
      <c r="H69" s="863"/>
      <c r="N69" s="1878"/>
      <c r="P69" s="1878"/>
      <c r="Q69" s="2148"/>
      <c r="R69" s="2148"/>
      <c r="S69" s="1878"/>
      <c r="T69" s="1878"/>
      <c r="U69" s="1878"/>
      <c r="V69" s="1878"/>
      <c r="W69" s="2148"/>
      <c r="X69" s="1878"/>
      <c r="Y69" s="1878"/>
      <c r="Z69" s="1056"/>
      <c r="AA69" s="1878"/>
      <c r="AB69" s="1878"/>
      <c r="AC69" s="1878"/>
      <c r="AD69" s="1878"/>
      <c r="AE69" s="1878"/>
      <c r="AF69" s="2144"/>
      <c r="AG69" s="1134"/>
      <c r="AH69" s="1134"/>
      <c r="AI69" s="1134"/>
      <c r="AJ69" s="1134"/>
      <c r="AK69" s="2153">
        <v>11</v>
      </c>
    </row>
    <row s="47496" customFormat="1" customHeight="1" ht="11.549999999999999">
      <c r="A70" s="1499"/>
      <c r="B70" s="1499"/>
      <c r="C70" s="1499"/>
      <c r="D70" s="1499"/>
      <c r="E70" s="1499"/>
      <c r="F70" s="2148"/>
      <c r="G70" s="2148"/>
      <c r="H70" s="863"/>
      <c r="N70" s="1878"/>
      <c r="P70" s="1878"/>
      <c r="Q70" s="2148"/>
      <c r="R70" s="2148"/>
      <c r="S70" s="1878"/>
      <c r="T70" s="1878"/>
      <c r="U70" s="1878"/>
      <c r="V70" s="1878"/>
      <c r="W70" s="2148"/>
      <c r="X70" s="1878"/>
      <c r="Y70" s="1878"/>
      <c r="Z70" s="1056"/>
      <c r="AA70" s="1878"/>
      <c r="AB70" s="1878"/>
      <c r="AC70" s="1878"/>
      <c r="AD70" s="1878"/>
      <c r="AE70" s="1878"/>
      <c r="AF70" s="2144"/>
      <c r="AG70" s="1134"/>
      <c r="AH70" s="1134"/>
      <c r="AI70" s="1134"/>
      <c r="AJ70" s="1134"/>
      <c r="AK70" s="2153">
        <v>11</v>
      </c>
    </row>
    <row s="47496" customFormat="1" customHeight="1" ht="11.549999999999999">
      <c r="A71" s="1499"/>
      <c r="B71" s="1499"/>
      <c r="C71" s="1499"/>
      <c r="D71" s="1499"/>
      <c r="E71" s="1499"/>
      <c r="F71" s="2148"/>
      <c r="G71" s="2148"/>
      <c r="H71" s="863"/>
      <c r="N71" s="1878"/>
      <c r="P71" s="1878"/>
      <c r="Q71" s="2148"/>
      <c r="R71" s="2148"/>
      <c r="S71" s="1878"/>
      <c r="T71" s="1878"/>
      <c r="U71" s="1878"/>
      <c r="V71" s="1878"/>
      <c r="W71" s="2148"/>
      <c r="X71" s="1878"/>
      <c r="Y71" s="1878"/>
      <c r="Z71" s="1056"/>
      <c r="AA71" s="1878"/>
      <c r="AB71" s="1878"/>
      <c r="AC71" s="1878"/>
      <c r="AD71" s="1878"/>
      <c r="AE71" s="1878"/>
      <c r="AF71" s="2144"/>
      <c r="AG71" s="1134"/>
      <c r="AH71" s="1134"/>
      <c r="AI71" s="1134"/>
      <c r="AJ71" s="1134"/>
      <c r="AK71" s="2153">
        <v>11</v>
      </c>
    </row>
    <row s="47496" customFormat="1" customHeight="1" ht="11.549999999999999">
      <c r="A72" s="1499"/>
      <c r="B72" s="1499"/>
      <c r="C72" s="1499"/>
      <c r="D72" s="1499"/>
      <c r="E72" s="1499"/>
      <c r="F72" s="2148"/>
      <c r="G72" s="2148"/>
      <c r="H72" s="863"/>
      <c r="N72" s="1878"/>
      <c r="P72" s="1878"/>
      <c r="Q72" s="2148"/>
      <c r="R72" s="2148"/>
      <c r="S72" s="1878"/>
      <c r="T72" s="1878"/>
      <c r="U72" s="1878"/>
      <c r="V72" s="1878"/>
      <c r="W72" s="2148"/>
      <c r="X72" s="1878"/>
      <c r="Y72" s="1878"/>
      <c r="Z72" s="1056"/>
      <c r="AA72" s="1878"/>
      <c r="AB72" s="1878"/>
      <c r="AC72" s="1878"/>
      <c r="AD72" s="1878"/>
      <c r="AE72" s="1878"/>
      <c r="AF72" s="2144"/>
      <c r="AG72" s="1134"/>
      <c r="AH72" s="1134"/>
      <c r="AI72" s="1134"/>
      <c r="AJ72" s="1134"/>
      <c r="AK72" s="2153">
        <v>11</v>
      </c>
    </row>
    <row s="47496" customFormat="1" customHeight="1" ht="11.549999999999999">
      <c r="A73" s="1499"/>
      <c r="B73" s="1499"/>
      <c r="C73" s="1499"/>
      <c r="D73" s="1499"/>
      <c r="E73" s="1499"/>
      <c r="F73" s="2148"/>
      <c r="G73" s="2148"/>
      <c r="H73" s="863"/>
      <c r="N73" s="1878"/>
      <c r="P73" s="1878"/>
      <c r="Q73" s="2148"/>
      <c r="R73" s="2148"/>
      <c r="S73" s="1878"/>
      <c r="T73" s="1878"/>
      <c r="U73" s="1878"/>
      <c r="V73" s="1878"/>
      <c r="W73" s="2148"/>
      <c r="X73" s="1878"/>
      <c r="Y73" s="1878"/>
      <c r="Z73" s="1056"/>
      <c r="AA73" s="1878"/>
      <c r="AB73" s="1878"/>
      <c r="AC73" s="1878"/>
      <c r="AD73" s="1878"/>
      <c r="AE73" s="1878"/>
      <c r="AF73" s="2144"/>
      <c r="AG73" s="1134"/>
      <c r="AH73" s="1134"/>
      <c r="AI73" s="1134"/>
      <c r="AJ73" s="1134"/>
      <c r="AK73" s="2153">
        <v>11</v>
      </c>
    </row>
    <row s="47496" customFormat="1" customHeight="1" ht="11.549999999999999">
      <c r="A74" s="1499"/>
      <c r="B74" s="1499"/>
      <c r="C74" s="1499"/>
      <c r="D74" s="1499"/>
      <c r="E74" s="1499"/>
      <c r="F74" s="2148"/>
      <c r="G74" s="2148"/>
      <c r="H74" s="863"/>
      <c r="N74" s="1878"/>
      <c r="P74" s="1878"/>
      <c r="Q74" s="2148"/>
      <c r="R74" s="2148"/>
      <c r="S74" s="1878"/>
      <c r="T74" s="1878"/>
      <c r="U74" s="1878"/>
      <c r="V74" s="1878"/>
      <c r="W74" s="2148"/>
      <c r="X74" s="1878"/>
      <c r="Y74" s="1878"/>
      <c r="Z74" s="1056"/>
      <c r="AA74" s="1878"/>
      <c r="AB74" s="1878"/>
      <c r="AC74" s="1878"/>
      <c r="AD74" s="1878"/>
      <c r="AE74" s="1878"/>
      <c r="AF74" s="2144"/>
      <c r="AG74" s="1134"/>
      <c r="AH74" s="1134"/>
      <c r="AI74" s="1134"/>
      <c r="AJ74" s="1134"/>
      <c r="AK74" s="2153">
        <v>11</v>
      </c>
    </row>
    <row s="47496" customFormat="1" customHeight="1" ht="11.549999999999999">
      <c r="A75" s="1499"/>
      <c r="B75" s="1499"/>
      <c r="C75" s="1499"/>
      <c r="D75" s="1499"/>
      <c r="E75" s="1499"/>
      <c r="F75" s="2148"/>
      <c r="G75" s="2148"/>
      <c r="H75" s="863"/>
      <c r="N75" s="1878"/>
      <c r="P75" s="1878"/>
      <c r="Q75" s="2148"/>
      <c r="R75" s="2148"/>
      <c r="S75" s="1878"/>
      <c r="T75" s="1878"/>
      <c r="U75" s="1878"/>
      <c r="V75" s="1878"/>
      <c r="W75" s="2148"/>
      <c r="X75" s="1878"/>
      <c r="Y75" s="1878"/>
      <c r="Z75" s="1056"/>
      <c r="AA75" s="1878"/>
      <c r="AB75" s="1878"/>
      <c r="AC75" s="1878"/>
      <c r="AD75" s="1878"/>
      <c r="AE75" s="1878"/>
      <c r="AF75" s="2144"/>
      <c r="AG75" s="1134"/>
      <c r="AH75" s="1134"/>
      <c r="AI75" s="1134"/>
      <c r="AJ75" s="1134"/>
      <c r="AK75" s="2153">
        <v>11</v>
      </c>
    </row>
    <row s="47496" customFormat="1" customHeight="1" ht="11.549999999999999">
      <c r="A76" s="1499"/>
      <c r="B76" s="1499"/>
      <c r="C76" s="1499"/>
      <c r="D76" s="1499"/>
      <c r="E76" s="1499"/>
      <c r="F76" s="2148"/>
      <c r="G76" s="2148"/>
      <c r="H76" s="863"/>
      <c r="N76" s="1878"/>
      <c r="P76" s="1878"/>
      <c r="Q76" s="2148"/>
      <c r="R76" s="2148"/>
      <c r="S76" s="1878"/>
      <c r="T76" s="1878"/>
      <c r="U76" s="1878"/>
      <c r="V76" s="1878"/>
      <c r="W76" s="2148"/>
      <c r="X76" s="1878"/>
      <c r="Y76" s="1878"/>
      <c r="Z76" s="1056"/>
      <c r="AA76" s="1878"/>
      <c r="AB76" s="1878"/>
      <c r="AC76" s="1878"/>
      <c r="AD76" s="1878"/>
      <c r="AE76" s="1878"/>
      <c r="AF76" s="2144"/>
      <c r="AG76" s="1134"/>
      <c r="AH76" s="1134"/>
      <c r="AI76" s="1134"/>
      <c r="AJ76" s="1134"/>
      <c r="AK76" s="2153">
        <v>11</v>
      </c>
    </row>
    <row s="47496" customFormat="1" customHeight="1" ht="11.549999999999999">
      <c r="A77" s="1499"/>
      <c r="B77" s="1499"/>
      <c r="C77" s="1499"/>
      <c r="D77" s="1499"/>
      <c r="E77" s="1499"/>
      <c r="F77" s="2148"/>
      <c r="G77" s="2148"/>
      <c r="H77" s="863"/>
      <c r="N77" s="1878"/>
      <c r="P77" s="1878"/>
      <c r="Q77" s="2148"/>
      <c r="R77" s="2148"/>
      <c r="S77" s="1878"/>
      <c r="T77" s="1878"/>
      <c r="U77" s="1878"/>
      <c r="V77" s="1878"/>
      <c r="W77" s="2148"/>
      <c r="X77" s="1878"/>
      <c r="Y77" s="1878"/>
      <c r="Z77" s="1056"/>
      <c r="AA77" s="1878"/>
      <c r="AB77" s="1878"/>
      <c r="AC77" s="1878"/>
      <c r="AD77" s="1878"/>
      <c r="AE77" s="1878"/>
      <c r="AF77" s="2144"/>
      <c r="AG77" s="1134"/>
      <c r="AH77" s="1134"/>
      <c r="AI77" s="1134"/>
      <c r="AJ77" s="1134"/>
      <c r="AK77" s="2153">
        <v>11</v>
      </c>
    </row>
    <row s="47496" customFormat="1" customHeight="1" ht="11.549999999999999">
      <c r="A78" s="1499"/>
      <c r="B78" s="1499"/>
      <c r="C78" s="1499"/>
      <c r="D78" s="1499"/>
      <c r="E78" s="1499"/>
      <c r="F78" s="2148"/>
      <c r="G78" s="2148"/>
      <c r="H78" s="863"/>
      <c r="N78" s="1878"/>
      <c r="P78" s="1878"/>
      <c r="Q78" s="2148"/>
      <c r="R78" s="2148"/>
      <c r="S78" s="1878"/>
      <c r="T78" s="1878"/>
      <c r="U78" s="1878"/>
      <c r="V78" s="1878"/>
      <c r="W78" s="2148"/>
      <c r="X78" s="1878"/>
      <c r="Y78" s="1878"/>
      <c r="Z78" s="1056"/>
      <c r="AA78" s="1878"/>
      <c r="AB78" s="1878"/>
      <c r="AC78" s="1878"/>
      <c r="AD78" s="1878"/>
      <c r="AE78" s="1878"/>
      <c r="AF78" s="2144"/>
      <c r="AG78" s="1134"/>
      <c r="AH78" s="1134"/>
      <c r="AI78" s="1134"/>
      <c r="AJ78" s="1134"/>
      <c r="AK78" s="2153">
        <v>11</v>
      </c>
    </row>
    <row s="47496" customFormat="1" customHeight="1" ht="11.549999999999999">
      <c r="A79" s="1499"/>
      <c r="B79" s="1499"/>
      <c r="C79" s="1499"/>
      <c r="D79" s="1499"/>
      <c r="E79" s="1499"/>
      <c r="F79" s="2148"/>
      <c r="G79" s="2148"/>
      <c r="H79" s="863"/>
      <c r="N79" s="1878"/>
      <c r="P79" s="1878"/>
      <c r="Q79" s="2148"/>
      <c r="R79" s="2148"/>
      <c r="S79" s="1878"/>
      <c r="T79" s="1878"/>
      <c r="U79" s="1878"/>
      <c r="V79" s="1878"/>
      <c r="W79" s="2148"/>
      <c r="X79" s="1878"/>
      <c r="Y79" s="1878"/>
      <c r="Z79" s="1056"/>
      <c r="AA79" s="1878"/>
      <c r="AB79" s="1878"/>
      <c r="AC79" s="1878"/>
      <c r="AD79" s="1878"/>
      <c r="AE79" s="1878"/>
      <c r="AF79" s="2144"/>
      <c r="AG79" s="1134"/>
      <c r="AH79" s="1134"/>
      <c r="AI79" s="1134"/>
      <c r="AJ79" s="1134"/>
      <c r="AK79" s="2153">
        <v>11</v>
      </c>
    </row>
    <row s="47496" customFormat="1" customHeight="1" ht="11.549999999999999">
      <c r="A80" s="1499"/>
      <c r="B80" s="1499"/>
      <c r="C80" s="1499"/>
      <c r="D80" s="1499"/>
      <c r="E80" s="1499"/>
      <c r="F80" s="2148"/>
      <c r="G80" s="2148"/>
      <c r="H80" s="863"/>
      <c r="N80" s="1878"/>
      <c r="P80" s="1878"/>
      <c r="Q80" s="2148"/>
      <c r="R80" s="2148"/>
      <c r="S80" s="1878"/>
      <c r="T80" s="1878"/>
      <c r="U80" s="1878"/>
      <c r="V80" s="1878"/>
      <c r="W80" s="2148"/>
      <c r="X80" s="1878"/>
      <c r="Y80" s="1878"/>
      <c r="Z80" s="1056"/>
      <c r="AA80" s="1878"/>
      <c r="AB80" s="1878"/>
      <c r="AC80" s="1878"/>
      <c r="AD80" s="1878"/>
      <c r="AE80" s="1878"/>
      <c r="AF80" s="2144"/>
      <c r="AG80" s="1134"/>
      <c r="AH80" s="1134"/>
      <c r="AI80" s="1134"/>
      <c r="AJ80" s="1134"/>
      <c r="AK80" s="2153">
        <v>11</v>
      </c>
    </row>
    <row s="47496" customFormat="1" customHeight="1" ht="11.549999999999999">
      <c r="A81" s="1499"/>
      <c r="B81" s="1499"/>
      <c r="C81" s="1499"/>
      <c r="D81" s="1499"/>
      <c r="E81" s="1499"/>
      <c r="F81" s="2148"/>
      <c r="G81" s="2148"/>
      <c r="H81" s="863"/>
      <c r="N81" s="1878"/>
      <c r="P81" s="1878"/>
      <c r="Q81" s="2148"/>
      <c r="R81" s="2148"/>
      <c r="S81" s="1878"/>
      <c r="T81" s="1878"/>
      <c r="U81" s="1878"/>
      <c r="V81" s="1878"/>
      <c r="W81" s="2148"/>
      <c r="X81" s="1878"/>
      <c r="Y81" s="1878"/>
      <c r="Z81" s="1056"/>
      <c r="AA81" s="1878"/>
      <c r="AB81" s="1878"/>
      <c r="AC81" s="1878"/>
      <c r="AD81" s="1878"/>
      <c r="AE81" s="1878"/>
      <c r="AF81" s="2144"/>
      <c r="AG81" s="1134"/>
      <c r="AH81" s="1134"/>
      <c r="AI81" s="1134"/>
      <c r="AJ81" s="1134"/>
      <c r="AK81" s="2153">
        <v>11</v>
      </c>
    </row>
    <row s="47496" customFormat="1" customHeight="1" ht="11.549999999999999">
      <c r="A82" s="1499"/>
      <c r="B82" s="1499"/>
      <c r="C82" s="1499"/>
      <c r="D82" s="1499"/>
      <c r="E82" s="1499"/>
      <c r="F82" s="2148"/>
      <c r="G82" s="2148"/>
      <c r="H82" s="863"/>
      <c r="N82" s="1878"/>
      <c r="P82" s="1878"/>
      <c r="Q82" s="2148"/>
      <c r="R82" s="2148"/>
      <c r="S82" s="1878"/>
      <c r="T82" s="1878"/>
      <c r="U82" s="1878"/>
      <c r="V82" s="1878"/>
      <c r="W82" s="2148"/>
      <c r="X82" s="1878"/>
      <c r="Y82" s="1878"/>
      <c r="Z82" s="1056"/>
      <c r="AA82" s="1878"/>
      <c r="AB82" s="1878"/>
      <c r="AC82" s="1878"/>
      <c r="AD82" s="1878"/>
      <c r="AE82" s="1878"/>
      <c r="AF82" s="2144"/>
      <c r="AG82" s="1134"/>
      <c r="AH82" s="1134"/>
      <c r="AI82" s="1134"/>
      <c r="AJ82" s="1134"/>
      <c r="AK82" s="2153">
        <v>11</v>
      </c>
    </row>
    <row s="47496" customFormat="1" customHeight="1" ht="11.549999999999999">
      <c r="A83" s="1499"/>
      <c r="B83" s="1499"/>
      <c r="C83" s="1499"/>
      <c r="D83" s="1499"/>
      <c r="E83" s="1499"/>
      <c r="F83" s="2148"/>
      <c r="G83" s="2148"/>
      <c r="H83" s="863"/>
      <c r="N83" s="1878"/>
      <c r="P83" s="1878"/>
      <c r="Q83" s="2148"/>
      <c r="R83" s="2148"/>
      <c r="S83" s="1878"/>
      <c r="T83" s="1878"/>
      <c r="U83" s="1878"/>
      <c r="V83" s="1878"/>
      <c r="W83" s="2148"/>
      <c r="X83" s="1878"/>
      <c r="Y83" s="1878"/>
      <c r="Z83" s="1056"/>
      <c r="AA83" s="1878"/>
      <c r="AB83" s="1878"/>
      <c r="AC83" s="1878"/>
      <c r="AD83" s="1878"/>
      <c r="AE83" s="1878"/>
      <c r="AF83" s="2144"/>
      <c r="AG83" s="1134"/>
      <c r="AH83" s="1134"/>
      <c r="AI83" s="1134"/>
      <c r="AJ83" s="1134"/>
      <c r="AK83" s="2153">
        <v>11</v>
      </c>
    </row>
    <row s="47496" customFormat="1" customHeight="1" ht="11.549999999999999">
      <c r="A84" s="1499"/>
      <c r="B84" s="1499"/>
      <c r="C84" s="1499"/>
      <c r="D84" s="1499"/>
      <c r="E84" s="1499"/>
      <c r="F84" s="2148"/>
      <c r="G84" s="2148"/>
      <c r="H84" s="863"/>
      <c r="N84" s="1878"/>
      <c r="P84" s="1878"/>
      <c r="Q84" s="2148"/>
      <c r="R84" s="2148"/>
      <c r="S84" s="1878"/>
      <c r="T84" s="1878"/>
      <c r="U84" s="1878"/>
      <c r="V84" s="1878"/>
      <c r="W84" s="2148"/>
      <c r="X84" s="1878"/>
      <c r="Y84" s="1878"/>
      <c r="Z84" s="1056"/>
      <c r="AA84" s="1878"/>
      <c r="AB84" s="1878"/>
      <c r="AC84" s="1878"/>
      <c r="AD84" s="1878"/>
      <c r="AE84" s="1878"/>
      <c r="AF84" s="2144"/>
      <c r="AG84" s="1134"/>
      <c r="AH84" s="1134"/>
      <c r="AI84" s="1134"/>
      <c r="AJ84" s="1134"/>
      <c r="AK84" s="2153">
        <v>11</v>
      </c>
    </row>
    <row s="47496" customFormat="1" customHeight="1" ht="11.549999999999999">
      <c r="A85" s="1499"/>
      <c r="B85" s="1499"/>
      <c r="C85" s="1499"/>
      <c r="D85" s="1499"/>
      <c r="E85" s="1499"/>
      <c r="F85" s="2148"/>
      <c r="G85" s="2148"/>
      <c r="H85" s="863"/>
      <c r="N85" s="1878"/>
      <c r="P85" s="1878"/>
      <c r="Q85" s="2148"/>
      <c r="R85" s="2148"/>
      <c r="S85" s="1878"/>
      <c r="T85" s="1878"/>
      <c r="U85" s="1878"/>
      <c r="V85" s="1878"/>
      <c r="W85" s="2148"/>
      <c r="X85" s="1878"/>
      <c r="Y85" s="1878"/>
      <c r="Z85" s="1056"/>
      <c r="AA85" s="1878"/>
      <c r="AB85" s="1878"/>
      <c r="AC85" s="1878"/>
      <c r="AD85" s="1878"/>
      <c r="AE85" s="1878"/>
      <c r="AF85" s="2144"/>
      <c r="AG85" s="1134"/>
      <c r="AH85" s="1134"/>
      <c r="AI85" s="1134"/>
      <c r="AJ85" s="1134"/>
      <c r="AK85" s="2153">
        <v>11</v>
      </c>
    </row>
    <row s="47496" customFormat="1" customHeight="1" ht="11.549999999999999">
      <c r="A86" s="1499"/>
      <c r="B86" s="1499"/>
      <c r="C86" s="1499"/>
      <c r="D86" s="1499"/>
      <c r="E86" s="1499"/>
      <c r="F86" s="2148"/>
      <c r="G86" s="2148"/>
      <c r="H86" s="863"/>
      <c r="N86" s="1878"/>
      <c r="P86" s="1878"/>
      <c r="Q86" s="2148"/>
      <c r="R86" s="2148"/>
      <c r="S86" s="1878"/>
      <c r="T86" s="1878"/>
      <c r="U86" s="1878"/>
      <c r="V86" s="1878"/>
      <c r="W86" s="2148"/>
      <c r="X86" s="1878"/>
      <c r="Y86" s="1878"/>
      <c r="Z86" s="1056"/>
      <c r="AA86" s="1878"/>
      <c r="AB86" s="1878"/>
      <c r="AC86" s="1878"/>
      <c r="AD86" s="1878"/>
      <c r="AE86" s="1878"/>
      <c r="AF86" s="2144"/>
      <c r="AG86" s="1134"/>
      <c r="AH86" s="1134"/>
      <c r="AI86" s="1134"/>
      <c r="AJ86" s="1134"/>
      <c r="AK86" s="2153">
        <v>11</v>
      </c>
    </row>
    <row s="47496" customFormat="1" customHeight="1" ht="11.549999999999999">
      <c r="A87" s="1499"/>
      <c r="B87" s="1499"/>
      <c r="C87" s="1499"/>
      <c r="D87" s="1499"/>
      <c r="E87" s="1499"/>
      <c r="F87" s="2148"/>
      <c r="G87" s="2148"/>
      <c r="H87" s="863"/>
      <c r="N87" s="1878"/>
      <c r="P87" s="1878"/>
      <c r="Q87" s="2148"/>
      <c r="R87" s="2148"/>
      <c r="S87" s="1878"/>
      <c r="T87" s="1878"/>
      <c r="U87" s="1878"/>
      <c r="V87" s="1878"/>
      <c r="W87" s="2148"/>
      <c r="X87" s="1878"/>
      <c r="Y87" s="1878"/>
      <c r="Z87" s="1056"/>
      <c r="AA87" s="1878"/>
      <c r="AB87" s="1878"/>
      <c r="AC87" s="1878"/>
      <c r="AD87" s="1878"/>
      <c r="AE87" s="1878"/>
      <c r="AF87" s="2144"/>
      <c r="AG87" s="1134"/>
      <c r="AH87" s="1134"/>
      <c r="AI87" s="1134"/>
      <c r="AJ87" s="1134"/>
      <c r="AK87" s="2153">
        <v>11</v>
      </c>
    </row>
    <row s="47496" customFormat="1" customHeight="1" ht="11.549999999999999">
      <c r="A88" s="1499"/>
      <c r="B88" s="1499"/>
      <c r="C88" s="1499"/>
      <c r="D88" s="1499"/>
      <c r="E88" s="1499"/>
      <c r="F88" s="2148"/>
      <c r="G88" s="2148"/>
      <c r="H88" s="863"/>
      <c r="N88" s="1878"/>
      <c r="P88" s="1878"/>
      <c r="Q88" s="2148"/>
      <c r="R88" s="2148"/>
      <c r="S88" s="1878"/>
      <c r="T88" s="1878"/>
      <c r="U88" s="1878"/>
      <c r="V88" s="1878"/>
      <c r="W88" s="2148"/>
      <c r="X88" s="1878"/>
      <c r="Y88" s="1878"/>
      <c r="Z88" s="1056"/>
      <c r="AA88" s="1878"/>
      <c r="AB88" s="1878"/>
      <c r="AC88" s="1878"/>
      <c r="AD88" s="1878"/>
      <c r="AE88" s="1878"/>
      <c r="AF88" s="2144"/>
      <c r="AG88" s="1134"/>
      <c r="AH88" s="1134"/>
      <c r="AI88" s="1134"/>
      <c r="AJ88" s="1134"/>
      <c r="AK88" s="2153">
        <v>11</v>
      </c>
    </row>
    <row s="47496" customFormat="1" customHeight="1" ht="11.549999999999999">
      <c r="A89" s="1499"/>
      <c r="B89" s="1499"/>
      <c r="C89" s="1499"/>
      <c r="D89" s="1499"/>
      <c r="E89" s="1499"/>
      <c r="F89" s="2148"/>
      <c r="G89" s="2148"/>
      <c r="H89" s="863"/>
      <c r="N89" s="1878"/>
      <c r="P89" s="1878"/>
      <c r="Q89" s="2148"/>
      <c r="R89" s="2148"/>
      <c r="S89" s="1878"/>
      <c r="T89" s="1878"/>
      <c r="U89" s="1878"/>
      <c r="V89" s="1878"/>
      <c r="W89" s="2148"/>
      <c r="X89" s="1878"/>
      <c r="Y89" s="1878"/>
      <c r="Z89" s="1056"/>
      <c r="AA89" s="1878"/>
      <c r="AB89" s="1878"/>
      <c r="AC89" s="1878"/>
      <c r="AD89" s="1878"/>
      <c r="AE89" s="1878"/>
      <c r="AF89" s="2144"/>
      <c r="AG89" s="1134"/>
      <c r="AH89" s="1134"/>
      <c r="AI89" s="1134"/>
      <c r="AJ89" s="1134"/>
      <c r="AK89" s="2153">
        <v>11</v>
      </c>
    </row>
    <row s="47496" customFormat="1" customHeight="1" ht="11.549999999999999">
      <c r="A90" s="1499"/>
      <c r="B90" s="1499"/>
      <c r="C90" s="1499"/>
      <c r="D90" s="1499"/>
      <c r="E90" s="1499"/>
      <c r="F90" s="2148"/>
      <c r="G90" s="2148"/>
      <c r="H90" s="863"/>
      <c r="N90" s="1878"/>
      <c r="P90" s="1878"/>
      <c r="Q90" s="2148"/>
      <c r="R90" s="2148"/>
      <c r="S90" s="1878"/>
      <c r="T90" s="1878"/>
      <c r="U90" s="1878"/>
      <c r="V90" s="1878"/>
      <c r="W90" s="2148"/>
      <c r="X90" s="1878"/>
      <c r="Y90" s="1878"/>
      <c r="Z90" s="1056"/>
      <c r="AA90" s="1878"/>
      <c r="AB90" s="1878"/>
      <c r="AC90" s="1878"/>
      <c r="AD90" s="1878"/>
      <c r="AE90" s="1878"/>
      <c r="AF90" s="2144"/>
      <c r="AG90" s="1134"/>
      <c r="AH90" s="1134"/>
      <c r="AI90" s="1134"/>
      <c r="AJ90" s="1134"/>
      <c r="AK90" s="2153">
        <v>11</v>
      </c>
    </row>
    <row s="47496" customFormat="1" customHeight="1" ht="11.549999999999999">
      <c r="A91" s="1499"/>
      <c r="B91" s="1499"/>
      <c r="C91" s="1499"/>
      <c r="D91" s="1499"/>
      <c r="E91" s="1499"/>
      <c r="F91" s="2148"/>
      <c r="G91" s="2148"/>
      <c r="H91" s="863"/>
      <c r="N91" s="1878"/>
      <c r="P91" s="1878"/>
      <c r="Q91" s="2148"/>
      <c r="R91" s="2148"/>
      <c r="S91" s="1878"/>
      <c r="T91" s="1878"/>
      <c r="U91" s="1878"/>
      <c r="V91" s="1878"/>
      <c r="W91" s="2148"/>
      <c r="X91" s="1878"/>
      <c r="Y91" s="1878"/>
      <c r="Z91" s="1056"/>
      <c r="AA91" s="1878"/>
      <c r="AB91" s="1878"/>
      <c r="AC91" s="1878"/>
      <c r="AD91" s="1878"/>
      <c r="AE91" s="1878"/>
      <c r="AF91" s="2144"/>
      <c r="AG91" s="1134"/>
      <c r="AH91" s="1134"/>
      <c r="AI91" s="1134"/>
      <c r="AJ91" s="1134"/>
      <c r="AK91" s="2153">
        <v>11</v>
      </c>
    </row>
    <row s="47496" customFormat="1" customHeight="1" ht="11.549999999999999">
      <c r="A92" s="1499"/>
      <c r="B92" s="1499"/>
      <c r="C92" s="1499"/>
      <c r="D92" s="1499"/>
      <c r="E92" s="1499"/>
      <c r="F92" s="2148"/>
      <c r="G92" s="2148"/>
      <c r="H92" s="863"/>
      <c r="N92" s="1878"/>
      <c r="P92" s="1878"/>
      <c r="Q92" s="2148"/>
      <c r="R92" s="2148"/>
      <c r="S92" s="1878"/>
      <c r="T92" s="1878"/>
      <c r="U92" s="1878"/>
      <c r="V92" s="1878"/>
      <c r="W92" s="2148"/>
      <c r="X92" s="1878"/>
      <c r="Y92" s="1878"/>
      <c r="Z92" s="1056"/>
      <c r="AA92" s="1878"/>
      <c r="AB92" s="1878"/>
      <c r="AC92" s="1878"/>
      <c r="AD92" s="1878"/>
      <c r="AE92" s="1878"/>
      <c r="AF92" s="2144"/>
      <c r="AG92" s="1134"/>
      <c r="AH92" s="1134"/>
      <c r="AI92" s="1134"/>
      <c r="AJ92" s="1134"/>
      <c r="AK92" s="2153">
        <v>11</v>
      </c>
    </row>
    <row s="47496" customFormat="1" customHeight="1" ht="11.549999999999999">
      <c r="A93" s="1499"/>
      <c r="B93" s="1499"/>
      <c r="C93" s="1499"/>
      <c r="D93" s="1499"/>
      <c r="E93" s="1499"/>
      <c r="F93" s="2148"/>
      <c r="G93" s="2148"/>
      <c r="H93" s="863"/>
      <c r="N93" s="1878"/>
      <c r="P93" s="1878"/>
      <c r="Q93" s="2148"/>
      <c r="R93" s="2148"/>
      <c r="S93" s="1878"/>
      <c r="T93" s="1878"/>
      <c r="U93" s="1878"/>
      <c r="V93" s="1878"/>
      <c r="W93" s="2148"/>
      <c r="X93" s="1878"/>
      <c r="Y93" s="1878"/>
      <c r="Z93" s="1056"/>
      <c r="AA93" s="1878"/>
      <c r="AB93" s="1878"/>
      <c r="AC93" s="1878"/>
      <c r="AD93" s="1878"/>
      <c r="AE93" s="1878"/>
      <c r="AF93" s="2144"/>
      <c r="AG93" s="1134"/>
      <c r="AH93" s="1134"/>
      <c r="AI93" s="1134"/>
      <c r="AJ93" s="1134"/>
      <c r="AK93" s="2153">
        <v>11</v>
      </c>
    </row>
    <row s="47496" customFormat="1" customHeight="1" ht="11.549999999999999">
      <c r="A94" s="1499"/>
      <c r="B94" s="1499"/>
      <c r="C94" s="1499"/>
      <c r="D94" s="1499"/>
      <c r="E94" s="1499"/>
      <c r="F94" s="2148"/>
      <c r="G94" s="2148"/>
      <c r="H94" s="863"/>
      <c r="N94" s="1878"/>
      <c r="P94" s="1878"/>
      <c r="Q94" s="2148"/>
      <c r="R94" s="2148"/>
      <c r="S94" s="1878"/>
      <c r="T94" s="1878"/>
      <c r="U94" s="1878"/>
      <c r="V94" s="1878"/>
      <c r="W94" s="2148"/>
      <c r="X94" s="1878"/>
      <c r="Y94" s="1878"/>
      <c r="Z94" s="1056"/>
      <c r="AA94" s="1878"/>
      <c r="AB94" s="1878"/>
      <c r="AC94" s="1878"/>
      <c r="AD94" s="1878"/>
      <c r="AE94" s="1878"/>
      <c r="AF94" s="2144"/>
      <c r="AG94" s="1134"/>
      <c r="AH94" s="1134"/>
      <c r="AI94" s="1134"/>
      <c r="AJ94" s="1134"/>
      <c r="AK94" s="2153">
        <v>11</v>
      </c>
    </row>
    <row s="47496" customFormat="1" customHeight="1" ht="11.549999999999999">
      <c r="A95" s="1499"/>
      <c r="B95" s="1499"/>
      <c r="C95" s="1499"/>
      <c r="D95" s="1499"/>
      <c r="E95" s="1499"/>
      <c r="F95" s="2148"/>
      <c r="G95" s="2148"/>
      <c r="H95" s="863"/>
      <c r="N95" s="1878"/>
      <c r="P95" s="1878"/>
      <c r="Q95" s="2148"/>
      <c r="R95" s="2148"/>
      <c r="S95" s="1878"/>
      <c r="T95" s="1878"/>
      <c r="U95" s="1878"/>
      <c r="V95" s="1878"/>
      <c r="W95" s="2148"/>
      <c r="X95" s="1878"/>
      <c r="Y95" s="1878"/>
      <c r="Z95" s="1056"/>
      <c r="AA95" s="1878"/>
      <c r="AB95" s="1878"/>
      <c r="AC95" s="1878"/>
      <c r="AD95" s="1878"/>
      <c r="AE95" s="1878"/>
      <c r="AF95" s="2144"/>
      <c r="AG95" s="1134"/>
      <c r="AH95" s="1134"/>
      <c r="AI95" s="1134"/>
      <c r="AJ95" s="1134"/>
      <c r="AK95" s="2153">
        <v>11</v>
      </c>
    </row>
    <row s="47496" customFormat="1" customHeight="1" ht="11.549999999999999">
      <c r="A96" s="1499"/>
      <c r="B96" s="1499"/>
      <c r="C96" s="1499"/>
      <c r="D96" s="1499"/>
      <c r="E96" s="1499"/>
      <c r="F96" s="2148"/>
      <c r="G96" s="2148"/>
      <c r="H96" s="863"/>
      <c r="N96" s="1878"/>
      <c r="P96" s="1878"/>
      <c r="Q96" s="2148"/>
      <c r="R96" s="2148"/>
      <c r="S96" s="1878"/>
      <c r="T96" s="1878"/>
      <c r="U96" s="1878"/>
      <c r="V96" s="1878"/>
      <c r="W96" s="2148"/>
      <c r="X96" s="1878"/>
      <c r="Y96" s="1878"/>
      <c r="Z96" s="1056"/>
      <c r="AA96" s="1878"/>
      <c r="AB96" s="1878"/>
      <c r="AC96" s="1878"/>
      <c r="AD96" s="1878"/>
      <c r="AE96" s="1878"/>
      <c r="AF96" s="2144"/>
      <c r="AG96" s="1134"/>
      <c r="AH96" s="1134"/>
      <c r="AI96" s="1134"/>
      <c r="AJ96" s="1134"/>
      <c r="AK96" s="2153">
        <v>11</v>
      </c>
    </row>
    <row s="47496" customFormat="1" customHeight="1" ht="11.549999999999999">
      <c r="A97" s="1499"/>
      <c r="B97" s="1499"/>
      <c r="C97" s="1499"/>
      <c r="D97" s="1499"/>
      <c r="E97" s="1499"/>
      <c r="F97" s="2148"/>
      <c r="G97" s="2148"/>
      <c r="H97" s="863"/>
      <c r="N97" s="1878"/>
      <c r="P97" s="1878"/>
      <c r="Q97" s="2148"/>
      <c r="R97" s="2148"/>
      <c r="S97" s="1878"/>
      <c r="T97" s="1878"/>
      <c r="U97" s="1878"/>
      <c r="V97" s="1878"/>
      <c r="W97" s="2148"/>
      <c r="X97" s="1878"/>
      <c r="Y97" s="1878"/>
      <c r="Z97" s="1056"/>
      <c r="AA97" s="1878"/>
      <c r="AB97" s="1878"/>
      <c r="AC97" s="1878"/>
      <c r="AD97" s="1878"/>
      <c r="AE97" s="1878"/>
      <c r="AF97" s="2144"/>
      <c r="AG97" s="1134"/>
      <c r="AH97" s="1134"/>
      <c r="AI97" s="1134"/>
      <c r="AJ97" s="1134"/>
      <c r="AK97" s="2153">
        <v>11</v>
      </c>
    </row>
    <row s="47496" customFormat="1" customHeight="1" ht="11.549999999999999">
      <c r="A98" s="1499"/>
      <c r="B98" s="1499"/>
      <c r="C98" s="1499"/>
      <c r="D98" s="1499"/>
      <c r="E98" s="1499"/>
      <c r="F98" s="2148"/>
      <c r="G98" s="2148"/>
      <c r="H98" s="863"/>
      <c r="N98" s="1878"/>
      <c r="P98" s="1878"/>
      <c r="Q98" s="2148"/>
      <c r="R98" s="2148"/>
      <c r="S98" s="1878"/>
      <c r="T98" s="1878"/>
      <c r="U98" s="1878"/>
      <c r="V98" s="1878"/>
      <c r="W98" s="2148"/>
      <c r="X98" s="1878"/>
      <c r="Y98" s="1878"/>
      <c r="Z98" s="1056"/>
      <c r="AA98" s="1878"/>
      <c r="AB98" s="1878"/>
      <c r="AC98" s="1878"/>
      <c r="AD98" s="1878"/>
      <c r="AE98" s="1878"/>
      <c r="AF98" s="2144"/>
      <c r="AG98" s="1134"/>
      <c r="AH98" s="1134"/>
      <c r="AI98" s="1134"/>
      <c r="AJ98" s="1134"/>
      <c r="AK98" s="2153">
        <v>11</v>
      </c>
    </row>
    <row s="47496" customFormat="1" customHeight="1" ht="11.549999999999999">
      <c r="A99" s="1499"/>
      <c r="B99" s="1499"/>
      <c r="C99" s="1499"/>
      <c r="D99" s="1499"/>
      <c r="E99" s="1499"/>
      <c r="F99" s="2148"/>
      <c r="G99" s="2148"/>
      <c r="H99" s="863"/>
      <c r="N99" s="1878"/>
      <c r="P99" s="1878"/>
      <c r="Q99" s="2148"/>
      <c r="R99" s="2148"/>
      <c r="S99" s="1878"/>
      <c r="T99" s="1878"/>
      <c r="U99" s="1878"/>
      <c r="V99" s="1878"/>
      <c r="W99" s="2148"/>
      <c r="X99" s="1878"/>
      <c r="Y99" s="1878"/>
      <c r="Z99" s="1056"/>
      <c r="AA99" s="1878"/>
      <c r="AB99" s="1878"/>
      <c r="AC99" s="1878"/>
      <c r="AD99" s="1878"/>
      <c r="AE99" s="1878"/>
      <c r="AF99" s="2144"/>
      <c r="AG99" s="1134"/>
      <c r="AH99" s="1134"/>
      <c r="AI99" s="1134"/>
      <c r="AJ99" s="1134"/>
      <c r="AK99" s="2153">
        <v>11</v>
      </c>
    </row>
    <row s="47496" customFormat="1" customHeight="1" ht="11.549999999999999">
      <c r="A100" s="1499"/>
      <c r="B100" s="1499"/>
      <c r="C100" s="1499"/>
      <c r="D100" s="1499"/>
      <c r="E100" s="1499"/>
      <c r="F100" s="2148"/>
      <c r="G100" s="2148"/>
      <c r="H100" s="863"/>
      <c r="N100" s="1878"/>
      <c r="P100" s="1878"/>
      <c r="Q100" s="2148"/>
      <c r="R100" s="2148"/>
      <c r="S100" s="1878"/>
      <c r="T100" s="1878"/>
      <c r="U100" s="1878"/>
      <c r="V100" s="1878"/>
      <c r="W100" s="2148"/>
      <c r="X100" s="1878"/>
      <c r="Y100" s="1878"/>
      <c r="Z100" s="1056"/>
      <c r="AA100" s="1878"/>
      <c r="AB100" s="1878"/>
      <c r="AC100" s="1878"/>
      <c r="AD100" s="1878"/>
      <c r="AE100" s="1878"/>
      <c r="AF100" s="2144"/>
      <c r="AG100" s="1134"/>
      <c r="AH100" s="1134"/>
      <c r="AI100" s="1134"/>
      <c r="AJ100" s="1134"/>
      <c r="AK100" s="2153">
        <v>11</v>
      </c>
    </row>
    <row s="47496" customFormat="1" customHeight="1" ht="11.549999999999999">
      <c r="A101" s="1499"/>
      <c r="B101" s="1499"/>
      <c r="C101" s="1499"/>
      <c r="D101" s="1499"/>
      <c r="E101" s="1499"/>
      <c r="F101" s="2148"/>
      <c r="G101" s="2148"/>
      <c r="H101" s="863"/>
      <c r="N101" s="1878"/>
      <c r="P101" s="1878"/>
      <c r="Q101" s="2148"/>
      <c r="R101" s="2148"/>
      <c r="S101" s="1878"/>
      <c r="T101" s="1878"/>
      <c r="U101" s="1878"/>
      <c r="V101" s="1878"/>
      <c r="W101" s="2148"/>
      <c r="X101" s="1878"/>
      <c r="Y101" s="1878"/>
      <c r="Z101" s="1056"/>
      <c r="AA101" s="1878"/>
      <c r="AB101" s="1878"/>
      <c r="AC101" s="1878"/>
      <c r="AD101" s="1878"/>
      <c r="AE101" s="1878"/>
      <c r="AF101" s="2144"/>
      <c r="AG101" s="1134"/>
      <c r="AH101" s="1134"/>
      <c r="AI101" s="1134"/>
      <c r="AJ101" s="1134"/>
      <c r="AK101" s="2153">
        <v>11</v>
      </c>
    </row>
    <row s="47496" customFormat="1" customHeight="1" ht="11.549999999999999">
      <c r="A102" s="1499"/>
      <c r="B102" s="1499"/>
      <c r="C102" s="1499"/>
      <c r="D102" s="1499"/>
      <c r="E102" s="1499"/>
      <c r="F102" s="2148"/>
      <c r="G102" s="2148"/>
      <c r="H102" s="863"/>
      <c r="N102" s="1878"/>
      <c r="P102" s="1878"/>
      <c r="Q102" s="2148"/>
      <c r="R102" s="2148"/>
      <c r="S102" s="1878"/>
      <c r="T102" s="1878"/>
      <c r="U102" s="1878"/>
      <c r="V102" s="1878"/>
      <c r="W102" s="2148"/>
      <c r="X102" s="1878"/>
      <c r="Y102" s="1878"/>
      <c r="Z102" s="1056"/>
      <c r="AA102" s="1878"/>
      <c r="AB102" s="1878"/>
      <c r="AC102" s="1878"/>
      <c r="AD102" s="1878"/>
      <c r="AE102" s="1878"/>
      <c r="AF102" s="2144"/>
      <c r="AG102" s="1134"/>
      <c r="AH102" s="1134"/>
      <c r="AI102" s="1134"/>
      <c r="AJ102" s="1134"/>
      <c r="AK102" s="2153">
        <v>11</v>
      </c>
    </row>
    <row s="47496" customFormat="1" customHeight="1" ht="11.549999999999999">
      <c r="A103" s="1499"/>
      <c r="B103" s="1499"/>
      <c r="C103" s="1499"/>
      <c r="D103" s="1499"/>
      <c r="E103" s="1499"/>
      <c r="F103" s="2148"/>
      <c r="G103" s="2148"/>
      <c r="H103" s="863"/>
      <c r="N103" s="1878"/>
      <c r="P103" s="1878"/>
      <c r="Q103" s="2148"/>
      <c r="R103" s="2148"/>
      <c r="S103" s="1878"/>
      <c r="T103" s="1878"/>
      <c r="U103" s="1878"/>
      <c r="V103" s="1878"/>
      <c r="W103" s="2148"/>
      <c r="X103" s="1878"/>
      <c r="Y103" s="1878"/>
      <c r="Z103" s="1056"/>
      <c r="AA103" s="1878"/>
      <c r="AB103" s="1878"/>
      <c r="AC103" s="1878"/>
      <c r="AD103" s="1878"/>
      <c r="AE103" s="1878"/>
      <c r="AF103" s="2144"/>
      <c r="AG103" s="1134"/>
      <c r="AH103" s="1134"/>
      <c r="AI103" s="1134"/>
      <c r="AJ103" s="1134"/>
      <c r="AK103" s="2153">
        <v>11</v>
      </c>
    </row>
    <row s="47496" customFormat="1" customHeight="1" ht="11.549999999999999">
      <c r="A104" s="1499"/>
      <c r="B104" s="1499"/>
      <c r="C104" s="1499"/>
      <c r="D104" s="1499"/>
      <c r="E104" s="1499"/>
      <c r="F104" s="2148"/>
      <c r="G104" s="2148"/>
      <c r="H104" s="863"/>
      <c r="N104" s="1878"/>
      <c r="P104" s="1878"/>
      <c r="Q104" s="2148"/>
      <c r="R104" s="2148"/>
      <c r="S104" s="1878"/>
      <c r="T104" s="1878"/>
      <c r="U104" s="1878"/>
      <c r="V104" s="1878"/>
      <c r="W104" s="2148"/>
      <c r="X104" s="1878"/>
      <c r="Y104" s="1878"/>
      <c r="Z104" s="1056"/>
      <c r="AA104" s="1878"/>
      <c r="AB104" s="1878"/>
      <c r="AC104" s="1878"/>
      <c r="AD104" s="1878"/>
      <c r="AE104" s="1878"/>
      <c r="AF104" s="2144"/>
      <c r="AG104" s="1134"/>
      <c r="AH104" s="1134"/>
      <c r="AI104" s="1134"/>
      <c r="AJ104" s="1134"/>
      <c r="AK104" s="2153">
        <v>11</v>
      </c>
    </row>
    <row s="47496" customFormat="1" customHeight="1" ht="11.549999999999999">
      <c r="A105" s="1499"/>
      <c r="B105" s="1499"/>
      <c r="C105" s="1499"/>
      <c r="D105" s="1499"/>
      <c r="E105" s="1499"/>
      <c r="F105" s="2148"/>
      <c r="G105" s="2148"/>
      <c r="H105" s="863"/>
      <c r="N105" s="1878"/>
      <c r="P105" s="1878"/>
      <c r="Q105" s="2148"/>
      <c r="R105" s="2148"/>
      <c r="S105" s="1878"/>
      <c r="T105" s="1878"/>
      <c r="U105" s="1878"/>
      <c r="V105" s="1878"/>
      <c r="W105" s="2148"/>
      <c r="X105" s="1878"/>
      <c r="Y105" s="1878"/>
      <c r="Z105" s="1056"/>
      <c r="AA105" s="1878"/>
      <c r="AB105" s="1878"/>
      <c r="AC105" s="1878"/>
      <c r="AD105" s="1878"/>
      <c r="AE105" s="1878"/>
      <c r="AF105" s="2144"/>
      <c r="AG105" s="1134"/>
      <c r="AH105" s="1134"/>
      <c r="AI105" s="1134"/>
      <c r="AJ105" s="1134"/>
      <c r="AK105" s="2153">
        <v>11</v>
      </c>
    </row>
    <row s="47496" customFormat="1" customHeight="1" ht="11.549999999999999">
      <c r="A106" s="1499"/>
      <c r="B106" s="1499"/>
      <c r="C106" s="1499"/>
      <c r="D106" s="1499"/>
      <c r="E106" s="1499"/>
      <c r="F106" s="2148"/>
      <c r="G106" s="2148"/>
      <c r="H106" s="863"/>
      <c r="N106" s="1878"/>
      <c r="P106" s="1878"/>
      <c r="Q106" s="2148"/>
      <c r="R106" s="2148"/>
      <c r="S106" s="1878"/>
      <c r="T106" s="1878"/>
      <c r="U106" s="1878"/>
      <c r="V106" s="1878"/>
      <c r="W106" s="2148"/>
      <c r="X106" s="1878"/>
      <c r="Y106" s="1878"/>
      <c r="Z106" s="1056"/>
      <c r="AA106" s="1878"/>
      <c r="AB106" s="1878"/>
      <c r="AC106" s="1878"/>
      <c r="AD106" s="1878"/>
      <c r="AE106" s="1878"/>
      <c r="AF106" s="2144"/>
      <c r="AG106" s="1134"/>
      <c r="AH106" s="1134"/>
      <c r="AI106" s="1134"/>
      <c r="AJ106" s="1134"/>
      <c r="AK106" s="2153">
        <v>11</v>
      </c>
    </row>
    <row s="47496" customFormat="1" customHeight="1" ht="11.549999999999999">
      <c r="A107" s="1499"/>
      <c r="B107" s="1499"/>
      <c r="C107" s="1499"/>
      <c r="D107" s="1499"/>
      <c r="E107" s="1499"/>
      <c r="F107" s="2148"/>
      <c r="G107" s="2148"/>
      <c r="H107" s="863"/>
      <c r="N107" s="1878"/>
      <c r="P107" s="1878"/>
      <c r="Q107" s="2148"/>
      <c r="R107" s="2148"/>
      <c r="S107" s="1878"/>
      <c r="T107" s="1878"/>
      <c r="U107" s="1878"/>
      <c r="V107" s="1878"/>
      <c r="W107" s="2148"/>
      <c r="X107" s="1878"/>
      <c r="Y107" s="1878"/>
      <c r="Z107" s="1056"/>
      <c r="AA107" s="1878"/>
      <c r="AB107" s="1878"/>
      <c r="AC107" s="1878"/>
      <c r="AD107" s="1878"/>
      <c r="AE107" s="1878"/>
      <c r="AF107" s="2144"/>
      <c r="AG107" s="1134"/>
      <c r="AH107" s="1134"/>
      <c r="AI107" s="1134"/>
      <c r="AJ107" s="1134"/>
      <c r="AK107" s="2153">
        <v>11</v>
      </c>
    </row>
    <row s="47496" customFormat="1" customHeight="1" ht="11.549999999999999">
      <c r="A108" s="1499"/>
      <c r="B108" s="1499"/>
      <c r="C108" s="1499"/>
      <c r="D108" s="1499"/>
      <c r="E108" s="1499"/>
      <c r="F108" s="2148"/>
      <c r="G108" s="2148"/>
      <c r="H108" s="863"/>
      <c r="N108" s="1878"/>
      <c r="P108" s="1878"/>
      <c r="Q108" s="2148"/>
      <c r="R108" s="2148"/>
      <c r="S108" s="1878"/>
      <c r="T108" s="1878"/>
      <c r="U108" s="1878"/>
      <c r="V108" s="1878"/>
      <c r="W108" s="2148"/>
      <c r="X108" s="1878"/>
      <c r="Y108" s="1878"/>
      <c r="Z108" s="1056"/>
      <c r="AA108" s="1878"/>
      <c r="AB108" s="1878"/>
      <c r="AC108" s="1878"/>
      <c r="AD108" s="1878"/>
      <c r="AE108" s="1878"/>
      <c r="AF108" s="2144"/>
      <c r="AG108" s="1134"/>
      <c r="AH108" s="1134"/>
      <c r="AI108" s="1134"/>
      <c r="AJ108" s="1134"/>
      <c r="AK108" s="2153">
        <v>11</v>
      </c>
    </row>
    <row s="47496" customFormat="1" customHeight="1" ht="11.549999999999999">
      <c r="A109" s="1499"/>
      <c r="B109" s="1499"/>
      <c r="C109" s="1499"/>
      <c r="D109" s="1499"/>
      <c r="E109" s="1499"/>
      <c r="F109" s="2148"/>
      <c r="G109" s="2148"/>
      <c r="H109" s="863"/>
      <c r="N109" s="1878"/>
      <c r="P109" s="1878"/>
      <c r="Q109" s="2148"/>
      <c r="R109" s="2148"/>
      <c r="S109" s="1878"/>
      <c r="T109" s="1878"/>
      <c r="U109" s="1878"/>
      <c r="V109" s="1878"/>
      <c r="W109" s="2148"/>
      <c r="X109" s="1878"/>
      <c r="Y109" s="1878"/>
      <c r="Z109" s="1056"/>
      <c r="AA109" s="1878"/>
      <c r="AB109" s="1878"/>
      <c r="AC109" s="1878"/>
      <c r="AD109" s="1878"/>
      <c r="AE109" s="1878"/>
      <c r="AF109" s="2144"/>
      <c r="AG109" s="1134"/>
      <c r="AH109" s="1134"/>
      <c r="AI109" s="1134"/>
      <c r="AJ109" s="1134"/>
      <c r="AK109" s="2153">
        <v>11</v>
      </c>
    </row>
    <row s="47496" customFormat="1" customHeight="1" ht="11.549999999999999">
      <c r="A110" s="1499"/>
      <c r="B110" s="1499"/>
      <c r="C110" s="1499"/>
      <c r="D110" s="1499"/>
      <c r="E110" s="1499"/>
      <c r="F110" s="2148"/>
      <c r="G110" s="2148"/>
      <c r="H110" s="863"/>
      <c r="N110" s="1878"/>
      <c r="P110" s="1878"/>
      <c r="Q110" s="2148"/>
      <c r="R110" s="2148"/>
      <c r="S110" s="1878"/>
      <c r="T110" s="1878"/>
      <c r="U110" s="1878"/>
      <c r="V110" s="1878"/>
      <c r="W110" s="2148"/>
      <c r="X110" s="1878"/>
      <c r="Y110" s="1878"/>
      <c r="Z110" s="1056"/>
      <c r="AA110" s="1878"/>
      <c r="AB110" s="1878"/>
      <c r="AC110" s="1878"/>
      <c r="AD110" s="1878"/>
      <c r="AE110" s="1878"/>
      <c r="AF110" s="2144"/>
      <c r="AG110" s="1134"/>
      <c r="AH110" s="1134"/>
      <c r="AI110" s="1134"/>
      <c r="AJ110" s="1134"/>
      <c r="AK110" s="2153">
        <v>11</v>
      </c>
    </row>
    <row s="47496" customFormat="1" customHeight="1" ht="11.549999999999999">
      <c r="A111" s="1499"/>
      <c r="B111" s="1499"/>
      <c r="C111" s="1499"/>
      <c r="D111" s="1499"/>
      <c r="E111" s="1499"/>
      <c r="F111" s="2148"/>
      <c r="G111" s="2148"/>
      <c r="H111" s="863"/>
      <c r="N111" s="1878"/>
      <c r="P111" s="1878"/>
      <c r="Q111" s="2148"/>
      <c r="R111" s="2148"/>
      <c r="S111" s="1878"/>
      <c r="T111" s="1878"/>
      <c r="U111" s="1878"/>
      <c r="V111" s="1878"/>
      <c r="W111" s="2148"/>
      <c r="X111" s="1878"/>
      <c r="Y111" s="1878"/>
      <c r="Z111" s="1056"/>
      <c r="AA111" s="1878"/>
      <c r="AB111" s="1878"/>
      <c r="AC111" s="1878"/>
      <c r="AD111" s="1878"/>
      <c r="AE111" s="1878"/>
      <c r="AF111" s="2144"/>
      <c r="AG111" s="1134"/>
      <c r="AH111" s="1134"/>
      <c r="AI111" s="1134"/>
      <c r="AJ111" s="1134"/>
      <c r="AK111" s="2153">
        <v>11</v>
      </c>
    </row>
    <row s="47496" customFormat="1" customHeight="1" ht="11.549999999999999">
      <c r="A112" s="1499"/>
      <c r="B112" s="1499"/>
      <c r="C112" s="1499"/>
      <c r="D112" s="1499"/>
      <c r="E112" s="1499"/>
      <c r="F112" s="2148"/>
      <c r="G112" s="2148"/>
      <c r="H112" s="863"/>
      <c r="N112" s="1878"/>
      <c r="P112" s="1878"/>
      <c r="Q112" s="2148"/>
      <c r="R112" s="2148"/>
      <c r="S112" s="1878"/>
      <c r="T112" s="1878"/>
      <c r="U112" s="1878"/>
      <c r="V112" s="1878"/>
      <c r="W112" s="2148"/>
      <c r="X112" s="1878"/>
      <c r="Y112" s="1878"/>
      <c r="Z112" s="1056"/>
      <c r="AA112" s="1878"/>
      <c r="AB112" s="1878"/>
      <c r="AC112" s="1878"/>
      <c r="AD112" s="1878"/>
      <c r="AE112" s="1878"/>
      <c r="AF112" s="2144"/>
      <c r="AG112" s="1134"/>
      <c r="AH112" s="1134"/>
      <c r="AI112" s="1134"/>
      <c r="AJ112" s="1134"/>
      <c r="AK112" s="2153">
        <v>11</v>
      </c>
    </row>
    <row s="47496" customFormat="1" customHeight="1" ht="11.549999999999999">
      <c r="A113" s="1499"/>
      <c r="B113" s="1499"/>
      <c r="C113" s="1499"/>
      <c r="D113" s="1499"/>
      <c r="E113" s="1499"/>
      <c r="F113" s="2148"/>
      <c r="G113" s="2148"/>
      <c r="H113" s="863"/>
      <c r="N113" s="1878"/>
      <c r="P113" s="1878"/>
      <c r="Q113" s="2148"/>
      <c r="R113" s="2148"/>
      <c r="S113" s="1878"/>
      <c r="T113" s="1878"/>
      <c r="U113" s="1878"/>
      <c r="V113" s="1878"/>
      <c r="W113" s="2148"/>
      <c r="X113" s="1878"/>
      <c r="Y113" s="1878"/>
      <c r="Z113" s="1056"/>
      <c r="AA113" s="1878"/>
      <c r="AB113" s="1878"/>
      <c r="AC113" s="1878"/>
      <c r="AD113" s="1878"/>
      <c r="AE113" s="1878"/>
      <c r="AF113" s="2144"/>
      <c r="AG113" s="1134"/>
      <c r="AH113" s="1134"/>
      <c r="AI113" s="1134"/>
      <c r="AJ113" s="1134"/>
      <c r="AK113" s="2153">
        <v>11</v>
      </c>
    </row>
    <row s="47496" customFormat="1" customHeight="1" ht="11.549999999999999">
      <c r="A114" s="1499"/>
      <c r="B114" s="1499"/>
      <c r="C114" s="1499"/>
      <c r="D114" s="1499"/>
      <c r="E114" s="1499"/>
      <c r="F114" s="2148"/>
      <c r="G114" s="2148"/>
      <c r="H114" s="863"/>
      <c r="N114" s="1878"/>
      <c r="P114" s="1878"/>
      <c r="Q114" s="2148"/>
      <c r="R114" s="2148"/>
      <c r="S114" s="1878"/>
      <c r="T114" s="1878"/>
      <c r="U114" s="1878"/>
      <c r="V114" s="1878"/>
      <c r="W114" s="2148"/>
      <c r="X114" s="1878"/>
      <c r="Y114" s="1878"/>
      <c r="Z114" s="1056"/>
      <c r="AA114" s="1878"/>
      <c r="AB114" s="1878"/>
      <c r="AC114" s="1878"/>
      <c r="AD114" s="1878"/>
      <c r="AE114" s="1878"/>
      <c r="AF114" s="2144"/>
      <c r="AG114" s="1134"/>
      <c r="AH114" s="1134"/>
      <c r="AI114" s="1134"/>
      <c r="AJ114" s="1134"/>
      <c r="AK114" s="2153">
        <v>11</v>
      </c>
    </row>
    <row s="47496" customFormat="1" customHeight="1" ht="11.549999999999999">
      <c r="A115" s="1499"/>
      <c r="B115" s="1499"/>
      <c r="C115" s="1499"/>
      <c r="D115" s="1499"/>
      <c r="E115" s="1499"/>
      <c r="F115" s="2148"/>
      <c r="G115" s="2148"/>
      <c r="H115" s="863"/>
      <c r="N115" s="1878"/>
      <c r="P115" s="1878"/>
      <c r="Q115" s="2148"/>
      <c r="R115" s="2148"/>
      <c r="S115" s="1878"/>
      <c r="T115" s="1878"/>
      <c r="U115" s="1878"/>
      <c r="V115" s="1878"/>
      <c r="W115" s="2148"/>
      <c r="X115" s="1878"/>
      <c r="Y115" s="1878"/>
      <c r="Z115" s="1056"/>
      <c r="AA115" s="1878"/>
      <c r="AB115" s="1878"/>
      <c r="AC115" s="1878"/>
      <c r="AD115" s="1878"/>
      <c r="AE115" s="1878"/>
      <c r="AF115" s="2144"/>
      <c r="AG115" s="1134"/>
      <c r="AH115" s="1134"/>
      <c r="AI115" s="1134"/>
      <c r="AJ115" s="1134"/>
      <c r="AK115" s="2153">
        <v>11</v>
      </c>
    </row>
    <row s="47496" customFormat="1" customHeight="1" ht="11.549999999999999">
      <c r="A116" s="1499"/>
      <c r="B116" s="1499"/>
      <c r="C116" s="1499"/>
      <c r="D116" s="1499"/>
      <c r="E116" s="1499"/>
      <c r="F116" s="2148"/>
      <c r="G116" s="2148"/>
      <c r="H116" s="863"/>
      <c r="N116" s="1878"/>
      <c r="P116" s="1878"/>
      <c r="Q116" s="2148"/>
      <c r="R116" s="2148"/>
      <c r="S116" s="1878"/>
      <c r="T116" s="1878"/>
      <c r="U116" s="1878"/>
      <c r="V116" s="1878"/>
      <c r="W116" s="2148"/>
      <c r="X116" s="1878"/>
      <c r="Y116" s="1878"/>
      <c r="Z116" s="1056"/>
      <c r="AA116" s="1878"/>
      <c r="AB116" s="1878"/>
      <c r="AC116" s="1878"/>
      <c r="AD116" s="1878"/>
      <c r="AE116" s="1878"/>
      <c r="AF116" s="2144"/>
      <c r="AG116" s="1134"/>
      <c r="AH116" s="1134"/>
      <c r="AI116" s="1134"/>
      <c r="AJ116" s="1134"/>
      <c r="AK116" s="2153">
        <v>11</v>
      </c>
    </row>
    <row s="47496" customFormat="1" customHeight="1" ht="11.549999999999999">
      <c r="A117" s="1499"/>
      <c r="B117" s="1499"/>
      <c r="C117" s="1499"/>
      <c r="D117" s="1499"/>
      <c r="E117" s="1499"/>
      <c r="F117" s="2148"/>
      <c r="G117" s="2148"/>
      <c r="H117" s="863"/>
      <c r="N117" s="1878"/>
      <c r="P117" s="1878"/>
      <c r="Q117" s="2148"/>
      <c r="R117" s="2148"/>
      <c r="S117" s="1878"/>
      <c r="T117" s="1878"/>
      <c r="U117" s="1878"/>
      <c r="V117" s="1878"/>
      <c r="W117" s="2148"/>
      <c r="X117" s="1878"/>
      <c r="Y117" s="1878"/>
      <c r="Z117" s="1056"/>
      <c r="AA117" s="1878"/>
      <c r="AB117" s="1878"/>
      <c r="AC117" s="1878"/>
      <c r="AD117" s="1878"/>
      <c r="AE117" s="1878"/>
      <c r="AF117" s="2144"/>
      <c r="AG117" s="1134"/>
      <c r="AH117" s="1134"/>
      <c r="AI117" s="1134"/>
      <c r="AJ117" s="1134"/>
      <c r="AK117" s="2153">
        <v>11</v>
      </c>
    </row>
    <row s="47496" customFormat="1" customHeight="1" ht="11.549999999999999">
      <c r="A118" s="1499"/>
      <c r="B118" s="1499"/>
      <c r="C118" s="1499"/>
      <c r="D118" s="1499"/>
      <c r="E118" s="1499"/>
      <c r="F118" s="2148"/>
      <c r="G118" s="2148"/>
      <c r="H118" s="863"/>
      <c r="N118" s="1878"/>
      <c r="P118" s="1878"/>
      <c r="Q118" s="2148"/>
      <c r="R118" s="2148"/>
      <c r="S118" s="1878"/>
      <c r="T118" s="1878"/>
      <c r="U118" s="1878"/>
      <c r="V118" s="1878"/>
      <c r="W118" s="2148"/>
      <c r="X118" s="1878"/>
      <c r="Y118" s="1878"/>
      <c r="Z118" s="1056"/>
      <c r="AA118" s="1878"/>
      <c r="AB118" s="1878"/>
      <c r="AC118" s="1878"/>
      <c r="AD118" s="1878"/>
      <c r="AE118" s="1878"/>
      <c r="AF118" s="2144"/>
      <c r="AG118" s="1134"/>
      <c r="AH118" s="1134"/>
      <c r="AI118" s="1134"/>
      <c r="AJ118" s="1134"/>
      <c r="AK118" s="2153">
        <v>11</v>
      </c>
    </row>
    <row s="47496" customFormat="1" customHeight="1" ht="11.549999999999999">
      <c r="A119" s="1499"/>
      <c r="B119" s="1499"/>
      <c r="C119" s="1499"/>
      <c r="D119" s="1499"/>
      <c r="E119" s="1499"/>
      <c r="F119" s="2148"/>
      <c r="G119" s="2148"/>
      <c r="H119" s="863"/>
      <c r="N119" s="1878"/>
      <c r="P119" s="1878"/>
      <c r="Q119" s="2148"/>
      <c r="R119" s="2148"/>
      <c r="S119" s="1878"/>
      <c r="T119" s="1878"/>
      <c r="U119" s="1878"/>
      <c r="V119" s="1878"/>
      <c r="W119" s="2148"/>
      <c r="X119" s="1878"/>
      <c r="Y119" s="1878"/>
      <c r="Z119" s="1056"/>
      <c r="AA119" s="1878"/>
      <c r="AB119" s="1878"/>
      <c r="AC119" s="1878"/>
      <c r="AD119" s="1878"/>
      <c r="AE119" s="1878"/>
      <c r="AF119" s="2144"/>
      <c r="AG119" s="1134"/>
      <c r="AH119" s="1134"/>
      <c r="AI119" s="1134"/>
      <c r="AJ119" s="1134"/>
      <c r="AK119" s="2153">
        <v>11</v>
      </c>
    </row>
    <row s="47496" customFormat="1" customHeight="1" ht="11.549999999999999">
      <c r="A120" s="1499"/>
      <c r="B120" s="1499"/>
      <c r="C120" s="1499"/>
      <c r="D120" s="1499"/>
      <c r="E120" s="1499"/>
      <c r="F120" s="2148"/>
      <c r="G120" s="2148"/>
      <c r="H120" s="863"/>
      <c r="N120" s="1878"/>
      <c r="P120" s="1878"/>
      <c r="Q120" s="2148"/>
      <c r="R120" s="2148"/>
      <c r="S120" s="1878"/>
      <c r="T120" s="1878"/>
      <c r="U120" s="1878"/>
      <c r="V120" s="1878"/>
      <c r="W120" s="2148"/>
      <c r="X120" s="1878"/>
      <c r="Y120" s="1878"/>
      <c r="Z120" s="1056"/>
      <c r="AA120" s="1878"/>
      <c r="AB120" s="1878"/>
      <c r="AC120" s="1878"/>
      <c r="AD120" s="1878"/>
      <c r="AE120" s="1878"/>
      <c r="AF120" s="2144"/>
      <c r="AG120" s="1134"/>
      <c r="AH120" s="1134"/>
      <c r="AI120" s="1134"/>
      <c r="AJ120" s="1134"/>
      <c r="AK120" s="2153">
        <v>11</v>
      </c>
    </row>
    <row s="47496" customFormat="1" customHeight="1" ht="11.549999999999999">
      <c r="A121" s="1499"/>
      <c r="B121" s="1499"/>
      <c r="C121" s="1499"/>
      <c r="D121" s="1499"/>
      <c r="E121" s="1499"/>
      <c r="F121" s="2148"/>
      <c r="G121" s="2148"/>
      <c r="H121" s="863"/>
      <c r="N121" s="1878"/>
      <c r="P121" s="1878"/>
      <c r="Q121" s="2148"/>
      <c r="R121" s="2148"/>
      <c r="S121" s="1878"/>
      <c r="T121" s="1878"/>
      <c r="U121" s="1878"/>
      <c r="V121" s="1878"/>
      <c r="W121" s="2148"/>
      <c r="X121" s="1878"/>
      <c r="Y121" s="1878"/>
      <c r="Z121" s="1056"/>
      <c r="AA121" s="1878"/>
      <c r="AB121" s="1878"/>
      <c r="AC121" s="1878"/>
      <c r="AD121" s="1878"/>
      <c r="AE121" s="1878"/>
      <c r="AF121" s="2144"/>
      <c r="AG121" s="1134"/>
      <c r="AH121" s="1134"/>
      <c r="AI121" s="1134"/>
      <c r="AJ121" s="1134"/>
      <c r="AK121" s="2153">
        <v>11</v>
      </c>
    </row>
    <row s="47496" customFormat="1" customHeight="1" ht="11.549999999999999">
      <c r="A122" s="1499"/>
      <c r="B122" s="1499"/>
      <c r="C122" s="1499"/>
      <c r="D122" s="1499"/>
      <c r="E122" s="1499"/>
      <c r="F122" s="2148"/>
      <c r="G122" s="2148"/>
      <c r="H122" s="863"/>
      <c r="N122" s="1878"/>
      <c r="P122" s="1878"/>
      <c r="Q122" s="2148"/>
      <c r="R122" s="2148"/>
      <c r="S122" s="1878"/>
      <c r="T122" s="1878"/>
      <c r="U122" s="1878"/>
      <c r="V122" s="1878"/>
      <c r="W122" s="2148"/>
      <c r="X122" s="1878"/>
      <c r="Y122" s="1878"/>
      <c r="Z122" s="1056"/>
      <c r="AA122" s="1878"/>
      <c r="AB122" s="1878"/>
      <c r="AC122" s="1878"/>
      <c r="AD122" s="1878"/>
      <c r="AE122" s="1878"/>
      <c r="AF122" s="2144"/>
      <c r="AG122" s="1134"/>
      <c r="AH122" s="1134"/>
      <c r="AI122" s="1134"/>
      <c r="AJ122" s="1134"/>
      <c r="AK122" s="2153">
        <v>11</v>
      </c>
    </row>
    <row s="47496" customFormat="1" customHeight="1" ht="11.549999999999999">
      <c r="A123" s="1499"/>
      <c r="B123" s="1499"/>
      <c r="C123" s="1499"/>
      <c r="D123" s="1499"/>
      <c r="E123" s="1499"/>
      <c r="F123" s="2148"/>
      <c r="G123" s="2148"/>
      <c r="H123" s="863"/>
      <c r="N123" s="1878"/>
      <c r="P123" s="1878"/>
      <c r="Q123" s="2148"/>
      <c r="R123" s="2148"/>
      <c r="S123" s="1878"/>
      <c r="T123" s="1878"/>
      <c r="U123" s="1878"/>
      <c r="V123" s="1878"/>
      <c r="W123" s="2148"/>
      <c r="X123" s="1878"/>
      <c r="Y123" s="1878"/>
      <c r="Z123" s="1056"/>
      <c r="AA123" s="1878"/>
      <c r="AB123" s="1878"/>
      <c r="AC123" s="1878"/>
      <c r="AD123" s="1878"/>
      <c r="AE123" s="1878"/>
      <c r="AF123" s="2144"/>
      <c r="AG123" s="1134"/>
      <c r="AH123" s="1134"/>
      <c r="AI123" s="1134"/>
      <c r="AJ123" s="1134"/>
      <c r="AK123" s="2153">
        <v>11</v>
      </c>
    </row>
    <row s="47496" customFormat="1" customHeight="1" ht="11.549999999999999">
      <c r="A124" s="1499"/>
      <c r="B124" s="1499"/>
      <c r="C124" s="1499"/>
      <c r="D124" s="1499"/>
      <c r="E124" s="1499"/>
      <c r="F124" s="2148"/>
      <c r="G124" s="2148"/>
      <c r="H124" s="863"/>
      <c r="N124" s="1878"/>
      <c r="P124" s="1878"/>
      <c r="Q124" s="2148"/>
      <c r="R124" s="2148"/>
      <c r="S124" s="1878"/>
      <c r="T124" s="1878"/>
      <c r="U124" s="1878"/>
      <c r="V124" s="1878"/>
      <c r="W124" s="2148"/>
      <c r="X124" s="1878"/>
      <c r="Y124" s="1878"/>
      <c r="Z124" s="1056"/>
      <c r="AA124" s="1878"/>
      <c r="AB124" s="1878"/>
      <c r="AC124" s="1878"/>
      <c r="AD124" s="1878"/>
      <c r="AE124" s="1878"/>
      <c r="AF124" s="2144"/>
      <c r="AG124" s="1134"/>
      <c r="AH124" s="1134"/>
      <c r="AI124" s="1134"/>
      <c r="AJ124" s="1134"/>
      <c r="AK124" s="2153">
        <v>11</v>
      </c>
    </row>
    <row s="47496" customFormat="1" customHeight="1" ht="11.549999999999999">
      <c r="A125" s="1499"/>
      <c r="B125" s="1499"/>
      <c r="C125" s="1499"/>
      <c r="D125" s="1499"/>
      <c r="E125" s="1499"/>
      <c r="F125" s="2148"/>
      <c r="G125" s="2148"/>
      <c r="H125" s="863"/>
      <c r="N125" s="1878"/>
      <c r="P125" s="1878"/>
      <c r="Q125" s="2148"/>
      <c r="R125" s="2148"/>
      <c r="S125" s="1878"/>
      <c r="T125" s="1878"/>
      <c r="U125" s="1878"/>
      <c r="V125" s="1878"/>
      <c r="W125" s="2148"/>
      <c r="X125" s="1878"/>
      <c r="Y125" s="1878"/>
      <c r="Z125" s="1056"/>
      <c r="AA125" s="1878"/>
      <c r="AB125" s="1878"/>
      <c r="AC125" s="1878"/>
      <c r="AD125" s="1878"/>
      <c r="AE125" s="1878"/>
      <c r="AF125" s="2144"/>
      <c r="AG125" s="1134"/>
      <c r="AH125" s="1134"/>
      <c r="AI125" s="1134"/>
      <c r="AJ125" s="1134"/>
      <c r="AK125" s="2153">
        <v>11</v>
      </c>
    </row>
    <row s="47496" customFormat="1" customHeight="1" ht="11.549999999999999">
      <c r="A126" s="1499"/>
      <c r="B126" s="1499"/>
      <c r="C126" s="1499"/>
      <c r="D126" s="1499"/>
      <c r="E126" s="1499"/>
      <c r="F126" s="2148"/>
      <c r="G126" s="2148"/>
      <c r="H126" s="863"/>
      <c r="N126" s="1878"/>
      <c r="P126" s="1878"/>
      <c r="Q126" s="2148"/>
      <c r="R126" s="2148"/>
      <c r="S126" s="1878"/>
      <c r="T126" s="1878"/>
      <c r="U126" s="1878"/>
      <c r="V126" s="1878"/>
      <c r="W126" s="2148"/>
      <c r="X126" s="1878"/>
      <c r="Y126" s="1878"/>
      <c r="Z126" s="1056"/>
      <c r="AA126" s="1878"/>
      <c r="AB126" s="1878"/>
      <c r="AC126" s="1878"/>
      <c r="AD126" s="1878"/>
      <c r="AE126" s="1878"/>
      <c r="AF126" s="2144"/>
      <c r="AG126" s="1134"/>
      <c r="AH126" s="1134"/>
      <c r="AI126" s="1134"/>
      <c r="AJ126" s="1134"/>
      <c r="AK126" s="2153">
        <v>11</v>
      </c>
    </row>
    <row s="47496" customFormat="1" customHeight="1" ht="11.549999999999999">
      <c r="A127" s="1499"/>
      <c r="B127" s="1499"/>
      <c r="C127" s="1499"/>
      <c r="D127" s="1499"/>
      <c r="E127" s="1499"/>
      <c r="F127" s="2148"/>
      <c r="G127" s="2148"/>
      <c r="H127" s="863"/>
      <c r="N127" s="1878"/>
      <c r="P127" s="1878"/>
      <c r="Q127" s="2148"/>
      <c r="R127" s="2148"/>
      <c r="S127" s="1878"/>
      <c r="T127" s="1878"/>
      <c r="U127" s="1878"/>
      <c r="V127" s="1878"/>
      <c r="W127" s="2148"/>
      <c r="X127" s="1878"/>
      <c r="Y127" s="1878"/>
      <c r="Z127" s="1056"/>
      <c r="AA127" s="1878"/>
      <c r="AB127" s="1878"/>
      <c r="AC127" s="1878"/>
      <c r="AD127" s="1878"/>
      <c r="AE127" s="1878"/>
      <c r="AF127" s="2144"/>
      <c r="AG127" s="1134"/>
      <c r="AH127" s="1134"/>
      <c r="AI127" s="1134"/>
      <c r="AJ127" s="1134"/>
      <c r="AK127" s="2153">
        <v>11</v>
      </c>
    </row>
    <row s="47496" customFormat="1" customHeight="1" ht="11.549999999999999">
      <c r="A128" s="1499"/>
      <c r="B128" s="1499"/>
      <c r="C128" s="1499"/>
      <c r="D128" s="1499"/>
      <c r="E128" s="1499"/>
      <c r="F128" s="2148"/>
      <c r="G128" s="2148"/>
      <c r="H128" s="863"/>
      <c r="N128" s="1878"/>
      <c r="P128" s="1878"/>
      <c r="Q128" s="2148"/>
      <c r="R128" s="2148"/>
      <c r="S128" s="1878"/>
      <c r="T128" s="1878"/>
      <c r="U128" s="1878"/>
      <c r="V128" s="1878"/>
      <c r="W128" s="2148"/>
      <c r="X128" s="1878"/>
      <c r="Y128" s="1878"/>
      <c r="Z128" s="1056"/>
      <c r="AA128" s="1878"/>
      <c r="AB128" s="1878"/>
      <c r="AC128" s="1878"/>
      <c r="AD128" s="1878"/>
      <c r="AE128" s="1878"/>
      <c r="AF128" s="2144"/>
      <c r="AG128" s="1134"/>
      <c r="AH128" s="1134"/>
      <c r="AI128" s="1134"/>
      <c r="AJ128" s="1134"/>
      <c r="AK128" s="2153">
        <v>11</v>
      </c>
    </row>
    <row s="47496" customFormat="1" customHeight="1" ht="11.549999999999999">
      <c r="A129" s="1499"/>
      <c r="B129" s="1499"/>
      <c r="C129" s="1499"/>
      <c r="D129" s="1499"/>
      <c r="E129" s="1499"/>
      <c r="F129" s="2148"/>
      <c r="G129" s="2148"/>
      <c r="H129" s="863"/>
      <c r="N129" s="1878"/>
      <c r="P129" s="1878"/>
      <c r="Q129" s="2148"/>
      <c r="R129" s="2148"/>
      <c r="S129" s="1878"/>
      <c r="T129" s="1878"/>
      <c r="U129" s="1878"/>
      <c r="V129" s="1878"/>
      <c r="W129" s="2148"/>
      <c r="X129" s="1878"/>
      <c r="Y129" s="1878"/>
      <c r="Z129" s="1056"/>
      <c r="AA129" s="1878"/>
      <c r="AB129" s="1878"/>
      <c r="AC129" s="1878"/>
      <c r="AD129" s="1878"/>
      <c r="AE129" s="1878"/>
      <c r="AF129" s="2144"/>
      <c r="AG129" s="1134"/>
      <c r="AH129" s="1134"/>
      <c r="AI129" s="1134"/>
      <c r="AJ129" s="1134"/>
      <c r="AK129" s="2153">
        <v>11</v>
      </c>
    </row>
    <row s="47496" customFormat="1" customHeight="1" ht="11.549999999999999">
      <c r="A130" s="1499"/>
      <c r="B130" s="1499"/>
      <c r="C130" s="1499"/>
      <c r="D130" s="1499"/>
      <c r="E130" s="1499"/>
      <c r="F130" s="2148"/>
      <c r="G130" s="2148"/>
      <c r="H130" s="863"/>
      <c r="N130" s="1878"/>
      <c r="P130" s="1878"/>
      <c r="Q130" s="2148"/>
      <c r="R130" s="2148"/>
      <c r="S130" s="1878"/>
      <c r="T130" s="1878"/>
      <c r="U130" s="1878"/>
      <c r="V130" s="1878"/>
      <c r="W130" s="2148"/>
      <c r="X130" s="1878"/>
      <c r="Y130" s="1878"/>
      <c r="Z130" s="1056"/>
      <c r="AA130" s="1878"/>
      <c r="AB130" s="1878"/>
      <c r="AC130" s="1878"/>
      <c r="AD130" s="1878"/>
      <c r="AE130" s="1878"/>
      <c r="AF130" s="2144"/>
      <c r="AG130" s="1134"/>
      <c r="AH130" s="1134"/>
      <c r="AI130" s="1134"/>
      <c r="AJ130" s="1134"/>
      <c r="AK130" s="2153">
        <v>11</v>
      </c>
    </row>
    <row s="47496" customFormat="1" customHeight="1" ht="11.549999999999999">
      <c r="A131" s="1499"/>
      <c r="B131" s="1499"/>
      <c r="C131" s="1499"/>
      <c r="D131" s="1499"/>
      <c r="E131" s="1499"/>
      <c r="F131" s="2148"/>
      <c r="G131" s="2148"/>
      <c r="H131" s="863"/>
      <c r="N131" s="1878"/>
      <c r="P131" s="1878"/>
      <c r="Q131" s="2148"/>
      <c r="R131" s="2148"/>
      <c r="S131" s="1878"/>
      <c r="T131" s="1878"/>
      <c r="U131" s="1878"/>
      <c r="V131" s="1878"/>
      <c r="W131" s="2148"/>
      <c r="X131" s="1878"/>
      <c r="Y131" s="1878"/>
      <c r="Z131" s="1056"/>
      <c r="AA131" s="1878"/>
      <c r="AB131" s="1878"/>
      <c r="AC131" s="1878"/>
      <c r="AD131" s="1878"/>
      <c r="AE131" s="1878"/>
      <c r="AF131" s="2144"/>
      <c r="AG131" s="1134"/>
      <c r="AH131" s="1134"/>
      <c r="AI131" s="1134"/>
      <c r="AJ131" s="1134"/>
      <c r="AK131" s="2153">
        <v>11</v>
      </c>
    </row>
    <row s="47496" customFormat="1" customHeight="1" ht="11.549999999999999">
      <c r="A132" s="1499"/>
      <c r="B132" s="1499"/>
      <c r="C132" s="1499"/>
      <c r="D132" s="1499"/>
      <c r="E132" s="1499"/>
      <c r="F132" s="2148"/>
      <c r="G132" s="2148"/>
      <c r="H132" s="863"/>
      <c r="N132" s="1878"/>
      <c r="P132" s="1878"/>
      <c r="Q132" s="2148"/>
      <c r="R132" s="2148"/>
      <c r="S132" s="1878"/>
      <c r="T132" s="1878"/>
      <c r="U132" s="1878"/>
      <c r="V132" s="1878"/>
      <c r="W132" s="2148"/>
      <c r="X132" s="1878"/>
      <c r="Y132" s="1878"/>
      <c r="Z132" s="1056"/>
      <c r="AA132" s="1878"/>
      <c r="AB132" s="1878"/>
      <c r="AC132" s="1878"/>
      <c r="AD132" s="1878"/>
      <c r="AE132" s="1878"/>
      <c r="AF132" s="2144"/>
      <c r="AG132" s="1134"/>
      <c r="AH132" s="1134"/>
      <c r="AI132" s="1134"/>
      <c r="AJ132" s="1134"/>
      <c r="AK132" s="2153">
        <v>11</v>
      </c>
    </row>
    <row s="47496" customFormat="1" customHeight="1" ht="11.549999999999999">
      <c r="A133" s="1499"/>
      <c r="B133" s="1499"/>
      <c r="C133" s="1499"/>
      <c r="D133" s="1499"/>
      <c r="E133" s="1499"/>
      <c r="F133" s="2148"/>
      <c r="G133" s="2148"/>
      <c r="H133" s="863"/>
      <c r="N133" s="1878"/>
      <c r="P133" s="1878"/>
      <c r="Q133" s="2148"/>
      <c r="R133" s="2148"/>
      <c r="S133" s="1878"/>
      <c r="T133" s="1878"/>
      <c r="U133" s="1878"/>
      <c r="V133" s="1878"/>
      <c r="W133" s="2148"/>
      <c r="X133" s="1878"/>
      <c r="Y133" s="1878"/>
      <c r="Z133" s="1056"/>
      <c r="AA133" s="1878"/>
      <c r="AB133" s="1878"/>
      <c r="AC133" s="1878"/>
      <c r="AD133" s="1878"/>
      <c r="AE133" s="1878"/>
      <c r="AF133" s="2144"/>
      <c r="AG133" s="1134"/>
      <c r="AH133" s="1134"/>
      <c r="AI133" s="1134"/>
      <c r="AJ133" s="1134"/>
      <c r="AK133" s="2153">
        <v>11</v>
      </c>
    </row>
    <row s="47496" customFormat="1" customHeight="1" ht="11.549999999999999">
      <c r="A134" s="1499"/>
      <c r="B134" s="1499"/>
      <c r="C134" s="1499"/>
      <c r="D134" s="1499"/>
      <c r="E134" s="1499"/>
      <c r="F134" s="2148"/>
      <c r="G134" s="2148"/>
      <c r="H134" s="863"/>
      <c r="N134" s="1878"/>
      <c r="P134" s="1878"/>
      <c r="Q134" s="2148"/>
      <c r="R134" s="2148"/>
      <c r="S134" s="1878"/>
      <c r="T134" s="1878"/>
      <c r="U134" s="1878"/>
      <c r="V134" s="1878"/>
      <c r="W134" s="2148"/>
      <c r="X134" s="1878"/>
      <c r="Y134" s="1878"/>
      <c r="Z134" s="1056"/>
      <c r="AA134" s="1878"/>
      <c r="AB134" s="1878"/>
      <c r="AC134" s="1878"/>
      <c r="AD134" s="1878"/>
      <c r="AE134" s="1878"/>
      <c r="AF134" s="2144"/>
      <c r="AG134" s="1134"/>
      <c r="AH134" s="1134"/>
      <c r="AI134" s="1134"/>
      <c r="AJ134" s="1134"/>
      <c r="AK134" s="2153">
        <v>11</v>
      </c>
    </row>
    <row s="47496" customFormat="1" customHeight="1" ht="11.549999999999999">
      <c r="A135" s="1499"/>
      <c r="B135" s="1499"/>
      <c r="C135" s="1499"/>
      <c r="D135" s="1499"/>
      <c r="E135" s="1499"/>
      <c r="F135" s="2148"/>
      <c r="G135" s="2148"/>
      <c r="H135" s="863"/>
      <c r="N135" s="1878"/>
      <c r="P135" s="1878"/>
      <c r="Q135" s="2148"/>
      <c r="R135" s="2148"/>
      <c r="S135" s="1878"/>
      <c r="T135" s="1878"/>
      <c r="U135" s="1878"/>
      <c r="V135" s="1878"/>
      <c r="W135" s="2148"/>
      <c r="X135" s="1878"/>
      <c r="Y135" s="1878"/>
      <c r="Z135" s="1056"/>
      <c r="AA135" s="1878"/>
      <c r="AB135" s="1878"/>
      <c r="AC135" s="1878"/>
      <c r="AD135" s="1878"/>
      <c r="AE135" s="1878"/>
      <c r="AF135" s="2144"/>
      <c r="AG135" s="1134"/>
      <c r="AH135" s="1134"/>
      <c r="AI135" s="1134"/>
      <c r="AJ135" s="1134"/>
      <c r="AK135" s="2153">
        <v>11</v>
      </c>
    </row>
    <row s="47496" customFormat="1" customHeight="1" ht="11.549999999999999">
      <c r="A136" s="1499"/>
      <c r="B136" s="1499"/>
      <c r="C136" s="1499"/>
      <c r="D136" s="1499"/>
      <c r="E136" s="1499"/>
      <c r="F136" s="2148"/>
      <c r="G136" s="2148"/>
      <c r="H136" s="863"/>
      <c r="N136" s="1878"/>
      <c r="P136" s="1878"/>
      <c r="Q136" s="2148"/>
      <c r="R136" s="2148"/>
      <c r="S136" s="1878"/>
      <c r="T136" s="1878"/>
      <c r="U136" s="1878"/>
      <c r="V136" s="1878"/>
      <c r="W136" s="2148"/>
      <c r="X136" s="1878"/>
      <c r="Y136" s="1878"/>
      <c r="Z136" s="1056"/>
      <c r="AA136" s="1878"/>
      <c r="AB136" s="1878"/>
      <c r="AC136" s="1878"/>
      <c r="AD136" s="1878"/>
      <c r="AE136" s="1878"/>
      <c r="AF136" s="2144"/>
      <c r="AG136" s="1134"/>
      <c r="AH136" s="1134"/>
      <c r="AI136" s="1134"/>
      <c r="AJ136" s="1134"/>
      <c r="AK136" s="2153">
        <v>11</v>
      </c>
    </row>
    <row s="47496" customFormat="1" customHeight="1" ht="11.549999999999999">
      <c r="A137" s="1499"/>
      <c r="B137" s="1499"/>
      <c r="C137" s="1499"/>
      <c r="D137" s="1499"/>
      <c r="E137" s="1499"/>
      <c r="F137" s="2148"/>
      <c r="G137" s="2148"/>
      <c r="H137" s="863"/>
      <c r="N137" s="1878"/>
      <c r="P137" s="1878"/>
      <c r="Q137" s="2148"/>
      <c r="R137" s="2148"/>
      <c r="S137" s="1878"/>
      <c r="T137" s="1878"/>
      <c r="U137" s="1878"/>
      <c r="V137" s="1878"/>
      <c r="W137" s="2148"/>
      <c r="X137" s="1878"/>
      <c r="Y137" s="1878"/>
      <c r="Z137" s="1056"/>
      <c r="AA137" s="1878"/>
      <c r="AB137" s="1878"/>
      <c r="AC137" s="1878"/>
      <c r="AD137" s="1878"/>
      <c r="AE137" s="1878"/>
      <c r="AF137" s="2144"/>
      <c r="AG137" s="1134"/>
      <c r="AH137" s="1134"/>
      <c r="AI137" s="1134"/>
      <c r="AJ137" s="1134"/>
      <c r="AK137" s="2153">
        <v>11</v>
      </c>
    </row>
    <row s="47496" customFormat="1" customHeight="1" ht="11.549999999999999">
      <c r="A138" s="1499"/>
      <c r="B138" s="1499"/>
      <c r="C138" s="1499"/>
      <c r="D138" s="1499"/>
      <c r="E138" s="1499"/>
      <c r="F138" s="2148"/>
      <c r="G138" s="2148"/>
      <c r="H138" s="863"/>
      <c r="N138" s="1878"/>
      <c r="P138" s="1878"/>
      <c r="Q138" s="2148"/>
      <c r="R138" s="2148"/>
      <c r="S138" s="1878"/>
      <c r="T138" s="1878"/>
      <c r="U138" s="1878"/>
      <c r="V138" s="1878"/>
      <c r="W138" s="2148"/>
      <c r="X138" s="1878"/>
      <c r="Y138" s="1878"/>
      <c r="Z138" s="1056"/>
      <c r="AA138" s="1878"/>
      <c r="AB138" s="1878"/>
      <c r="AC138" s="1878"/>
      <c r="AD138" s="1878"/>
      <c r="AE138" s="1878"/>
      <c r="AF138" s="2144"/>
      <c r="AG138" s="1134"/>
      <c r="AH138" s="1134"/>
      <c r="AI138" s="1134"/>
      <c r="AJ138" s="1134"/>
      <c r="AK138" s="2153">
        <v>11</v>
      </c>
    </row>
    <row s="47496" customFormat="1" customHeight="1" ht="11.549999999999999">
      <c r="A139" s="1499"/>
      <c r="B139" s="1499"/>
      <c r="C139" s="1499"/>
      <c r="D139" s="1499"/>
      <c r="E139" s="1499"/>
      <c r="F139" s="2148"/>
      <c r="G139" s="2148"/>
      <c r="H139" s="863"/>
      <c r="N139" s="1878"/>
      <c r="P139" s="1878"/>
      <c r="Q139" s="2148"/>
      <c r="R139" s="2148"/>
      <c r="S139" s="1878"/>
      <c r="T139" s="1878"/>
      <c r="U139" s="1878"/>
      <c r="V139" s="1878"/>
      <c r="W139" s="2148"/>
      <c r="X139" s="1878"/>
      <c r="Y139" s="1878"/>
      <c r="Z139" s="1056"/>
      <c r="AA139" s="1878"/>
      <c r="AB139" s="1878"/>
      <c r="AC139" s="1878"/>
      <c r="AD139" s="1878"/>
      <c r="AE139" s="1878"/>
      <c r="AF139" s="2144"/>
      <c r="AG139" s="1134"/>
      <c r="AH139" s="1134"/>
      <c r="AI139" s="1134"/>
      <c r="AJ139" s="1134"/>
      <c r="AK139" s="2153">
        <v>11</v>
      </c>
    </row>
    <row s="47496" customFormat="1" customHeight="1" ht="11.549999999999999">
      <c r="A140" s="1499"/>
      <c r="B140" s="1499"/>
      <c r="C140" s="1499"/>
      <c r="D140" s="1499"/>
      <c r="E140" s="1499"/>
      <c r="F140" s="2148"/>
      <c r="G140" s="2148"/>
      <c r="H140" s="863"/>
      <c r="N140" s="1878"/>
      <c r="P140" s="1878"/>
      <c r="Q140" s="2148"/>
      <c r="R140" s="2148"/>
      <c r="S140" s="1878"/>
      <c r="T140" s="1878"/>
      <c r="U140" s="1878"/>
      <c r="V140" s="1878"/>
      <c r="W140" s="2148"/>
      <c r="X140" s="1878"/>
      <c r="Y140" s="1878"/>
      <c r="Z140" s="1056"/>
      <c r="AA140" s="1878"/>
      <c r="AB140" s="1878"/>
      <c r="AC140" s="1878"/>
      <c r="AD140" s="1878"/>
      <c r="AE140" s="1878"/>
      <c r="AF140" s="2144"/>
      <c r="AG140" s="1134"/>
      <c r="AH140" s="1134"/>
      <c r="AI140" s="1134"/>
      <c r="AJ140" s="1134"/>
      <c r="AK140" s="2153">
        <v>11</v>
      </c>
    </row>
    <row s="47496" customFormat="1" customHeight="1" ht="11.549999999999999">
      <c r="A141" s="1499"/>
      <c r="B141" s="1499"/>
      <c r="C141" s="1499"/>
      <c r="D141" s="1499"/>
      <c r="E141" s="1499"/>
      <c r="F141" s="2148"/>
      <c r="G141" s="2148"/>
      <c r="H141" s="863"/>
      <c r="N141" s="1878"/>
      <c r="P141" s="1878"/>
      <c r="Q141" s="2148"/>
      <c r="R141" s="2148"/>
      <c r="S141" s="1878"/>
      <c r="T141" s="1878"/>
      <c r="U141" s="1878"/>
      <c r="V141" s="1878"/>
      <c r="W141" s="2148"/>
      <c r="X141" s="1878"/>
      <c r="Y141" s="1878"/>
      <c r="Z141" s="1056"/>
      <c r="AA141" s="1878"/>
      <c r="AB141" s="1878"/>
      <c r="AC141" s="1878"/>
      <c r="AD141" s="1878"/>
      <c r="AE141" s="1878"/>
      <c r="AF141" s="2144"/>
      <c r="AG141" s="1134"/>
      <c r="AH141" s="1134"/>
      <c r="AI141" s="1134"/>
      <c r="AJ141" s="1134"/>
      <c r="AK141" s="2153">
        <v>11</v>
      </c>
    </row>
    <row s="47496" customFormat="1" customHeight="1" ht="11.549999999999999">
      <c r="A142" s="1499"/>
      <c r="B142" s="1499"/>
      <c r="C142" s="1499"/>
      <c r="D142" s="1499"/>
      <c r="E142" s="1499"/>
      <c r="F142" s="2148"/>
      <c r="G142" s="2148"/>
      <c r="H142" s="863"/>
      <c r="N142" s="1878"/>
      <c r="P142" s="1878"/>
      <c r="Q142" s="2148"/>
      <c r="R142" s="2148"/>
      <c r="S142" s="1878"/>
      <c r="T142" s="1878"/>
      <c r="U142" s="1878"/>
      <c r="V142" s="1878"/>
      <c r="W142" s="2148"/>
      <c r="X142" s="1878"/>
      <c r="Y142" s="1878"/>
      <c r="Z142" s="1056"/>
      <c r="AA142" s="1878"/>
      <c r="AB142" s="1878"/>
      <c r="AC142" s="1878"/>
      <c r="AD142" s="1878"/>
      <c r="AE142" s="1878"/>
      <c r="AF142" s="2144"/>
      <c r="AG142" s="1134"/>
      <c r="AH142" s="1134"/>
      <c r="AI142" s="1134"/>
      <c r="AJ142" s="1134"/>
      <c r="AK142" s="2153">
        <v>11</v>
      </c>
    </row>
    <row s="47496" customFormat="1" customHeight="1" ht="11.549999999999999">
      <c r="A143" s="1499"/>
      <c r="B143" s="1499"/>
      <c r="C143" s="1499"/>
      <c r="D143" s="1499"/>
      <c r="E143" s="1499"/>
      <c r="F143" s="2148"/>
      <c r="G143" s="2148"/>
      <c r="H143" s="863"/>
      <c r="N143" s="1878"/>
      <c r="P143" s="1878"/>
      <c r="Q143" s="2148"/>
      <c r="R143" s="2148"/>
      <c r="S143" s="1878"/>
      <c r="T143" s="1878"/>
      <c r="U143" s="1878"/>
      <c r="V143" s="1878"/>
      <c r="W143" s="2148"/>
      <c r="X143" s="1878"/>
      <c r="Y143" s="1878"/>
      <c r="Z143" s="1056"/>
      <c r="AA143" s="1878"/>
      <c r="AB143" s="1878"/>
      <c r="AC143" s="1878"/>
      <c r="AD143" s="1878"/>
      <c r="AE143" s="1878"/>
      <c r="AF143" s="2144"/>
      <c r="AG143" s="1134"/>
      <c r="AH143" s="1134"/>
      <c r="AI143" s="1134"/>
      <c r="AJ143" s="1134"/>
      <c r="AK143" s="2153">
        <v>11</v>
      </c>
    </row>
    <row s="47496" customFormat="1" customHeight="1" ht="11.549999999999999">
      <c r="A144" s="1499"/>
      <c r="B144" s="1499"/>
      <c r="C144" s="1499"/>
      <c r="D144" s="1499"/>
      <c r="E144" s="1499"/>
      <c r="F144" s="2148"/>
      <c r="G144" s="2148"/>
      <c r="H144" s="863"/>
      <c r="N144" s="1878"/>
      <c r="P144" s="1878"/>
      <c r="Q144" s="2148"/>
      <c r="R144" s="2148"/>
      <c r="S144" s="1878"/>
      <c r="T144" s="1878"/>
      <c r="U144" s="1878"/>
      <c r="V144" s="1878"/>
      <c r="W144" s="2148"/>
      <c r="X144" s="1878"/>
      <c r="Y144" s="1878"/>
      <c r="Z144" s="1056"/>
      <c r="AA144" s="1878"/>
      <c r="AB144" s="1878"/>
      <c r="AC144" s="1878"/>
      <c r="AD144" s="1878"/>
      <c r="AE144" s="1878"/>
      <c r="AF144" s="2144"/>
      <c r="AG144" s="1134"/>
      <c r="AH144" s="1134"/>
      <c r="AI144" s="1134"/>
      <c r="AJ144" s="1134"/>
      <c r="AK144" s="2153">
        <v>11</v>
      </c>
    </row>
    <row s="47496" customFormat="1" customHeight="1" ht="11.549999999999999">
      <c r="A145" s="1499"/>
      <c r="B145" s="1499"/>
      <c r="C145" s="1499"/>
      <c r="D145" s="1499"/>
      <c r="E145" s="1499"/>
      <c r="F145" s="2148"/>
      <c r="G145" s="2148"/>
      <c r="H145" s="863"/>
      <c r="N145" s="1878"/>
      <c r="P145" s="1878"/>
      <c r="Q145" s="2148"/>
      <c r="R145" s="2148"/>
      <c r="S145" s="1878"/>
      <c r="T145" s="1878"/>
      <c r="U145" s="1878"/>
      <c r="V145" s="1878"/>
      <c r="W145" s="2148"/>
      <c r="X145" s="1878"/>
      <c r="Y145" s="1878"/>
      <c r="Z145" s="1056"/>
      <c r="AA145" s="1878"/>
      <c r="AB145" s="1878"/>
      <c r="AC145" s="1878"/>
      <c r="AD145" s="1878"/>
      <c r="AE145" s="1878"/>
      <c r="AF145" s="2144"/>
      <c r="AG145" s="1134"/>
      <c r="AH145" s="1134"/>
      <c r="AI145" s="1134"/>
      <c r="AJ145" s="1134"/>
      <c r="AK145" s="2153">
        <v>11</v>
      </c>
    </row>
    <row s="47496" customFormat="1" customHeight="1" ht="11.549999999999999">
      <c r="A146" s="1499"/>
      <c r="B146" s="1499"/>
      <c r="C146" s="1499"/>
      <c r="D146" s="1499"/>
      <c r="E146" s="1499"/>
      <c r="F146" s="2148"/>
      <c r="G146" s="2148"/>
      <c r="H146" s="863"/>
      <c r="N146" s="1878"/>
      <c r="P146" s="1878"/>
      <c r="Q146" s="2148"/>
      <c r="R146" s="2148"/>
      <c r="S146" s="1878"/>
      <c r="T146" s="1878"/>
      <c r="U146" s="1878"/>
      <c r="V146" s="1878"/>
      <c r="W146" s="2148"/>
      <c r="X146" s="1878"/>
      <c r="Y146" s="1878"/>
      <c r="Z146" s="1056"/>
      <c r="AA146" s="1878"/>
      <c r="AB146" s="1878"/>
      <c r="AC146" s="1878"/>
      <c r="AD146" s="1878"/>
      <c r="AE146" s="1878"/>
      <c r="AF146" s="2144"/>
      <c r="AG146" s="1134"/>
      <c r="AH146" s="1134"/>
      <c r="AI146" s="1134"/>
      <c r="AJ146" s="1134"/>
      <c r="AK146" s="2153">
        <v>11</v>
      </c>
    </row>
    <row s="47496" customFormat="1" customHeight="1" ht="11.549999999999999">
      <c r="A147" s="1499"/>
      <c r="B147" s="1499"/>
      <c r="C147" s="1499"/>
      <c r="D147" s="1499"/>
      <c r="E147" s="1499"/>
      <c r="F147" s="2148"/>
      <c r="G147" s="2148"/>
      <c r="H147" s="863"/>
      <c r="N147" s="1878"/>
      <c r="P147" s="1878"/>
      <c r="Q147" s="2148"/>
      <c r="R147" s="2148"/>
      <c r="S147" s="1878"/>
      <c r="T147" s="1878"/>
      <c r="U147" s="1878"/>
      <c r="V147" s="1878"/>
      <c r="W147" s="2148"/>
      <c r="X147" s="1878"/>
      <c r="Y147" s="1878"/>
      <c r="Z147" s="1056"/>
      <c r="AA147" s="1878"/>
      <c r="AB147" s="1878"/>
      <c r="AC147" s="1878"/>
      <c r="AD147" s="1878"/>
      <c r="AE147" s="1878"/>
      <c r="AF147" s="2144"/>
      <c r="AG147" s="1134"/>
      <c r="AH147" s="1134"/>
      <c r="AI147" s="1134"/>
      <c r="AJ147" s="1134"/>
      <c r="AK147" s="2153">
        <v>11</v>
      </c>
    </row>
    <row s="47496" customFormat="1" customHeight="1" ht="11.549999999999999">
      <c r="A148" s="1499"/>
      <c r="B148" s="1499"/>
      <c r="C148" s="1499"/>
      <c r="D148" s="1499"/>
      <c r="E148" s="1499"/>
      <c r="F148" s="2148"/>
      <c r="G148" s="2148"/>
      <c r="H148" s="863"/>
      <c r="N148" s="1878"/>
      <c r="P148" s="1878"/>
      <c r="Q148" s="2148"/>
      <c r="R148" s="2148"/>
      <c r="S148" s="1878"/>
      <c r="T148" s="1878"/>
      <c r="U148" s="1878"/>
      <c r="V148" s="1878"/>
      <c r="W148" s="2148"/>
      <c r="X148" s="1878"/>
      <c r="Y148" s="1878"/>
      <c r="Z148" s="1056"/>
      <c r="AA148" s="1878"/>
      <c r="AB148" s="1878"/>
      <c r="AC148" s="1878"/>
      <c r="AD148" s="1878"/>
      <c r="AE148" s="1878"/>
      <c r="AF148" s="2144"/>
      <c r="AG148" s="1134"/>
      <c r="AH148" s="1134"/>
      <c r="AI148" s="1134"/>
      <c r="AJ148" s="1134"/>
      <c r="AK148" s="2153">
        <v>11</v>
      </c>
    </row>
    <row s="47496" customFormat="1" customHeight="1" ht="11.549999999999999">
      <c r="A149" s="1499"/>
      <c r="B149" s="1499"/>
      <c r="C149" s="1499"/>
      <c r="D149" s="1499"/>
      <c r="E149" s="1499"/>
      <c r="F149" s="2148"/>
      <c r="G149" s="2148"/>
      <c r="H149" s="863"/>
      <c r="N149" s="1878"/>
      <c r="P149" s="1878"/>
      <c r="Q149" s="2148"/>
      <c r="R149" s="2148"/>
      <c r="S149" s="1878"/>
      <c r="T149" s="1878"/>
      <c r="U149" s="1878"/>
      <c r="V149" s="1878"/>
      <c r="W149" s="2148"/>
      <c r="X149" s="1878"/>
      <c r="Y149" s="1878"/>
      <c r="Z149" s="1056"/>
      <c r="AA149" s="1878"/>
      <c r="AB149" s="1878"/>
      <c r="AC149" s="1878"/>
      <c r="AD149" s="1878"/>
      <c r="AE149" s="1878"/>
      <c r="AF149" s="2144"/>
      <c r="AG149" s="1134"/>
      <c r="AH149" s="1134"/>
      <c r="AI149" s="1134"/>
      <c r="AJ149" s="1134"/>
      <c r="AK149" s="2153">
        <v>11</v>
      </c>
    </row>
    <row s="47496" customFormat="1" customHeight="1" ht="11.549999999999999">
      <c r="A150" s="1499"/>
      <c r="B150" s="1499"/>
      <c r="C150" s="1499"/>
      <c r="D150" s="1499"/>
      <c r="E150" s="1499"/>
      <c r="F150" s="2148"/>
      <c r="G150" s="2148"/>
      <c r="H150" s="863"/>
      <c r="N150" s="1878"/>
      <c r="P150" s="1878"/>
      <c r="Q150" s="2148"/>
      <c r="R150" s="2148"/>
      <c r="S150" s="1878"/>
      <c r="T150" s="1878"/>
      <c r="U150" s="1878"/>
      <c r="V150" s="1878"/>
      <c r="W150" s="2148"/>
      <c r="X150" s="1878"/>
      <c r="Y150" s="1878"/>
      <c r="Z150" s="1056"/>
      <c r="AA150" s="1878"/>
      <c r="AB150" s="1878"/>
      <c r="AC150" s="1878"/>
      <c r="AD150" s="1878"/>
      <c r="AE150" s="1878"/>
      <c r="AF150" s="2144"/>
      <c r="AG150" s="1134"/>
      <c r="AH150" s="1134"/>
      <c r="AI150" s="1134"/>
      <c r="AJ150" s="1134"/>
      <c r="AK150" s="2153">
        <v>11</v>
      </c>
    </row>
    <row s="47496" customFormat="1" customHeight="1" ht="11.549999999999999">
      <c r="A151" s="1499"/>
      <c r="B151" s="1499"/>
      <c r="C151" s="1499"/>
      <c r="D151" s="1499"/>
      <c r="E151" s="1499"/>
      <c r="F151" s="2148"/>
      <c r="G151" s="2148"/>
      <c r="H151" s="863"/>
      <c r="N151" s="1878"/>
      <c r="P151" s="1878"/>
      <c r="Q151" s="2148"/>
      <c r="R151" s="2148"/>
      <c r="S151" s="1878"/>
      <c r="T151" s="1878"/>
      <c r="U151" s="1878"/>
      <c r="V151" s="1878"/>
      <c r="W151" s="2148"/>
      <c r="X151" s="1878"/>
      <c r="Y151" s="1878"/>
      <c r="Z151" s="1056"/>
      <c r="AA151" s="1878"/>
      <c r="AB151" s="1878"/>
      <c r="AC151" s="1878"/>
      <c r="AD151" s="1878"/>
      <c r="AE151" s="1878"/>
      <c r="AF151" s="2144"/>
      <c r="AG151" s="1134"/>
      <c r="AH151" s="1134"/>
      <c r="AI151" s="1134"/>
      <c r="AJ151" s="1134"/>
      <c r="AK151" s="2153">
        <v>11</v>
      </c>
    </row>
    <row s="47496" customFormat="1" customHeight="1" ht="11.549999999999999">
      <c r="A152" s="1499"/>
      <c r="B152" s="1499"/>
      <c r="C152" s="1499"/>
      <c r="D152" s="1499"/>
      <c r="E152" s="1499"/>
      <c r="F152" s="2148"/>
      <c r="G152" s="2148"/>
      <c r="H152" s="863"/>
      <c r="N152" s="1878"/>
      <c r="P152" s="1878"/>
      <c r="Q152" s="2148"/>
      <c r="R152" s="2148"/>
      <c r="S152" s="1878"/>
      <c r="T152" s="1878"/>
      <c r="U152" s="1878"/>
      <c r="V152" s="1878"/>
      <c r="W152" s="2148"/>
      <c r="X152" s="1878"/>
      <c r="Y152" s="1878"/>
      <c r="Z152" s="1056"/>
      <c r="AA152" s="1878"/>
      <c r="AB152" s="1878"/>
      <c r="AC152" s="1878"/>
      <c r="AD152" s="1878"/>
      <c r="AE152" s="1878"/>
      <c r="AF152" s="2144"/>
      <c r="AG152" s="1134"/>
      <c r="AH152" s="1134"/>
      <c r="AI152" s="1134"/>
      <c r="AJ152" s="1134"/>
      <c r="AK152" s="2153">
        <v>11</v>
      </c>
    </row>
    <row s="47496" customFormat="1" customHeight="1" ht="11.549999999999999">
      <c r="A153" s="1499"/>
      <c r="B153" s="1499"/>
      <c r="C153" s="1499"/>
      <c r="D153" s="1499"/>
      <c r="E153" s="1499"/>
      <c r="F153" s="2148"/>
      <c r="G153" s="2148"/>
      <c r="H153" s="863"/>
      <c r="N153" s="1878"/>
      <c r="P153" s="1878"/>
      <c r="Q153" s="2148"/>
      <c r="R153" s="2148"/>
      <c r="S153" s="1878"/>
      <c r="T153" s="1878"/>
      <c r="U153" s="1878"/>
      <c r="V153" s="1878"/>
      <c r="W153" s="2148"/>
      <c r="X153" s="1878"/>
      <c r="Y153" s="1878"/>
      <c r="Z153" s="1056"/>
      <c r="AA153" s="1878"/>
      <c r="AB153" s="1878"/>
      <c r="AC153" s="1878"/>
      <c r="AD153" s="1878"/>
      <c r="AE153" s="1878"/>
      <c r="AF153" s="2144"/>
      <c r="AG153" s="1134"/>
      <c r="AH153" s="1134"/>
      <c r="AI153" s="1134"/>
      <c r="AJ153" s="1134"/>
      <c r="AK153" s="2153">
        <v>11</v>
      </c>
    </row>
    <row s="47496" customFormat="1" customHeight="1" ht="11.549999999999999">
      <c r="A154" s="1499"/>
      <c r="B154" s="1499"/>
      <c r="C154" s="1499"/>
      <c r="D154" s="1499"/>
      <c r="E154" s="1499"/>
      <c r="F154" s="2148"/>
      <c r="G154" s="2148"/>
      <c r="H154" s="863"/>
      <c r="N154" s="1878"/>
      <c r="P154" s="1878"/>
      <c r="Q154" s="2148"/>
      <c r="R154" s="2148"/>
      <c r="S154" s="1878"/>
      <c r="T154" s="1878"/>
      <c r="U154" s="1878"/>
      <c r="V154" s="1878"/>
      <c r="W154" s="2148"/>
      <c r="X154" s="1878"/>
      <c r="Y154" s="1878"/>
      <c r="Z154" s="1056"/>
      <c r="AA154" s="1878"/>
      <c r="AB154" s="1878"/>
      <c r="AC154" s="1878"/>
      <c r="AD154" s="1878"/>
      <c r="AE154" s="1878"/>
      <c r="AF154" s="2144"/>
      <c r="AG154" s="1134"/>
      <c r="AH154" s="1134"/>
      <c r="AI154" s="1134"/>
      <c r="AJ154" s="1134"/>
      <c r="AK154" s="2153">
        <v>11</v>
      </c>
    </row>
    <row s="47496" customFormat="1" customHeight="1" ht="11.549999999999999">
      <c r="A155" s="1499"/>
      <c r="B155" s="1499"/>
      <c r="C155" s="1499"/>
      <c r="D155" s="1499"/>
      <c r="E155" s="1499"/>
      <c r="F155" s="2148"/>
      <c r="G155" s="2148"/>
      <c r="H155" s="863"/>
      <c r="N155" s="1878"/>
      <c r="P155" s="1878"/>
      <c r="Q155" s="2148"/>
      <c r="R155" s="2148"/>
      <c r="S155" s="1878"/>
      <c r="T155" s="1878"/>
      <c r="U155" s="1878"/>
      <c r="V155" s="1878"/>
      <c r="W155" s="2148"/>
      <c r="X155" s="1878"/>
      <c r="Y155" s="1878"/>
      <c r="Z155" s="1056"/>
      <c r="AA155" s="1878"/>
      <c r="AB155" s="1878"/>
      <c r="AC155" s="1878"/>
      <c r="AD155" s="1878"/>
      <c r="AE155" s="1878"/>
      <c r="AF155" s="2144"/>
      <c r="AG155" s="1134"/>
      <c r="AH155" s="1134"/>
      <c r="AI155" s="1134"/>
      <c r="AJ155" s="1134"/>
      <c r="AK155" s="2153">
        <v>11</v>
      </c>
    </row>
    <row s="47496" customFormat="1" customHeight="1" ht="11.549999999999999">
      <c r="A156" s="1499"/>
      <c r="B156" s="1499"/>
      <c r="C156" s="1499"/>
      <c r="D156" s="1499"/>
      <c r="E156" s="1499"/>
      <c r="F156" s="2148"/>
      <c r="G156" s="2148"/>
      <c r="H156" s="863"/>
      <c r="N156" s="1878"/>
      <c r="P156" s="1878"/>
      <c r="Q156" s="2148"/>
      <c r="R156" s="2148"/>
      <c r="S156" s="1878"/>
      <c r="T156" s="1878"/>
      <c r="U156" s="1878"/>
      <c r="V156" s="1878"/>
      <c r="W156" s="2148"/>
      <c r="X156" s="1878"/>
      <c r="Y156" s="1878"/>
      <c r="Z156" s="1056"/>
      <c r="AA156" s="1878"/>
      <c r="AB156" s="1878"/>
      <c r="AC156" s="1878"/>
      <c r="AD156" s="1878"/>
      <c r="AE156" s="1878"/>
      <c r="AF156" s="2144"/>
      <c r="AG156" s="1134"/>
      <c r="AH156" s="1134"/>
      <c r="AI156" s="1134"/>
      <c r="AJ156" s="1134"/>
      <c r="AK156" s="2153">
        <v>11</v>
      </c>
    </row>
    <row s="47496" customFormat="1" customHeight="1" ht="11.549999999999999">
      <c r="A157" s="1499"/>
      <c r="B157" s="1499"/>
      <c r="C157" s="1499"/>
      <c r="D157" s="1499"/>
      <c r="E157" s="1499"/>
      <c r="F157" s="2148"/>
      <c r="G157" s="2148"/>
      <c r="H157" s="863"/>
      <c r="N157" s="1878"/>
      <c r="P157" s="1878"/>
      <c r="Q157" s="2148"/>
      <c r="R157" s="2148"/>
      <c r="S157" s="1878"/>
      <c r="T157" s="1878"/>
      <c r="U157" s="1878"/>
      <c r="V157" s="1878"/>
      <c r="W157" s="2148"/>
      <c r="X157" s="1878"/>
      <c r="Y157" s="1878"/>
      <c r="Z157" s="1056"/>
      <c r="AA157" s="1878"/>
      <c r="AB157" s="1878"/>
      <c r="AC157" s="1878"/>
      <c r="AD157" s="1878"/>
      <c r="AE157" s="1878"/>
      <c r="AF157" s="2144"/>
      <c r="AG157" s="1134"/>
      <c r="AH157" s="1134"/>
      <c r="AI157" s="1134"/>
      <c r="AJ157" s="1134"/>
      <c r="AK157" s="2153">
        <v>11</v>
      </c>
    </row>
    <row s="47496" customFormat="1" customHeight="1" ht="11.549999999999999">
      <c r="A158" s="1499"/>
      <c r="B158" s="1499"/>
      <c r="C158" s="1499"/>
      <c r="D158" s="1499"/>
      <c r="E158" s="1499"/>
      <c r="F158" s="2148"/>
      <c r="G158" s="2148"/>
      <c r="H158" s="863"/>
      <c r="N158" s="1878"/>
      <c r="P158" s="1878"/>
      <c r="Q158" s="2148"/>
      <c r="R158" s="2148"/>
      <c r="S158" s="1878"/>
      <c r="T158" s="1878"/>
      <c r="U158" s="1878"/>
      <c r="V158" s="1878"/>
      <c r="W158" s="2148"/>
      <c r="X158" s="1878"/>
      <c r="Y158" s="1878"/>
      <c r="Z158" s="1056"/>
      <c r="AA158" s="1878"/>
      <c r="AB158" s="1878"/>
      <c r="AC158" s="1878"/>
      <c r="AD158" s="1878"/>
      <c r="AE158" s="1878"/>
      <c r="AF158" s="2144"/>
      <c r="AG158" s="1134"/>
      <c r="AH158" s="1134"/>
      <c r="AI158" s="1134"/>
      <c r="AJ158" s="1134"/>
      <c r="AK158" s="2153">
        <v>11</v>
      </c>
    </row>
    <row s="47496" customFormat="1" customHeight="1" ht="11.549999999999999">
      <c r="A159" s="1499"/>
      <c r="B159" s="1499"/>
      <c r="C159" s="1499"/>
      <c r="D159" s="1499"/>
      <c r="E159" s="1499"/>
      <c r="F159" s="2148"/>
      <c r="G159" s="2148"/>
      <c r="H159" s="863"/>
      <c r="N159" s="1878"/>
      <c r="P159" s="1878"/>
      <c r="Q159" s="2148"/>
      <c r="R159" s="2148"/>
      <c r="S159" s="1878"/>
      <c r="T159" s="1878"/>
      <c r="U159" s="1878"/>
      <c r="V159" s="1878"/>
      <c r="W159" s="2148"/>
      <c r="X159" s="1878"/>
      <c r="Y159" s="1878"/>
      <c r="Z159" s="1056"/>
      <c r="AA159" s="1878"/>
      <c r="AB159" s="1878"/>
      <c r="AC159" s="1878"/>
      <c r="AD159" s="1878"/>
      <c r="AE159" s="1878"/>
      <c r="AF159" s="2144"/>
      <c r="AG159" s="1134"/>
      <c r="AH159" s="1134"/>
      <c r="AI159" s="1134"/>
      <c r="AJ159" s="1134"/>
      <c r="AK159" s="2153">
        <v>11</v>
      </c>
    </row>
    <row s="47496" customFormat="1" customHeight="1" ht="11.549999999999999">
      <c r="A160" s="1499"/>
      <c r="B160" s="1499"/>
      <c r="C160" s="1499"/>
      <c r="D160" s="1499"/>
      <c r="E160" s="1499"/>
      <c r="F160" s="2148"/>
      <c r="G160" s="2148"/>
      <c r="H160" s="863"/>
      <c r="N160" s="1878"/>
      <c r="P160" s="1878"/>
      <c r="Q160" s="2148"/>
      <c r="R160" s="2148"/>
      <c r="S160" s="1878"/>
      <c r="T160" s="1878"/>
      <c r="U160" s="1878"/>
      <c r="V160" s="1878"/>
      <c r="W160" s="2148"/>
      <c r="X160" s="1878"/>
      <c r="Y160" s="1878"/>
      <c r="Z160" s="1056"/>
      <c r="AA160" s="1878"/>
      <c r="AB160" s="1878"/>
      <c r="AC160" s="1878"/>
      <c r="AD160" s="1878"/>
      <c r="AE160" s="1878"/>
      <c r="AF160" s="2144"/>
      <c r="AG160" s="1134"/>
      <c r="AH160" s="1134"/>
      <c r="AI160" s="1134"/>
      <c r="AJ160" s="1134"/>
      <c r="AK160" s="2153">
        <v>11</v>
      </c>
    </row>
    <row s="47496" customFormat="1" customHeight="1" ht="11.549999999999999">
      <c r="A161" s="1499"/>
      <c r="B161" s="1499"/>
      <c r="C161" s="1499"/>
      <c r="D161" s="1499"/>
      <c r="E161" s="1499"/>
      <c r="F161" s="2148"/>
      <c r="G161" s="2148"/>
      <c r="H161" s="863"/>
      <c r="N161" s="1878"/>
      <c r="P161" s="1878"/>
      <c r="Q161" s="2148"/>
      <c r="R161" s="2148"/>
      <c r="S161" s="1878"/>
      <c r="T161" s="1878"/>
      <c r="U161" s="1878"/>
      <c r="V161" s="1878"/>
      <c r="W161" s="2148"/>
      <c r="X161" s="1878"/>
      <c r="Y161" s="1878"/>
      <c r="Z161" s="1056"/>
      <c r="AA161" s="1878"/>
      <c r="AB161" s="1878"/>
      <c r="AC161" s="1878"/>
      <c r="AD161" s="1878"/>
      <c r="AE161" s="1878"/>
      <c r="AF161" s="2144"/>
      <c r="AG161" s="1134"/>
      <c r="AH161" s="1134"/>
      <c r="AI161" s="1134"/>
      <c r="AJ161" s="1134"/>
      <c r="AK161" s="2153">
        <v>11</v>
      </c>
    </row>
    <row s="47496" customFormat="1" customHeight="1" ht="11.549999999999999">
      <c r="A162" s="1499"/>
      <c r="B162" s="1499"/>
      <c r="C162" s="1499"/>
      <c r="D162" s="1499"/>
      <c r="E162" s="1499"/>
      <c r="F162" s="2148"/>
      <c r="G162" s="2148"/>
      <c r="H162" s="863"/>
      <c r="N162" s="1878"/>
      <c r="P162" s="1878"/>
      <c r="Q162" s="2148"/>
      <c r="R162" s="2148"/>
      <c r="S162" s="1878"/>
      <c r="T162" s="1878"/>
      <c r="U162" s="1878"/>
      <c r="V162" s="1878"/>
      <c r="W162" s="2148"/>
      <c r="X162" s="1878"/>
      <c r="Y162" s="1878"/>
      <c r="Z162" s="1056"/>
      <c r="AA162" s="1878"/>
      <c r="AB162" s="1878"/>
      <c r="AC162" s="1878"/>
      <c r="AD162" s="1878"/>
      <c r="AE162" s="1878"/>
      <c r="AF162" s="2144"/>
      <c r="AG162" s="1134"/>
      <c r="AH162" s="1134"/>
      <c r="AI162" s="1134"/>
      <c r="AJ162" s="1134"/>
      <c r="AK162" s="2153">
        <v>11</v>
      </c>
    </row>
    <row s="47496" customFormat="1" customHeight="1" ht="11.549999999999999">
      <c r="A163" s="1499"/>
      <c r="B163" s="1499"/>
      <c r="C163" s="1499"/>
      <c r="D163" s="1499"/>
      <c r="E163" s="1499"/>
      <c r="F163" s="2148"/>
      <c r="G163" s="2148"/>
      <c r="H163" s="863"/>
      <c r="N163" s="1878"/>
      <c r="P163" s="1878"/>
      <c r="Q163" s="2148"/>
      <c r="R163" s="2148"/>
      <c r="S163" s="1878"/>
      <c r="T163" s="1878"/>
      <c r="U163" s="1878"/>
      <c r="V163" s="1878"/>
      <c r="W163" s="2148"/>
      <c r="X163" s="1878"/>
      <c r="Y163" s="1878"/>
      <c r="Z163" s="1056"/>
      <c r="AA163" s="1878"/>
      <c r="AB163" s="1878"/>
      <c r="AC163" s="1878"/>
      <c r="AD163" s="1878"/>
      <c r="AE163" s="1878"/>
      <c r="AF163" s="2144"/>
      <c r="AG163" s="1134"/>
      <c r="AH163" s="1134"/>
      <c r="AI163" s="1134"/>
      <c r="AJ163" s="1134"/>
      <c r="AK163" s="2153">
        <v>11</v>
      </c>
    </row>
    <row s="47496" customFormat="1" customHeight="1" ht="11.549999999999999">
      <c r="A164" s="1499"/>
      <c r="B164" s="1499"/>
      <c r="C164" s="1499"/>
      <c r="D164" s="1499"/>
      <c r="E164" s="1499"/>
      <c r="F164" s="2148"/>
      <c r="G164" s="2148"/>
      <c r="H164" s="863"/>
      <c r="N164" s="1878"/>
      <c r="P164" s="1878"/>
      <c r="Q164" s="2148"/>
      <c r="R164" s="2148"/>
      <c r="S164" s="1878"/>
      <c r="T164" s="1878"/>
      <c r="U164" s="1878"/>
      <c r="V164" s="1878"/>
      <c r="W164" s="2148"/>
      <c r="X164" s="1878"/>
      <c r="Y164" s="1878"/>
      <c r="Z164" s="1056"/>
      <c r="AA164" s="1878"/>
      <c r="AB164" s="1878"/>
      <c r="AC164" s="1878"/>
      <c r="AD164" s="1878"/>
      <c r="AE164" s="1878"/>
      <c r="AF164" s="2144"/>
      <c r="AG164" s="1134"/>
      <c r="AH164" s="1134"/>
      <c r="AI164" s="1134"/>
      <c r="AJ164" s="1134"/>
      <c r="AK164" s="2153">
        <v>11</v>
      </c>
    </row>
    <row s="47496" customFormat="1" customHeight="1" ht="11.549999999999999">
      <c r="A165" s="1499"/>
      <c r="B165" s="1499"/>
      <c r="C165" s="1499"/>
      <c r="D165" s="1499"/>
      <c r="E165" s="1499"/>
      <c r="F165" s="2148"/>
      <c r="G165" s="2148"/>
      <c r="H165" s="863"/>
      <c r="N165" s="1878"/>
      <c r="P165" s="1878"/>
      <c r="Q165" s="2148"/>
      <c r="R165" s="2148"/>
      <c r="S165" s="1878"/>
      <c r="T165" s="1878"/>
      <c r="U165" s="1878"/>
      <c r="V165" s="1878"/>
      <c r="W165" s="2148"/>
      <c r="X165" s="1878"/>
      <c r="Y165" s="1878"/>
      <c r="Z165" s="1056"/>
      <c r="AA165" s="1878"/>
      <c r="AB165" s="1878"/>
      <c r="AC165" s="1878"/>
      <c r="AD165" s="1878"/>
      <c r="AE165" s="1878"/>
      <c r="AF165" s="2144"/>
      <c r="AG165" s="1134"/>
      <c r="AH165" s="1134"/>
      <c r="AI165" s="1134"/>
      <c r="AJ165" s="1134"/>
      <c r="AK165" s="2153">
        <v>11</v>
      </c>
    </row>
    <row s="47496" customFormat="1" customHeight="1" ht="11.549999999999999">
      <c r="A166" s="1499"/>
      <c r="B166" s="1499"/>
      <c r="C166" s="1499"/>
      <c r="D166" s="1499"/>
      <c r="E166" s="1499"/>
      <c r="F166" s="2148"/>
      <c r="G166" s="2148"/>
      <c r="H166" s="863"/>
      <c r="N166" s="1878"/>
      <c r="P166" s="1878"/>
      <c r="Q166" s="2148"/>
      <c r="R166" s="2148"/>
      <c r="S166" s="1878"/>
      <c r="T166" s="1878"/>
      <c r="U166" s="1878"/>
      <c r="V166" s="1878"/>
      <c r="W166" s="2148"/>
      <c r="X166" s="1878"/>
      <c r="Y166" s="1878"/>
      <c r="Z166" s="1056"/>
      <c r="AA166" s="1878"/>
      <c r="AB166" s="1878"/>
      <c r="AC166" s="1878"/>
      <c r="AD166" s="1878"/>
      <c r="AE166" s="1878"/>
      <c r="AF166" s="2144"/>
      <c r="AG166" s="1134"/>
      <c r="AH166" s="1134"/>
      <c r="AI166" s="1134"/>
      <c r="AJ166" s="1134"/>
      <c r="AK166" s="2153">
        <v>11</v>
      </c>
    </row>
    <row s="47496" customFormat="1" customHeight="1" ht="11.549999999999999">
      <c r="A167" s="1499"/>
      <c r="B167" s="1499"/>
      <c r="C167" s="1499"/>
      <c r="D167" s="1499"/>
      <c r="E167" s="1499"/>
      <c r="F167" s="2148"/>
      <c r="G167" s="2148"/>
      <c r="H167" s="863"/>
      <c r="N167" s="1878"/>
      <c r="P167" s="1878"/>
      <c r="Q167" s="2148"/>
      <c r="R167" s="2148"/>
      <c r="S167" s="1878"/>
      <c r="T167" s="1878"/>
      <c r="U167" s="1878"/>
      <c r="V167" s="1878"/>
      <c r="W167" s="2148"/>
      <c r="X167" s="1878"/>
      <c r="Y167" s="1878"/>
      <c r="Z167" s="1056"/>
      <c r="AA167" s="1878"/>
      <c r="AB167" s="1878"/>
      <c r="AC167" s="1878"/>
      <c r="AD167" s="1878"/>
      <c r="AE167" s="1878"/>
      <c r="AF167" s="2144"/>
      <c r="AG167" s="1134"/>
      <c r="AH167" s="1134"/>
      <c r="AI167" s="1134"/>
      <c r="AJ167" s="1134"/>
      <c r="AK167" s="2153">
        <v>11</v>
      </c>
    </row>
    <row s="47496" customFormat="1" customHeight="1" ht="11.549999999999999">
      <c r="A168" s="1499"/>
      <c r="B168" s="1499"/>
      <c r="C168" s="1499"/>
      <c r="D168" s="1499"/>
      <c r="E168" s="1499"/>
      <c r="F168" s="2148"/>
      <c r="G168" s="2148"/>
      <c r="H168" s="863"/>
      <c r="N168" s="1878"/>
      <c r="P168" s="1878"/>
      <c r="Q168" s="2148"/>
      <c r="R168" s="2148"/>
      <c r="S168" s="1878"/>
      <c r="T168" s="1878"/>
      <c r="U168" s="1878"/>
      <c r="V168" s="1878"/>
      <c r="W168" s="2148"/>
      <c r="X168" s="1878"/>
      <c r="Y168" s="1878"/>
      <c r="Z168" s="1056"/>
      <c r="AA168" s="1878"/>
      <c r="AB168" s="1878"/>
      <c r="AC168" s="1878"/>
      <c r="AD168" s="1878"/>
      <c r="AE168" s="1878"/>
      <c r="AF168" s="2144"/>
      <c r="AG168" s="1134"/>
      <c r="AH168" s="1134"/>
      <c r="AI168" s="1134"/>
      <c r="AJ168" s="1134"/>
      <c r="AK168" s="2153">
        <v>11</v>
      </c>
    </row>
    <row s="47496" customFormat="1" customHeight="1" ht="11.549999999999999">
      <c r="A169" s="1499"/>
      <c r="B169" s="1499"/>
      <c r="C169" s="1499"/>
      <c r="D169" s="1499"/>
      <c r="E169" s="1499"/>
      <c r="F169" s="2148"/>
      <c r="G169" s="2148"/>
      <c r="H169" s="863"/>
      <c r="N169" s="1878"/>
      <c r="P169" s="1878"/>
      <c r="Q169" s="2148"/>
      <c r="R169" s="2148"/>
      <c r="S169" s="1878"/>
      <c r="T169" s="1878"/>
      <c r="U169" s="1878"/>
      <c r="V169" s="1878"/>
      <c r="W169" s="2148"/>
      <c r="X169" s="1878"/>
      <c r="Y169" s="1878"/>
      <c r="Z169" s="1056"/>
      <c r="AA169" s="1878"/>
      <c r="AB169" s="1878"/>
      <c r="AC169" s="1878"/>
      <c r="AD169" s="1878"/>
      <c r="AE169" s="1878"/>
      <c r="AF169" s="2144"/>
      <c r="AG169" s="1134"/>
      <c r="AH169" s="1134"/>
      <c r="AI169" s="1134"/>
      <c r="AJ169" s="1134"/>
      <c r="AK169" s="2153">
        <v>11</v>
      </c>
    </row>
    <row s="47496" customFormat="1" customHeight="1" ht="11.549999999999999">
      <c r="A170" s="1499"/>
      <c r="B170" s="1499"/>
      <c r="C170" s="1499"/>
      <c r="D170" s="1499"/>
      <c r="E170" s="1499"/>
      <c r="F170" s="2148"/>
      <c r="G170" s="2148"/>
      <c r="H170" s="863"/>
      <c r="N170" s="1878"/>
      <c r="P170" s="1878"/>
      <c r="Q170" s="2148"/>
      <c r="R170" s="2148"/>
      <c r="S170" s="1878"/>
      <c r="T170" s="1878"/>
      <c r="U170" s="1878"/>
      <c r="V170" s="1878"/>
      <c r="W170" s="2148"/>
      <c r="X170" s="1878"/>
      <c r="Y170" s="1878"/>
      <c r="Z170" s="1056"/>
      <c r="AA170" s="1878"/>
      <c r="AB170" s="1878"/>
      <c r="AC170" s="1878"/>
      <c r="AD170" s="1878"/>
      <c r="AE170" s="1878"/>
      <c r="AF170" s="2144"/>
      <c r="AG170" s="1134"/>
      <c r="AH170" s="1134"/>
      <c r="AI170" s="1134"/>
      <c r="AJ170" s="1134"/>
      <c r="AK170" s="2153">
        <v>11</v>
      </c>
    </row>
    <row s="47496" customFormat="1" customHeight="1" ht="11.549999999999999">
      <c r="A171" s="1499"/>
      <c r="B171" s="1499"/>
      <c r="C171" s="1499"/>
      <c r="D171" s="1499"/>
      <c r="E171" s="1499"/>
      <c r="F171" s="2148"/>
      <c r="G171" s="2148"/>
      <c r="H171" s="863"/>
      <c r="N171" s="1878"/>
      <c r="P171" s="1878"/>
      <c r="Q171" s="2148"/>
      <c r="R171" s="2148"/>
      <c r="S171" s="1878"/>
      <c r="T171" s="1878"/>
      <c r="U171" s="1878"/>
      <c r="V171" s="1878"/>
      <c r="W171" s="2148"/>
      <c r="X171" s="1878"/>
      <c r="Y171" s="1878"/>
      <c r="Z171" s="1056"/>
      <c r="AA171" s="1878"/>
      <c r="AB171" s="1878"/>
      <c r="AC171" s="1878"/>
      <c r="AD171" s="1878"/>
      <c r="AE171" s="1878"/>
      <c r="AF171" s="2144"/>
      <c r="AG171" s="1134"/>
      <c r="AH171" s="1134"/>
      <c r="AI171" s="1134"/>
      <c r="AJ171" s="1134"/>
      <c r="AK171" s="2153">
        <v>11</v>
      </c>
    </row>
    <row s="47496" customFormat="1" customHeight="1" ht="11.549999999999999">
      <c r="A172" s="1499"/>
      <c r="B172" s="1499"/>
      <c r="C172" s="1499"/>
      <c r="D172" s="1499"/>
      <c r="E172" s="1499"/>
      <c r="F172" s="2148"/>
      <c r="G172" s="2148"/>
      <c r="H172" s="863"/>
      <c r="N172" s="1878"/>
      <c r="P172" s="1878"/>
      <c r="Q172" s="2148"/>
      <c r="R172" s="2148"/>
      <c r="S172" s="1878"/>
      <c r="T172" s="1878"/>
      <c r="U172" s="1878"/>
      <c r="V172" s="1878"/>
      <c r="W172" s="2148"/>
      <c r="X172" s="1878"/>
      <c r="Y172" s="1878"/>
      <c r="Z172" s="1056"/>
      <c r="AA172" s="1878"/>
      <c r="AB172" s="1878"/>
      <c r="AC172" s="1878"/>
      <c r="AD172" s="1878"/>
      <c r="AE172" s="1878"/>
      <c r="AF172" s="2144"/>
      <c r="AG172" s="1134"/>
      <c r="AH172" s="1134"/>
      <c r="AI172" s="1134"/>
      <c r="AJ172" s="1134"/>
      <c r="AK172" s="2153">
        <v>11</v>
      </c>
    </row>
    <row s="47496" customFormat="1" customHeight="1" ht="11.549999999999999">
      <c r="A173" s="1499"/>
      <c r="B173" s="1499"/>
      <c r="C173" s="1499"/>
      <c r="D173" s="1499"/>
      <c r="E173" s="1499"/>
      <c r="F173" s="2148"/>
      <c r="G173" s="2148"/>
      <c r="H173" s="863"/>
      <c r="N173" s="1878"/>
      <c r="P173" s="1878"/>
      <c r="Q173" s="2148"/>
      <c r="R173" s="2148"/>
      <c r="S173" s="1878"/>
      <c r="T173" s="1878"/>
      <c r="U173" s="1878"/>
      <c r="V173" s="1878"/>
      <c r="W173" s="2148"/>
      <c r="X173" s="1878"/>
      <c r="Y173" s="1878"/>
      <c r="Z173" s="1056"/>
      <c r="AA173" s="1878"/>
      <c r="AB173" s="1878"/>
      <c r="AC173" s="1878"/>
      <c r="AD173" s="1878"/>
      <c r="AE173" s="1878"/>
      <c r="AF173" s="2144"/>
      <c r="AG173" s="1134"/>
      <c r="AH173" s="1134"/>
      <c r="AI173" s="1134"/>
      <c r="AJ173" s="1134"/>
      <c r="AK173" s="2153">
        <v>11</v>
      </c>
    </row>
    <row s="47496" customFormat="1" customHeight="1" ht="11.549999999999999">
      <c r="A174" s="1499"/>
      <c r="B174" s="1499"/>
      <c r="C174" s="1499"/>
      <c r="D174" s="1499"/>
      <c r="E174" s="1499"/>
      <c r="F174" s="2148"/>
      <c r="G174" s="2148"/>
      <c r="H174" s="863"/>
      <c r="N174" s="1878"/>
      <c r="P174" s="1878"/>
      <c r="Q174" s="2148"/>
      <c r="R174" s="2148"/>
      <c r="S174" s="1878"/>
      <c r="T174" s="1878"/>
      <c r="U174" s="1878"/>
      <c r="V174" s="1878"/>
      <c r="W174" s="2148"/>
      <c r="X174" s="1878"/>
      <c r="Y174" s="1878"/>
      <c r="Z174" s="1056"/>
      <c r="AA174" s="1878"/>
      <c r="AB174" s="1878"/>
      <c r="AC174" s="1878"/>
      <c r="AD174" s="1878"/>
      <c r="AE174" s="1878"/>
      <c r="AF174" s="2144"/>
      <c r="AG174" s="1134"/>
      <c r="AH174" s="1134"/>
      <c r="AI174" s="1134"/>
      <c r="AJ174" s="1134"/>
      <c r="AK174" s="2153">
        <v>11</v>
      </c>
    </row>
    <row s="47496" customFormat="1" customHeight="1" ht="11.549999999999999">
      <c r="A175" s="1499"/>
      <c r="B175" s="1499"/>
      <c r="C175" s="1499"/>
      <c r="D175" s="1499"/>
      <c r="E175" s="1499"/>
      <c r="F175" s="2148"/>
      <c r="G175" s="2148"/>
      <c r="H175" s="863"/>
      <c r="N175" s="1878"/>
      <c r="P175" s="1878"/>
      <c r="Q175" s="2148"/>
      <c r="R175" s="2148"/>
      <c r="S175" s="1878"/>
      <c r="T175" s="1878"/>
      <c r="U175" s="1878"/>
      <c r="V175" s="1878"/>
      <c r="W175" s="2148"/>
      <c r="X175" s="1878"/>
      <c r="Y175" s="1878"/>
      <c r="Z175" s="1056"/>
      <c r="AA175" s="1878"/>
      <c r="AB175" s="1878"/>
      <c r="AC175" s="1878"/>
      <c r="AD175" s="1878"/>
      <c r="AE175" s="1878"/>
      <c r="AF175" s="2144"/>
      <c r="AG175" s="1134"/>
      <c r="AH175" s="1134"/>
      <c r="AI175" s="1134"/>
      <c r="AJ175" s="1134"/>
      <c r="AK175" s="2153">
        <v>11</v>
      </c>
    </row>
    <row s="47496" customFormat="1" customHeight="1" ht="11.549999999999999">
      <c r="A176" s="1499"/>
      <c r="B176" s="1499"/>
      <c r="C176" s="1499"/>
      <c r="D176" s="1499"/>
      <c r="E176" s="1499"/>
      <c r="F176" s="2148"/>
      <c r="G176" s="2148"/>
      <c r="H176" s="863"/>
      <c r="N176" s="1878"/>
      <c r="P176" s="1878"/>
      <c r="Q176" s="2148"/>
      <c r="R176" s="2148"/>
      <c r="S176" s="1878"/>
      <c r="T176" s="1878"/>
      <c r="U176" s="1878"/>
      <c r="V176" s="1878"/>
      <c r="W176" s="2148"/>
      <c r="X176" s="1878"/>
      <c r="Y176" s="1878"/>
      <c r="Z176" s="1056"/>
      <c r="AA176" s="1878"/>
      <c r="AB176" s="1878"/>
      <c r="AC176" s="1878"/>
      <c r="AD176" s="1878"/>
      <c r="AE176" s="1878"/>
      <c r="AF176" s="2144"/>
      <c r="AG176" s="1134"/>
      <c r="AH176" s="1134"/>
      <c r="AI176" s="1134"/>
      <c r="AJ176" s="1134"/>
      <c r="AK176" s="2153">
        <v>11</v>
      </c>
    </row>
    <row s="47496" customFormat="1" customHeight="1" ht="11.549999999999999">
      <c r="A177" s="1499"/>
      <c r="B177" s="1499"/>
      <c r="C177" s="1499"/>
      <c r="D177" s="1499"/>
      <c r="E177" s="1499"/>
      <c r="F177" s="2148"/>
      <c r="G177" s="2148"/>
      <c r="H177" s="863"/>
      <c r="N177" s="1878"/>
      <c r="P177" s="1878"/>
      <c r="Q177" s="2148"/>
      <c r="R177" s="2148"/>
      <c r="S177" s="1878"/>
      <c r="T177" s="1878"/>
      <c r="U177" s="1878"/>
      <c r="V177" s="1878"/>
      <c r="W177" s="2148"/>
      <c r="X177" s="1878"/>
      <c r="Y177" s="1878"/>
      <c r="Z177" s="1056"/>
      <c r="AA177" s="1878"/>
      <c r="AB177" s="1878"/>
      <c r="AC177" s="1878"/>
      <c r="AD177" s="1878"/>
      <c r="AE177" s="1878"/>
      <c r="AF177" s="2144"/>
      <c r="AG177" s="1134"/>
      <c r="AH177" s="1134"/>
      <c r="AI177" s="1134"/>
      <c r="AJ177" s="1134"/>
      <c r="AK177" s="2153">
        <v>11</v>
      </c>
    </row>
    <row s="47496" customFormat="1" customHeight="1" ht="11.549999999999999">
      <c r="A178" s="1499"/>
      <c r="B178" s="1499"/>
      <c r="C178" s="1499"/>
      <c r="D178" s="1499"/>
      <c r="E178" s="1499"/>
      <c r="F178" s="2148"/>
      <c r="G178" s="2148"/>
      <c r="H178" s="863"/>
      <c r="N178" s="1878"/>
      <c r="P178" s="1878"/>
      <c r="Q178" s="2148"/>
      <c r="R178" s="2148"/>
      <c r="S178" s="1878"/>
      <c r="T178" s="1878"/>
      <c r="U178" s="1878"/>
      <c r="V178" s="1878"/>
      <c r="W178" s="2148"/>
      <c r="X178" s="1878"/>
      <c r="Y178" s="1878"/>
      <c r="Z178" s="1056"/>
      <c r="AA178" s="1878"/>
      <c r="AB178" s="1878"/>
      <c r="AC178" s="1878"/>
      <c r="AD178" s="1878"/>
      <c r="AE178" s="1878"/>
      <c r="AF178" s="2144"/>
      <c r="AG178" s="1134"/>
      <c r="AH178" s="1134"/>
      <c r="AI178" s="1134"/>
      <c r="AJ178" s="1134"/>
      <c r="AK178" s="2153">
        <v>11</v>
      </c>
    </row>
    <row s="47496" customFormat="1" customHeight="1" ht="11.549999999999999">
      <c r="A179" s="1499"/>
      <c r="B179" s="1499"/>
      <c r="C179" s="1499"/>
      <c r="D179" s="1499"/>
      <c r="E179" s="1499"/>
      <c r="F179" s="2148"/>
      <c r="G179" s="2148"/>
      <c r="H179" s="863"/>
      <c r="N179" s="1878"/>
      <c r="P179" s="1878"/>
      <c r="Q179" s="2148"/>
      <c r="R179" s="2148"/>
      <c r="S179" s="1878"/>
      <c r="T179" s="1878"/>
      <c r="U179" s="1878"/>
      <c r="V179" s="1878"/>
      <c r="W179" s="2148"/>
      <c r="X179" s="1878"/>
      <c r="Y179" s="1878"/>
      <c r="Z179" s="1056"/>
      <c r="AA179" s="1878"/>
      <c r="AB179" s="1878"/>
      <c r="AC179" s="1878"/>
      <c r="AD179" s="1878"/>
      <c r="AE179" s="1878"/>
      <c r="AF179" s="2144"/>
      <c r="AG179" s="1134"/>
      <c r="AH179" s="1134"/>
      <c r="AI179" s="1134"/>
      <c r="AJ179" s="1134"/>
      <c r="AK179" s="2153">
        <v>11</v>
      </c>
    </row>
    <row s="47496" customFormat="1" customHeight="1" ht="11.549999999999999">
      <c r="A180" s="1499"/>
      <c r="B180" s="1499"/>
      <c r="C180" s="1499"/>
      <c r="D180" s="1499"/>
      <c r="E180" s="1499"/>
      <c r="F180" s="2148"/>
      <c r="G180" s="2148"/>
      <c r="H180" s="863"/>
      <c r="N180" s="1878"/>
      <c r="P180" s="1878"/>
      <c r="Q180" s="2148"/>
      <c r="R180" s="2148"/>
      <c r="S180" s="1878"/>
      <c r="T180" s="1878"/>
      <c r="U180" s="1878"/>
      <c r="V180" s="1878"/>
      <c r="W180" s="2148"/>
      <c r="X180" s="1878"/>
      <c r="Y180" s="1878"/>
      <c r="Z180" s="1056"/>
      <c r="AA180" s="1878"/>
      <c r="AB180" s="1878"/>
      <c r="AC180" s="1878"/>
      <c r="AD180" s="1878"/>
      <c r="AE180" s="1878"/>
      <c r="AF180" s="2144"/>
      <c r="AG180" s="1134"/>
      <c r="AH180" s="1134"/>
      <c r="AI180" s="1134"/>
      <c r="AJ180" s="1134"/>
      <c r="AK180" s="2153">
        <v>11</v>
      </c>
    </row>
    <row s="47496" customFormat="1" customHeight="1" ht="11.549999999999999">
      <c r="A181" s="1499"/>
      <c r="B181" s="1499"/>
      <c r="C181" s="1499"/>
      <c r="D181" s="1499"/>
      <c r="E181" s="1499"/>
      <c r="F181" s="2148"/>
      <c r="G181" s="2148"/>
      <c r="H181" s="863"/>
      <c r="N181" s="1878"/>
      <c r="P181" s="1878"/>
      <c r="Q181" s="2148"/>
      <c r="R181" s="2148"/>
      <c r="S181" s="1878"/>
      <c r="T181" s="1878"/>
      <c r="U181" s="1878"/>
      <c r="V181" s="1878"/>
      <c r="W181" s="2148"/>
      <c r="X181" s="1878"/>
      <c r="Y181" s="1878"/>
      <c r="Z181" s="1056"/>
      <c r="AA181" s="1878"/>
      <c r="AB181" s="1878"/>
      <c r="AC181" s="1878"/>
      <c r="AD181" s="1878"/>
      <c r="AE181" s="1878"/>
      <c r="AF181" s="2144"/>
      <c r="AG181" s="1134"/>
      <c r="AH181" s="1134"/>
      <c r="AI181" s="1134"/>
      <c r="AJ181" s="1134"/>
      <c r="AK181" s="2153">
        <v>11</v>
      </c>
    </row>
    <row s="47496" customFormat="1" customHeight="1" ht="11.549999999999999">
      <c r="A182" s="1499"/>
      <c r="B182" s="1499"/>
      <c r="C182" s="1499"/>
      <c r="D182" s="1499"/>
      <c r="E182" s="1499"/>
      <c r="F182" s="2148"/>
      <c r="G182" s="2148"/>
      <c r="H182" s="863"/>
      <c r="N182" s="1878"/>
      <c r="P182" s="1878"/>
      <c r="Q182" s="2148"/>
      <c r="R182" s="2148"/>
      <c r="S182" s="1878"/>
      <c r="T182" s="1878"/>
      <c r="U182" s="1878"/>
      <c r="V182" s="1878"/>
      <c r="W182" s="2148"/>
      <c r="X182" s="1878"/>
      <c r="Y182" s="1878"/>
      <c r="Z182" s="1056"/>
      <c r="AA182" s="1878"/>
      <c r="AB182" s="1878"/>
      <c r="AC182" s="1878"/>
      <c r="AD182" s="1878"/>
      <c r="AE182" s="1878"/>
      <c r="AF182" s="2144"/>
      <c r="AG182" s="1134"/>
      <c r="AH182" s="1134"/>
      <c r="AI182" s="1134"/>
      <c r="AJ182" s="1134"/>
      <c r="AK182" s="2153">
        <v>11</v>
      </c>
    </row>
    <row s="47496" customFormat="1" customHeight="1" ht="11.549999999999999">
      <c r="A183" s="1499"/>
      <c r="B183" s="1499"/>
      <c r="C183" s="1499"/>
      <c r="D183" s="1499"/>
      <c r="E183" s="1499"/>
      <c r="F183" s="2148"/>
      <c r="G183" s="2148"/>
      <c r="H183" s="863"/>
      <c r="N183" s="1878"/>
      <c r="P183" s="1878"/>
      <c r="Q183" s="2148"/>
      <c r="R183" s="2148"/>
      <c r="S183" s="1878"/>
      <c r="T183" s="1878"/>
      <c r="U183" s="1878"/>
      <c r="V183" s="1878"/>
      <c r="W183" s="2148"/>
      <c r="X183" s="1878"/>
      <c r="Y183" s="1878"/>
      <c r="Z183" s="1056"/>
      <c r="AA183" s="1878"/>
      <c r="AB183" s="1878"/>
      <c r="AC183" s="1878"/>
      <c r="AD183" s="1878"/>
      <c r="AE183" s="1878"/>
      <c r="AF183" s="2144"/>
      <c r="AG183" s="1134"/>
      <c r="AH183" s="1134"/>
      <c r="AI183" s="1134"/>
      <c r="AJ183" s="1134"/>
      <c r="AK183" s="2153">
        <v>11</v>
      </c>
    </row>
    <row s="47496" customFormat="1" customHeight="1" ht="11.549999999999999">
      <c r="A184" s="1499"/>
      <c r="B184" s="1499"/>
      <c r="C184" s="1499"/>
      <c r="D184" s="1499"/>
      <c r="E184" s="1499"/>
      <c r="F184" s="2148"/>
      <c r="G184" s="2148"/>
      <c r="H184" s="863"/>
      <c r="N184" s="1878"/>
      <c r="P184" s="1878"/>
      <c r="Q184" s="2148"/>
      <c r="R184" s="2148"/>
      <c r="S184" s="1878"/>
      <c r="T184" s="1878"/>
      <c r="U184" s="1878"/>
      <c r="V184" s="1878"/>
      <c r="W184" s="2148"/>
      <c r="X184" s="1878"/>
      <c r="Y184" s="1878"/>
      <c r="Z184" s="1056"/>
      <c r="AA184" s="1878"/>
      <c r="AB184" s="1878"/>
      <c r="AC184" s="1878"/>
      <c r="AD184" s="1878"/>
      <c r="AE184" s="1878"/>
      <c r="AF184" s="2144"/>
      <c r="AG184" s="1134"/>
      <c r="AH184" s="1134"/>
      <c r="AI184" s="1134"/>
      <c r="AJ184" s="1134"/>
      <c r="AK184" s="2153">
        <v>11</v>
      </c>
    </row>
    <row s="47496" customFormat="1" customHeight="1" ht="11.549999999999999">
      <c r="A185" s="1499"/>
      <c r="B185" s="1499"/>
      <c r="C185" s="1499"/>
      <c r="D185" s="1499"/>
      <c r="E185" s="1499"/>
      <c r="F185" s="2148"/>
      <c r="G185" s="2148"/>
      <c r="H185" s="863"/>
      <c r="N185" s="1878"/>
      <c r="P185" s="1878"/>
      <c r="Q185" s="2148"/>
      <c r="R185" s="2148"/>
      <c r="S185" s="1878"/>
      <c r="T185" s="1878"/>
      <c r="U185" s="1878"/>
      <c r="V185" s="1878"/>
      <c r="W185" s="2148"/>
      <c r="X185" s="1878"/>
      <c r="Y185" s="1878"/>
      <c r="Z185" s="1056"/>
      <c r="AA185" s="1878"/>
      <c r="AB185" s="1878"/>
      <c r="AC185" s="1878"/>
      <c r="AD185" s="1878"/>
      <c r="AE185" s="1878"/>
      <c r="AF185" s="2144"/>
      <c r="AG185" s="1134"/>
      <c r="AH185" s="1134"/>
      <c r="AI185" s="1134"/>
      <c r="AJ185" s="1134"/>
      <c r="AK185" s="2153">
        <v>11</v>
      </c>
    </row>
    <row s="47496" customFormat="1" customHeight="1" ht="11.549999999999999">
      <c r="A186" s="1499"/>
      <c r="B186" s="1499"/>
      <c r="C186" s="1499"/>
      <c r="D186" s="1499"/>
      <c r="E186" s="1499"/>
      <c r="F186" s="2148"/>
      <c r="G186" s="2148"/>
      <c r="H186" s="863"/>
      <c r="N186" s="1878"/>
      <c r="P186" s="1878"/>
      <c r="Q186" s="2148"/>
      <c r="R186" s="2148"/>
      <c r="S186" s="1878"/>
      <c r="T186" s="1878"/>
      <c r="U186" s="1878"/>
      <c r="V186" s="1878"/>
      <c r="W186" s="2148"/>
      <c r="X186" s="1878"/>
      <c r="Y186" s="1878"/>
      <c r="Z186" s="1056"/>
      <c r="AA186" s="1878"/>
      <c r="AB186" s="1878"/>
      <c r="AC186" s="1878"/>
      <c r="AD186" s="1878"/>
      <c r="AE186" s="1878"/>
      <c r="AF186" s="2144"/>
      <c r="AG186" s="1134"/>
      <c r="AH186" s="1134"/>
      <c r="AI186" s="1134"/>
      <c r="AJ186" s="1134"/>
      <c r="AK186" s="2153">
        <v>11</v>
      </c>
    </row>
    <row s="47496" customFormat="1" customHeight="1" ht="11.549999999999999">
      <c r="A187" s="1499"/>
      <c r="B187" s="1499"/>
      <c r="C187" s="1499"/>
      <c r="D187" s="1499"/>
      <c r="E187" s="1499"/>
      <c r="F187" s="2148"/>
      <c r="G187" s="2148"/>
      <c r="H187" s="863"/>
      <c r="N187" s="1878"/>
      <c r="P187" s="1878"/>
      <c r="Q187" s="2148"/>
      <c r="R187" s="2148"/>
      <c r="S187" s="1878"/>
      <c r="T187" s="1878"/>
      <c r="U187" s="1878"/>
      <c r="V187" s="1878"/>
      <c r="W187" s="2148"/>
      <c r="X187" s="1878"/>
      <c r="Y187" s="1878"/>
      <c r="Z187" s="1056"/>
      <c r="AA187" s="1878"/>
      <c r="AB187" s="1878"/>
      <c r="AC187" s="1878"/>
      <c r="AD187" s="1878"/>
      <c r="AE187" s="1878"/>
      <c r="AF187" s="2144"/>
      <c r="AG187" s="1134"/>
      <c r="AH187" s="1134"/>
      <c r="AI187" s="1134"/>
      <c r="AJ187" s="1134"/>
      <c r="AK187" s="2153">
        <v>11</v>
      </c>
    </row>
    <row s="47496" customFormat="1" customHeight="1" ht="11.549999999999999">
      <c r="A188" s="1499"/>
      <c r="B188" s="1499"/>
      <c r="C188" s="1499"/>
      <c r="D188" s="1499"/>
      <c r="E188" s="1499"/>
      <c r="F188" s="2148"/>
      <c r="G188" s="2148"/>
      <c r="H188" s="863"/>
      <c r="N188" s="1878"/>
      <c r="P188" s="1878"/>
      <c r="Q188" s="2148"/>
      <c r="R188" s="2148"/>
      <c r="S188" s="1878"/>
      <c r="T188" s="1878"/>
      <c r="U188" s="1878"/>
      <c r="V188" s="1878"/>
      <c r="W188" s="2148"/>
      <c r="X188" s="1878"/>
      <c r="Y188" s="1878"/>
      <c r="Z188" s="1056"/>
      <c r="AA188" s="1878"/>
      <c r="AB188" s="1878"/>
      <c r="AC188" s="1878"/>
      <c r="AD188" s="1878"/>
      <c r="AE188" s="1878"/>
      <c r="AF188" s="2144"/>
      <c r="AG188" s="1134"/>
      <c r="AH188" s="1134"/>
      <c r="AI188" s="1134"/>
      <c r="AJ188" s="1134"/>
      <c r="AK188" s="2153">
        <v>11</v>
      </c>
    </row>
    <row s="47496" customFormat="1" customHeight="1" ht="11.549999999999999">
      <c r="A189" s="1499"/>
      <c r="B189" s="1499"/>
      <c r="C189" s="1499"/>
      <c r="D189" s="1499"/>
      <c r="E189" s="1499"/>
      <c r="F189" s="2148"/>
      <c r="G189" s="2148"/>
      <c r="H189" s="863"/>
      <c r="N189" s="1878"/>
      <c r="P189" s="1878"/>
      <c r="Q189" s="2148"/>
      <c r="R189" s="2148"/>
      <c r="S189" s="1878"/>
      <c r="T189" s="1878"/>
      <c r="U189" s="1878"/>
      <c r="V189" s="1878"/>
      <c r="W189" s="2148"/>
      <c r="X189" s="1878"/>
      <c r="Y189" s="1878"/>
      <c r="Z189" s="1056"/>
      <c r="AA189" s="1878"/>
      <c r="AB189" s="1878"/>
      <c r="AC189" s="1878"/>
      <c r="AD189" s="1878"/>
      <c r="AE189" s="1878"/>
      <c r="AF189" s="2144"/>
      <c r="AG189" s="1134"/>
      <c r="AH189" s="1134"/>
      <c r="AI189" s="1134"/>
      <c r="AJ189" s="1134"/>
      <c r="AK189" s="2153">
        <v>11</v>
      </c>
    </row>
    <row customHeight="1" ht="11.549999999999999">
      <c r="AK190" s="2143">
        <v>11</v>
      </c>
    </row>
    <row customHeight="1" ht="11.549999999999999">
      <c r="AK191" s="2143">
        <v>11</v>
      </c>
    </row>
    <row customHeight="1" ht="11.549999999999999">
      <c r="AK192" s="2143">
        <v>11</v>
      </c>
    </row>
    <row customHeight="1" ht="11.549999999999999">
      <c r="A193" s="1502"/>
      <c r="B193" s="1502"/>
      <c r="C193" s="1502"/>
      <c r="D193" s="1502"/>
      <c r="E193" s="1502"/>
      <c r="F193" s="2143"/>
      <c r="H193" s="2143"/>
      <c r="N193" s="2143"/>
      <c r="P193" s="2143"/>
      <c r="S193" s="2143"/>
      <c r="T193" s="2143"/>
      <c r="U193" s="2143"/>
      <c r="V193" s="2143"/>
      <c r="X193" s="2143"/>
      <c r="Y193" s="2143"/>
      <c r="Z193" s="2143"/>
      <c r="AA193" s="2143"/>
      <c r="AB193" s="2143"/>
      <c r="AC193" s="2143"/>
      <c r="AD193" s="2143"/>
      <c r="AE193" s="2143"/>
      <c r="AF193" s="2143"/>
      <c r="AG193" s="2143"/>
      <c r="AH193" s="2143"/>
      <c r="AI193" s="2143"/>
      <c r="AJ193" s="2143"/>
      <c r="AK193" s="2143">
        <v>11</v>
      </c>
    </row>
    <row customHeight="1" ht="11.549999999999999">
      <c r="A194" s="1502"/>
      <c r="B194" s="1502"/>
      <c r="C194" s="1502"/>
      <c r="D194" s="1502"/>
      <c r="E194" s="1502"/>
      <c r="F194" s="2143"/>
      <c r="H194" s="2143"/>
      <c r="N194" s="2143"/>
      <c r="P194" s="2143"/>
      <c r="S194" s="2143"/>
      <c r="T194" s="2143"/>
      <c r="U194" s="2143"/>
      <c r="V194" s="2143"/>
      <c r="X194" s="2143"/>
      <c r="Y194" s="2143"/>
      <c r="Z194" s="2143"/>
      <c r="AA194" s="2143"/>
      <c r="AB194" s="2143"/>
      <c r="AC194" s="2143"/>
      <c r="AD194" s="2143"/>
      <c r="AE194" s="2143"/>
      <c r="AF194" s="2143"/>
      <c r="AG194" s="2143"/>
      <c r="AH194" s="2143"/>
      <c r="AI194" s="2143"/>
      <c r="AJ194" s="2143"/>
      <c r="AK194" s="2143">
        <v>11</v>
      </c>
    </row>
    <row customHeight="1" ht="11.549999999999999">
      <c r="A195" s="1502"/>
      <c r="B195" s="1502"/>
      <c r="C195" s="1502"/>
      <c r="D195" s="1502"/>
      <c r="E195" s="1502"/>
      <c r="F195" s="2143"/>
      <c r="H195" s="2143"/>
      <c r="N195" s="2143"/>
      <c r="P195" s="2143"/>
      <c r="S195" s="2143"/>
      <c r="T195" s="2143"/>
      <c r="U195" s="2143"/>
      <c r="V195" s="2143"/>
      <c r="X195" s="2143"/>
      <c r="Y195" s="2143"/>
      <c r="Z195" s="2143"/>
      <c r="AA195" s="2143"/>
      <c r="AB195" s="2143"/>
      <c r="AC195" s="2143"/>
      <c r="AD195" s="2143"/>
      <c r="AE195" s="2143"/>
      <c r="AF195" s="2143"/>
      <c r="AG195" s="2143"/>
      <c r="AH195" s="2143"/>
      <c r="AI195" s="2143"/>
      <c r="AJ195" s="2143"/>
      <c r="AK195" s="2143">
        <v>11</v>
      </c>
    </row>
    <row customHeight="1" ht="11.549999999999999">
      <c r="A196" s="1502"/>
      <c r="B196" s="1502"/>
      <c r="C196" s="1502"/>
      <c r="D196" s="1502"/>
      <c r="E196" s="1502"/>
      <c r="F196" s="2143"/>
      <c r="H196" s="2143"/>
      <c r="N196" s="2143"/>
      <c r="P196" s="2143"/>
      <c r="S196" s="2143"/>
      <c r="T196" s="2143"/>
      <c r="U196" s="2143"/>
      <c r="V196" s="2143"/>
      <c r="X196" s="2143"/>
      <c r="Y196" s="2143"/>
      <c r="Z196" s="2143"/>
      <c r="AA196" s="2143"/>
      <c r="AB196" s="2143"/>
      <c r="AC196" s="2143"/>
      <c r="AD196" s="2143"/>
      <c r="AE196" s="2143"/>
      <c r="AF196" s="2143"/>
      <c r="AG196" s="2143"/>
      <c r="AH196" s="2143"/>
      <c r="AI196" s="2143"/>
      <c r="AJ196" s="2143"/>
      <c r="AK196" s="2143">
        <v>11</v>
      </c>
    </row>
    <row customHeight="1" ht="11.549999999999999">
      <c r="A197" s="1502"/>
      <c r="B197" s="1502"/>
      <c r="C197" s="1502"/>
      <c r="D197" s="1502"/>
      <c r="E197" s="1502"/>
      <c r="F197" s="2143"/>
      <c r="H197" s="2143"/>
      <c r="N197" s="2143"/>
      <c r="P197" s="2143"/>
      <c r="S197" s="2143"/>
      <c r="T197" s="2143"/>
      <c r="U197" s="2143"/>
      <c r="V197" s="2143"/>
      <c r="X197" s="2143"/>
      <c r="Y197" s="2143"/>
      <c r="Z197" s="2143"/>
      <c r="AA197" s="2143"/>
      <c r="AB197" s="2143"/>
      <c r="AC197" s="2143"/>
      <c r="AD197" s="2143"/>
      <c r="AE197" s="2143"/>
      <c r="AF197" s="2143"/>
      <c r="AG197" s="2143"/>
      <c r="AH197" s="2143"/>
      <c r="AI197" s="2143"/>
      <c r="AJ197" s="2143"/>
      <c r="AK197" s="2143">
        <v>11</v>
      </c>
    </row>
    <row customHeight="1" ht="11.549999999999999">
      <c r="A198" s="1502"/>
      <c r="B198" s="1502"/>
      <c r="C198" s="1502"/>
      <c r="D198" s="1502"/>
      <c r="E198" s="1502"/>
      <c r="F198" s="2143"/>
      <c r="H198" s="2143"/>
      <c r="N198" s="2143"/>
      <c r="P198" s="2143"/>
      <c r="S198" s="2143"/>
      <c r="T198" s="2143"/>
      <c r="U198" s="2143"/>
      <c r="V198" s="2143"/>
      <c r="X198" s="2143"/>
      <c r="Y198" s="2143"/>
      <c r="Z198" s="2143"/>
      <c r="AA198" s="2143"/>
      <c r="AB198" s="2143"/>
      <c r="AC198" s="2143"/>
      <c r="AD198" s="2143"/>
      <c r="AE198" s="2143"/>
      <c r="AF198" s="2143"/>
      <c r="AG198" s="2143"/>
      <c r="AH198" s="2143"/>
      <c r="AI198" s="2143"/>
      <c r="AJ198" s="2143"/>
      <c r="AK198" s="2143">
        <v>11</v>
      </c>
    </row>
    <row customHeight="1" ht="11.549999999999999">
      <c r="A199" s="1502"/>
      <c r="B199" s="1502"/>
      <c r="C199" s="1502"/>
      <c r="D199" s="1502"/>
      <c r="E199" s="1502"/>
      <c r="F199" s="2143"/>
      <c r="H199" s="2143"/>
      <c r="N199" s="2143"/>
      <c r="P199" s="2143"/>
      <c r="S199" s="2143"/>
      <c r="T199" s="2143"/>
      <c r="U199" s="2143"/>
      <c r="V199" s="2143"/>
      <c r="X199" s="2143"/>
      <c r="Y199" s="2143"/>
      <c r="Z199" s="2143"/>
      <c r="AA199" s="2143"/>
      <c r="AB199" s="2143"/>
      <c r="AC199" s="2143"/>
      <c r="AD199" s="2143"/>
      <c r="AE199" s="2143"/>
      <c r="AF199" s="2143"/>
      <c r="AG199" s="2143"/>
      <c r="AH199" s="2143"/>
      <c r="AI199" s="2143"/>
      <c r="AJ199" s="2143"/>
      <c r="AK199" s="2143">
        <v>11</v>
      </c>
    </row>
    <row customHeight="1" ht="11.549999999999999">
      <c r="A200" s="1502"/>
      <c r="B200" s="1502"/>
      <c r="C200" s="1502"/>
      <c r="D200" s="1502"/>
      <c r="E200" s="1502"/>
      <c r="F200" s="2143"/>
      <c r="H200" s="2143"/>
      <c r="N200" s="2143"/>
      <c r="P200" s="2143"/>
      <c r="S200" s="2143"/>
      <c r="T200" s="2143"/>
      <c r="U200" s="2143"/>
      <c r="V200" s="2143"/>
      <c r="X200" s="2143"/>
      <c r="Y200" s="2143"/>
      <c r="Z200" s="2143"/>
      <c r="AA200" s="2143"/>
      <c r="AB200" s="2143"/>
      <c r="AC200" s="2143"/>
      <c r="AD200" s="2143"/>
      <c r="AE200" s="2143"/>
      <c r="AF200" s="2143"/>
      <c r="AG200" s="2143"/>
      <c r="AH200" s="2143"/>
      <c r="AI200" s="2143"/>
      <c r="AJ200" s="2143"/>
      <c r="AK200" s="2143">
        <v>11</v>
      </c>
    </row>
    <row customHeight="1" ht="11.549999999999999">
      <c r="A201" s="1502"/>
      <c r="B201" s="1502"/>
      <c r="C201" s="1502"/>
      <c r="D201" s="1502"/>
      <c r="E201" s="1502"/>
      <c r="F201" s="2143"/>
      <c r="H201" s="2143"/>
      <c r="N201" s="2143"/>
      <c r="P201" s="2143"/>
      <c r="S201" s="2143"/>
      <c r="T201" s="2143"/>
      <c r="U201" s="2143"/>
      <c r="V201" s="2143"/>
      <c r="X201" s="2143"/>
      <c r="Y201" s="2143"/>
      <c r="Z201" s="2143"/>
      <c r="AA201" s="2143"/>
      <c r="AB201" s="2143"/>
      <c r="AC201" s="2143"/>
      <c r="AD201" s="2143"/>
      <c r="AE201" s="2143"/>
      <c r="AF201" s="2143"/>
      <c r="AG201" s="2143"/>
      <c r="AH201" s="2143"/>
      <c r="AI201" s="2143"/>
      <c r="AJ201" s="2143"/>
      <c r="AK201" s="2143">
        <v>11</v>
      </c>
    </row>
    <row customHeight="1" ht="11.549999999999999">
      <c r="A202" s="1502"/>
      <c r="B202" s="1502"/>
      <c r="C202" s="1502"/>
      <c r="D202" s="1502"/>
      <c r="E202" s="1502"/>
      <c r="F202" s="2143"/>
      <c r="H202" s="2143"/>
      <c r="N202" s="2143"/>
      <c r="P202" s="2143"/>
      <c r="S202" s="2143"/>
      <c r="T202" s="2143"/>
      <c r="U202" s="2143"/>
      <c r="V202" s="2143"/>
      <c r="X202" s="2143"/>
      <c r="Y202" s="2143"/>
      <c r="Z202" s="2143"/>
      <c r="AA202" s="2143"/>
      <c r="AB202" s="2143"/>
      <c r="AC202" s="2143"/>
      <c r="AD202" s="2143"/>
      <c r="AE202" s="2143"/>
      <c r="AF202" s="2143"/>
      <c r="AG202" s="2143"/>
      <c r="AH202" s="2143"/>
      <c r="AI202" s="2143"/>
      <c r="AJ202" s="2143"/>
      <c r="AK202" s="2143">
        <v>11</v>
      </c>
    </row>
    <row customHeight="1" ht="11.549999999999999">
      <c r="A203" s="1502"/>
      <c r="B203" s="1502"/>
      <c r="C203" s="1502"/>
      <c r="D203" s="1502"/>
      <c r="E203" s="1502"/>
      <c r="F203" s="2143"/>
      <c r="H203" s="2143"/>
      <c r="N203" s="2143"/>
      <c r="P203" s="2143"/>
      <c r="S203" s="2143"/>
      <c r="T203" s="2143"/>
      <c r="U203" s="2143"/>
      <c r="V203" s="2143"/>
      <c r="X203" s="2143"/>
      <c r="Y203" s="2143"/>
      <c r="Z203" s="2143"/>
      <c r="AA203" s="2143"/>
      <c r="AB203" s="2143"/>
      <c r="AC203" s="2143"/>
      <c r="AD203" s="2143"/>
      <c r="AE203" s="2143"/>
      <c r="AF203" s="2143"/>
      <c r="AG203" s="2143"/>
      <c r="AH203" s="2143"/>
      <c r="AI203" s="2143"/>
      <c r="AJ203" s="2143"/>
      <c r="AK203" s="2143">
        <v>11</v>
      </c>
    </row>
    <row customHeight="1" ht="12.75" hidden="1">
      <c r="A204" s="1499" t="s">
        <v>84</v>
      </c>
      <c r="B204" s="1499" t="s">
        <v>145</v>
      </c>
      <c r="C204" s="1499" t="s">
        <v>145</v>
      </c>
      <c r="D204" s="1499" t="s">
        <v>145</v>
      </c>
      <c r="E204" s="1499" t="s">
        <v>145</v>
      </c>
      <c r="F204" s="2147">
        <v>16</v>
      </c>
      <c r="G204" s="2148">
        <v>0</v>
      </c>
      <c r="H204" s="2147">
        <v>3</v>
      </c>
      <c r="I204" s="2143">
        <v>7</v>
      </c>
      <c r="J204" s="2143">
        <v>56</v>
      </c>
      <c r="K204" s="2143">
        <v>10</v>
      </c>
      <c r="L204" s="2143">
        <v>40</v>
      </c>
      <c r="M204" s="2143">
        <v>40</v>
      </c>
      <c r="N204" s="1878">
        <v>9</v>
      </c>
      <c r="O204" s="2143">
        <v>102</v>
      </c>
      <c r="P204" s="1878">
        <v>9</v>
      </c>
      <c r="Q204" s="2148">
        <v>5</v>
      </c>
      <c r="R204" s="2148">
        <v>3</v>
      </c>
      <c r="S204" s="1878">
        <v>3</v>
      </c>
      <c r="T204" s="1878">
        <v>3</v>
      </c>
      <c r="U204" s="1878">
        <v>3</v>
      </c>
      <c r="V204" s="1878">
        <v>3</v>
      </c>
      <c r="W204" s="2148">
        <v>10</v>
      </c>
      <c r="X204" s="1878">
        <v>34</v>
      </c>
      <c r="Y204" s="1878">
        <v>9</v>
      </c>
      <c r="Z204" s="1056">
        <v>8</v>
      </c>
      <c r="AA204" s="1878">
        <v>8</v>
      </c>
      <c r="AB204" s="1878">
        <v>8</v>
      </c>
      <c r="AC204" s="1878">
        <v>8</v>
      </c>
      <c r="AD204" s="1878">
        <v>8</v>
      </c>
      <c r="AE204" s="1878">
        <v>8</v>
      </c>
      <c r="AF204" s="2144">
        <v>8</v>
      </c>
      <c r="AG204" s="2144">
        <v>8</v>
      </c>
      <c r="AH204" s="2144">
        <v>8</v>
      </c>
      <c r="AI204" s="2144">
        <v>8</v>
      </c>
      <c r="AJ204" s="2144">
        <v>8</v>
      </c>
      <c r="AK204" s="2143">
        <v>11</v>
      </c>
    </row>
  </sheetData>
  <sheetProtection sort="0" autoFilter="0" insertRows="0" insertColumns="1" deleteRows="0" deleteColumns="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EDD8716-884A-0AF5-F323-25A1C76F9E07}" mc:Ignorable="x14ac xr xr2 xr3">
  <sheetPr>
    <tabColor theme="9" tint="-0.25"/>
  </sheetPr>
  <dimension ref="A1:W16"/>
  <sheetViews>
    <sheetView topLeftCell="A1" showGridLines="0" zoomScale="90" workbookViewId="0">
      <selection activeCell="A1" sqref="A1"/>
    </sheetView>
  </sheetViews>
  <sheetFormatPr defaultColWidth="10.57421875" customHeight="1" defaultRowHeight="14.25"/>
  <cols>
    <col min="1" max="4" style="46808" width="10.57421875" hidden="1"/>
    <col min="5" max="5" style="47740" width="9.140625" hidden="1" customWidth="1"/>
    <col min="6" max="7" style="46889" width="9.140625" hidden="1" customWidth="1"/>
    <col min="8" max="8" style="47741" width="3.00390625" customWidth="1"/>
    <col min="9" max="9" style="46808" width="6.00390625" customWidth="1"/>
    <col min="10" max="10" style="46808" width="63.00390625" customWidth="1"/>
    <col min="11" max="11" style="46808" width="9.00390625" customWidth="1"/>
    <col min="12" max="12" style="46808" width="39.00390625" customWidth="1"/>
    <col min="13" max="13" style="46808" width="89.00390625" customWidth="1"/>
    <col min="14" max="14" style="46808" width="10.00390625" customWidth="1"/>
    <col min="15" max="16" style="46989" width="10.00390625" customWidth="1"/>
    <col min="17" max="22" style="46808" width="10.00390625" customWidth="1"/>
    <col min="23" max="23" style="46808" width="10.57421875" hidden="1"/>
  </cols>
  <sheetData>
    <row customHeight="1" ht="22.5" hidden="1">
      <c r="S1" s="767"/>
      <c r="T1" s="767"/>
      <c r="V1" s="767"/>
      <c r="W1" s="2143" t="s">
        <v>14</v>
      </c>
    </row>
    <row customHeight="1" ht="22.5" hidden="1">
      <c r="B2" s="2565" t="s">
        <v>804</v>
      </c>
      <c r="C2" s="2565" t="s">
        <v>805</v>
      </c>
      <c r="D2" s="2564" t="s">
        <v>744</v>
      </c>
      <c r="E2" s="2570">
        <f>I2-3</f>
        <v>-3</v>
      </c>
      <c r="F2" s="2570">
        <f>J2</f>
        <v>0</v>
      </c>
      <c r="H2" s="2242" t="s">
        <v>106</v>
      </c>
      <c r="I2" s="2536"/>
      <c r="J2" s="2194"/>
      <c r="K2" s="2530" t="s">
        <v>424</v>
      </c>
      <c r="L2" s="1676"/>
      <c r="M2" s="809"/>
      <c r="N2" s="2136"/>
      <c r="P2" s="2143"/>
      <c r="W2" s="2143">
        <v>0</v>
      </c>
    </row>
    <row customHeight="1" ht="14.25" hidden="1">
      <c r="W3" s="2143">
        <v>0</v>
      </c>
    </row>
    <row customHeight="1" ht="6.3">
      <c r="H4" s="888"/>
      <c r="I4" s="969"/>
      <c r="J4" s="969"/>
      <c r="K4" s="969"/>
      <c r="L4" s="597"/>
      <c r="M4" s="597"/>
      <c r="W4" s="2143">
        <v>6</v>
      </c>
    </row>
    <row customHeight="1" ht="50.25">
      <c r="H5" s="888"/>
      <c r="I5" s="2760" t="s">
        <v>806</v>
      </c>
      <c r="J5" s="2760"/>
      <c r="K5" s="2760"/>
      <c r="L5" s="2760"/>
      <c r="M5" s="778"/>
      <c r="W5" s="2143">
        <v>48</v>
      </c>
    </row>
    <row customHeight="1" ht="18">
      <c r="H6" s="888"/>
      <c r="I6" s="2761" t="str">
        <f>IF(org=0,"Не определено",org)</f>
        <v>КГУП "Примтеплоэнерго"</v>
      </c>
      <c r="J6" s="2761"/>
      <c r="K6" s="2761"/>
      <c r="L6" s="2761"/>
      <c r="M6" s="778"/>
      <c r="W6" s="2143">
        <v>17</v>
      </c>
    </row>
    <row customHeight="1" ht="14.699999999999998">
      <c r="H7" s="888"/>
      <c r="I7" s="969"/>
      <c r="J7" s="975"/>
      <c r="K7" s="975"/>
      <c r="L7" s="1264"/>
      <c r="M7" s="705"/>
      <c r="W7" s="2143">
        <v>14</v>
      </c>
    </row>
    <row customHeight="1" ht="14.699999999999998">
      <c r="H8" s="888"/>
      <c r="I8" s="2898" t="s">
        <v>418</v>
      </c>
      <c r="J8" s="2899"/>
      <c r="K8" s="2899"/>
      <c r="L8" s="2900"/>
      <c r="M8" s="2901" t="s">
        <v>419</v>
      </c>
      <c r="W8" s="2143">
        <v>14</v>
      </c>
    </row>
    <row customHeight="1" ht="35.699999999999996">
      <c r="E9" s="2563" t="s">
        <v>735</v>
      </c>
      <c r="F9" s="2563" t="s">
        <v>741</v>
      </c>
      <c r="H9" s="888"/>
      <c r="I9" s="2537" t="s">
        <v>90</v>
      </c>
      <c r="J9" s="2538" t="s">
        <v>420</v>
      </c>
      <c r="K9" s="2576" t="s">
        <v>683</v>
      </c>
      <c r="L9" s="2577" t="s">
        <v>421</v>
      </c>
      <c r="M9" s="2901"/>
      <c r="W9" s="2143">
        <v>34</v>
      </c>
    </row>
    <row customHeight="1" ht="35.699999999999996">
      <c r="B10" s="2565" t="s">
        <v>807</v>
      </c>
      <c r="C10" s="2565" t="s">
        <v>808</v>
      </c>
      <c r="D10" s="2564" t="s">
        <v>744</v>
      </c>
      <c r="E10" s="2568" t="s">
        <v>745</v>
      </c>
      <c r="F10" s="2568" t="s">
        <v>745</v>
      </c>
      <c r="H10" s="888"/>
      <c r="I10" s="2536" t="s">
        <v>101</v>
      </c>
      <c r="J10" s="2398" t="s">
        <v>809</v>
      </c>
      <c r="K10" s="2530" t="s">
        <v>424</v>
      </c>
      <c r="L10" s="1330"/>
      <c r="M10" s="809" t="s">
        <v>810</v>
      </c>
      <c r="W10" s="2143">
        <v>34</v>
      </c>
    </row>
    <row customHeight="1" ht="50.25">
      <c r="B11" s="2565" t="s">
        <v>811</v>
      </c>
      <c r="C11" s="2565" t="s">
        <v>812</v>
      </c>
      <c r="D11" s="2564" t="s">
        <v>744</v>
      </c>
      <c r="E11" s="2568" t="s">
        <v>745</v>
      </c>
      <c r="F11" s="2568" t="s">
        <v>745</v>
      </c>
      <c r="H11" s="888"/>
      <c r="I11" s="2536" t="s">
        <v>105</v>
      </c>
      <c r="J11" s="2398" t="s">
        <v>813</v>
      </c>
      <c r="K11" s="2530" t="s">
        <v>424</v>
      </c>
      <c r="L11" s="1330"/>
      <c r="M11" s="809" t="s">
        <v>810</v>
      </c>
      <c r="W11" s="2143">
        <v>48</v>
      </c>
    </row>
    <row customHeight="1" ht="48.29999999999999">
      <c r="B12" s="2565" t="s">
        <v>814</v>
      </c>
      <c r="C12" s="2565" t="s">
        <v>815</v>
      </c>
      <c r="D12" s="2564" t="s">
        <v>744</v>
      </c>
      <c r="E12" s="2568" t="s">
        <v>745</v>
      </c>
      <c r="F12" s="2568" t="s">
        <v>745</v>
      </c>
      <c r="H12" s="2200"/>
      <c r="I12" s="2536" t="s">
        <v>92</v>
      </c>
      <c r="J12" s="2543" t="s">
        <v>816</v>
      </c>
      <c r="K12" s="2530" t="s">
        <v>424</v>
      </c>
      <c r="L12" s="1330"/>
      <c r="M12" s="809" t="s">
        <v>817</v>
      </c>
      <c r="N12" s="2136"/>
      <c r="P12" s="2143"/>
      <c r="W12" s="2143">
        <v>46</v>
      </c>
    </row>
    <row customHeight="1" ht="14.699999999999998">
      <c r="E13" s="855"/>
      <c r="H13" s="888"/>
      <c r="I13" s="859"/>
      <c r="J13" s="1163" t="s">
        <v>818</v>
      </c>
      <c r="K13" s="1083"/>
      <c r="L13" s="726"/>
      <c r="M13" s="809"/>
      <c r="W13" s="2143">
        <v>14</v>
      </c>
    </row>
    <row customHeight="1" ht="14.699999999999998">
      <c r="E14" s="855"/>
      <c r="H14" s="888"/>
      <c r="I14" s="1569"/>
      <c r="J14" s="2189"/>
      <c r="K14" s="2190"/>
      <c r="L14" s="2191"/>
      <c r="M14" s="2540"/>
      <c r="W14" s="2143">
        <v>14</v>
      </c>
    </row>
    <row customHeight="1" ht="14.699999999999998">
      <c r="I15" s="2193"/>
      <c r="J15" s="2897"/>
      <c r="K15" s="2897"/>
      <c r="L15" s="2897"/>
      <c r="M15" s="2897"/>
      <c r="W15" s="2143">
        <v>14</v>
      </c>
    </row>
    <row customHeight="1" ht="21" hidden="1">
      <c r="A16" s="2542" t="s">
        <v>84</v>
      </c>
      <c r="B16" s="2143">
        <v>9</v>
      </c>
      <c r="C16" s="2143">
        <v>9</v>
      </c>
      <c r="D16" s="2143">
        <v>9</v>
      </c>
      <c r="E16" s="2542" t="s">
        <v>139</v>
      </c>
      <c r="F16" s="2567" t="s">
        <v>139</v>
      </c>
      <c r="G16" s="2569"/>
      <c r="H16" s="856">
        <v>3</v>
      </c>
      <c r="I16" s="2143">
        <v>6</v>
      </c>
      <c r="J16" s="2143">
        <v>63</v>
      </c>
      <c r="K16" s="2143">
        <v>9</v>
      </c>
      <c r="L16" s="2143">
        <v>39</v>
      </c>
      <c r="M16" s="2143">
        <v>89</v>
      </c>
      <c r="N16" s="2143">
        <v>10</v>
      </c>
      <c r="O16" s="2136">
        <v>10</v>
      </c>
      <c r="P16" s="2136">
        <v>10</v>
      </c>
      <c r="Q16" s="2143">
        <v>10</v>
      </c>
      <c r="R16" s="2143">
        <v>10</v>
      </c>
      <c r="S16" s="2143">
        <v>10</v>
      </c>
      <c r="T16" s="2143">
        <v>10</v>
      </c>
      <c r="U16" s="2143">
        <v>10</v>
      </c>
      <c r="V16" s="2143">
        <v>10</v>
      </c>
      <c r="W16" s="2143">
        <v>23</v>
      </c>
    </row>
  </sheetData>
  <sheetProtection formatColumns="0" formatRows="0" sort="0" autoFilter="0" insertRows="0" insertColumns="1" deleteRows="0" deleteColumns="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4E49786-F055-631E-09FC-39108EA2EFE1}" mc:Ignorable="x14ac xr xr2 xr3">
  <sheetPr>
    <tabColor theme="9" tint="-0.25"/>
  </sheetPr>
  <dimension ref="A1:AF217"/>
  <sheetViews>
    <sheetView topLeftCell="A1" showGridLines="0" zoomScale="90" workbookViewId="0">
      <selection activeCell="A1" sqref="A1"/>
    </sheetView>
  </sheetViews>
  <sheetFormatPr defaultColWidth="9.140625" customHeight="1" defaultRowHeight="11.25"/>
  <cols>
    <col min="1" max="1" style="54680" width="10.7109375" hidden="1" customWidth="1"/>
    <col min="2" max="2" style="46889" width="16.8515625" hidden="1" customWidth="1"/>
    <col min="3" max="3" style="46890" width="5.57421875" hidden="1" customWidth="1"/>
    <col min="4" max="4" style="46808" width="3.00390625" customWidth="1"/>
    <col min="5" max="5" style="46808" width="7.00390625" customWidth="1"/>
    <col min="6" max="6" style="46808" width="56.00390625" customWidth="1"/>
    <col min="7" max="7" style="46808" width="10.00390625" customWidth="1"/>
    <col min="8" max="8" style="46808" width="40.7109375" hidden="1" customWidth="1"/>
    <col min="9" max="9" style="46808" width="40.00390625" customWidth="1"/>
    <col min="10" max="10" style="46808" width="102.00390625" customWidth="1"/>
    <col min="11" max="11" style="46889" width="9.00390625" customWidth="1"/>
    <col min="12" max="12" style="46890" width="5.00390625" customWidth="1"/>
    <col min="13" max="13" style="46890" width="3.00390625" customWidth="1"/>
    <col min="14" max="17" style="46889" width="3.00390625" customWidth="1"/>
    <col min="18" max="18" style="46890" width="10.00390625" customWidth="1"/>
    <col min="19" max="19" style="46889" width="34.00390625" customWidth="1"/>
    <col min="20" max="20" style="46889" width="9.00390625" customWidth="1"/>
    <col min="21" max="21" style="54681" width="8.00390625" customWidth="1"/>
    <col min="22" max="26" style="46889" width="8.00390625" customWidth="1"/>
    <col min="27" max="31" style="46772" width="8.00390625" customWidth="1"/>
    <col min="32" max="32" style="46808" width="10.421875" hidden="1" customWidth="1"/>
  </cols>
  <sheetData>
    <row s="46889" customFormat="1" customHeight="1" ht="22.5" hidden="1">
      <c r="A1" s="1499"/>
      <c r="C1" s="2148"/>
      <c r="D1" s="1049"/>
      <c r="H1" s="1672">
        <v>4</v>
      </c>
      <c r="I1" s="1672">
        <v>4</v>
      </c>
      <c r="L1" s="2148"/>
      <c r="M1" s="2148"/>
      <c r="R1" s="2148"/>
      <c r="AF1" s="1672" t="s">
        <v>14</v>
      </c>
    </row>
    <row s="46889" customFormat="1" customHeight="1" ht="22.5" hidden="1">
      <c r="A2" s="1499"/>
      <c r="C2" s="2148"/>
      <c r="D2" s="1050"/>
      <c r="E2" s="2149"/>
      <c r="F2" s="1052"/>
      <c r="G2" s="2151" t="s">
        <v>669</v>
      </c>
      <c r="H2" s="1053"/>
      <c r="I2" s="1053"/>
      <c r="J2" s="1054" t="s">
        <v>819</v>
      </c>
      <c r="K2" s="1055"/>
      <c r="L2" s="2148"/>
      <c r="M2" s="2148"/>
      <c r="R2" s="2148"/>
      <c r="U2" s="1056"/>
      <c r="AA2" s="2144"/>
      <c r="AB2" s="2144"/>
      <c r="AC2" s="2144"/>
      <c r="AD2" s="2144"/>
      <c r="AE2" s="2144"/>
      <c r="AF2" s="1672">
        <v>0</v>
      </c>
    </row>
    <row customHeight="1" ht="11.25" hidden="1">
      <c r="AF3" s="2143">
        <v>0</v>
      </c>
    </row>
    <row s="46772" customFormat="1" customHeight="1" ht="11.25" hidden="1">
      <c r="A4" s="1499"/>
      <c r="B4" s="1672"/>
      <c r="C4" s="2148"/>
      <c r="D4" s="874"/>
      <c r="J4" s="2144">
        <v>4</v>
      </c>
      <c r="K4" s="1672"/>
      <c r="L4" s="2148"/>
      <c r="M4" s="2148"/>
      <c r="N4" s="1672"/>
      <c r="O4" s="1672"/>
      <c r="P4" s="1672"/>
      <c r="Q4" s="1672"/>
      <c r="R4" s="2148"/>
      <c r="S4" s="1672"/>
      <c r="T4" s="1672"/>
      <c r="U4" s="1056"/>
      <c r="V4" s="1672"/>
      <c r="W4" s="1672"/>
      <c r="X4" s="1672"/>
      <c r="Y4" s="1672"/>
      <c r="Z4" s="1672"/>
      <c r="AF4" s="2144">
        <v>0</v>
      </c>
    </row>
    <row customHeight="1" ht="11.549999999999999">
      <c r="AF5" s="2143">
        <v>11</v>
      </c>
    </row>
    <row customHeight="1" ht="31.5">
      <c r="E6" s="2819" t="s">
        <v>820</v>
      </c>
      <c r="F6" s="2819"/>
      <c r="G6" s="2819"/>
      <c r="H6" s="2819"/>
      <c r="I6" s="2819"/>
      <c r="J6" s="1068"/>
      <c r="AF6" s="2143">
        <v>30</v>
      </c>
    </row>
    <row customHeight="1" ht="11.549999999999999">
      <c r="E7" s="2761" t="str">
        <f>IF(org=0,"Не определено",org)</f>
        <v>КГУП "Примтеплоэнерго"</v>
      </c>
      <c r="F7" s="2761"/>
      <c r="G7" s="2761"/>
      <c r="H7" s="2761"/>
      <c r="I7" s="2761"/>
      <c r="AF7" s="2143">
        <v>11</v>
      </c>
    </row>
    <row customHeight="1" ht="11.549999999999999">
      <c r="E8" s="1647"/>
      <c r="F8" s="1647"/>
      <c r="G8" s="1647"/>
      <c r="H8" s="1647"/>
      <c r="I8" s="1647"/>
      <c r="AF8" s="2143">
        <v>11</v>
      </c>
    </row>
    <row s="46890" customFormat="1" customHeight="1" ht="4.2">
      <c r="A9" s="1679"/>
      <c r="D9" s="2154"/>
      <c r="H9" s="1401"/>
      <c r="I9" s="1401" t="s">
        <v>173</v>
      </c>
      <c r="AF9" s="2148">
        <v>4</v>
      </c>
    </row>
    <row customHeight="1" ht="11.549999999999999">
      <c r="E10" s="1223"/>
      <c r="F10" s="2879" t="s">
        <v>165</v>
      </c>
      <c r="G10" s="2880"/>
      <c r="H10" s="2064" t="str">
        <f>IF(H9="","",INDEX(DIFFERENTIATION_UNMERGE_VD,MATCH(H9,DIFFERENTIATION_ID_DIFF,0)))</f>
        <v/>
      </c>
      <c r="I10" s="2064">
        <f>IF(I9="","",INDEX(DIFFERENTIATION_UNMERGE_VD,MATCH(I9,DIFFERENTIATION_ID_DIFF,0)))</f>
        <v>0</v>
      </c>
      <c r="J10" s="2639"/>
      <c r="AF10" s="2143">
        <v>11</v>
      </c>
    </row>
    <row customHeight="1" ht="11.549999999999999">
      <c r="E11" s="1223"/>
      <c r="F11" s="2879" t="s">
        <v>681</v>
      </c>
      <c r="G11" s="2880"/>
      <c r="H11" s="2064" t="str">
        <f>IF(H9="","",INDEX(DIFFERENTIATION_UNMERGE_AREA,MATCH(H9,DIFFERENTIATION_ID_DIFF,0)))</f>
        <v/>
      </c>
      <c r="I11" s="2064" t="str">
        <f>IF(I9="","",INDEX(DIFFERENTIATION_UNMERGE_AREA,MATCH(I9,DIFFERENTIATION_ID_DIFF,0)))</f>
        <v/>
      </c>
      <c r="J11" s="2639"/>
      <c r="AF11" s="2143">
        <v>11</v>
      </c>
    </row>
    <row customHeight="1" ht="1.05">
      <c r="E12" s="2174"/>
      <c r="F12" s="2902" t="s">
        <v>682</v>
      </c>
      <c r="G12" s="2903"/>
      <c r="H12" s="2175" t="str">
        <f>IF(H9="","",INDEX(DIFFERENTIATION_UNMERGE_SYSTEM,MATCH(H9,DIFFERENTIATION_ID_DIFF,0)))</f>
        <v/>
      </c>
      <c r="I12" s="2175" t="str">
        <f>IF(I9="","",INDEX(DIFFERENTIATION_UNMERGE_SYSTEM,MATCH(I9,DIFFERENTIATION_ID_DIFF,0)))</f>
        <v>без дифференциации</v>
      </c>
      <c r="J12" s="2639"/>
      <c r="AF12" s="2143">
        <v>1</v>
      </c>
    </row>
    <row customHeight="1" ht="11.549999999999999">
      <c r="E13" s="2881" t="s">
        <v>418</v>
      </c>
      <c r="F13" s="2882"/>
      <c r="G13" s="2882"/>
      <c r="H13" s="2063"/>
      <c r="I13" s="2063"/>
      <c r="J13" s="2639"/>
      <c r="AF13" s="2143">
        <v>11</v>
      </c>
    </row>
    <row customHeight="1" ht="24">
      <c r="E14" s="2151" t="s">
        <v>90</v>
      </c>
      <c r="F14" s="2146" t="s">
        <v>420</v>
      </c>
      <c r="G14" s="2146" t="s">
        <v>683</v>
      </c>
      <c r="H14" s="2146" t="s">
        <v>421</v>
      </c>
      <c r="I14" s="2146" t="s">
        <v>421</v>
      </c>
      <c r="J14" s="2639"/>
      <c r="AF14" s="2143">
        <v>23</v>
      </c>
    </row>
    <row customHeight="1" ht="19.95">
      <c r="D15" s="2150"/>
      <c r="E15" s="2142" t="s">
        <v>101</v>
      </c>
      <c r="F15" s="1219" t="s">
        <v>821</v>
      </c>
      <c r="G15" s="2158" t="s">
        <v>669</v>
      </c>
      <c r="H15" s="1069"/>
      <c r="I15" s="1069"/>
      <c r="J15" s="801" t="s">
        <v>822</v>
      </c>
      <c r="K15" s="1055" t="s">
        <v>747</v>
      </c>
      <c r="AF15" s="2143">
        <v>19</v>
      </c>
    </row>
    <row customHeight="1" ht="35.699999999999996">
      <c r="D16" s="2150"/>
      <c r="E16" s="2142" t="s">
        <v>105</v>
      </c>
      <c r="F16" s="1219" t="s">
        <v>823</v>
      </c>
      <c r="G16" s="2158" t="s">
        <v>669</v>
      </c>
      <c r="H16" s="1070">
        <f>SUM(H17,H20:H32)</f>
        <v>0</v>
      </c>
      <c r="I16" s="1070">
        <f>SUM(I17,I20,I23,I26,I29:I32)</f>
        <v>0</v>
      </c>
      <c r="J16" s="801" t="s">
        <v>824</v>
      </c>
      <c r="K16" s="1055" t="s">
        <v>747</v>
      </c>
      <c r="AF16" s="2143">
        <v>34</v>
      </c>
    </row>
    <row customHeight="1" ht="19.95">
      <c r="D17" s="2150"/>
      <c r="E17" s="2176" t="s">
        <v>825</v>
      </c>
      <c r="F17" s="1466" t="s">
        <v>826</v>
      </c>
      <c r="G17" s="2155" t="s">
        <v>669</v>
      </c>
      <c r="H17" s="1069"/>
      <c r="I17" s="1069"/>
      <c r="J17" s="801" t="s">
        <v>827</v>
      </c>
      <c r="K17" s="1055"/>
      <c r="AF17" s="2143">
        <v>19</v>
      </c>
    </row>
    <row customHeight="1" ht="24">
      <c r="D18" s="2150"/>
      <c r="E18" s="2176" t="s">
        <v>828</v>
      </c>
      <c r="F18" s="2162" t="s">
        <v>829</v>
      </c>
      <c r="G18" s="2155" t="s">
        <v>669</v>
      </c>
      <c r="H18" s="1069"/>
      <c r="I18" s="1069"/>
      <c r="J18" s="801" t="s">
        <v>830</v>
      </c>
      <c r="K18" s="1055"/>
      <c r="AF18" s="2143">
        <v>23</v>
      </c>
    </row>
    <row customHeight="1" ht="35.699999999999996">
      <c r="D19" s="2150"/>
      <c r="E19" s="2176" t="s">
        <v>831</v>
      </c>
      <c r="F19" s="2162" t="s">
        <v>832</v>
      </c>
      <c r="G19" s="2155" t="s">
        <v>669</v>
      </c>
      <c r="H19" s="1069"/>
      <c r="I19" s="1069"/>
      <c r="J19" s="801"/>
      <c r="K19" s="1055"/>
      <c r="AF19" s="2143">
        <v>34</v>
      </c>
    </row>
    <row customHeight="1" ht="19.95">
      <c r="D20" s="2150"/>
      <c r="E20" s="2176" t="s">
        <v>425</v>
      </c>
      <c r="F20" s="1466" t="s">
        <v>833</v>
      </c>
      <c r="G20" s="2155" t="s">
        <v>669</v>
      </c>
      <c r="H20" s="1069"/>
      <c r="I20" s="1069"/>
      <c r="J20" s="801" t="s">
        <v>834</v>
      </c>
      <c r="K20" s="1055"/>
      <c r="AF20" s="2143">
        <v>19</v>
      </c>
    </row>
    <row customHeight="1" ht="19.95">
      <c r="D21" s="2150"/>
      <c r="E21" s="2176" t="s">
        <v>835</v>
      </c>
      <c r="F21" s="2162" t="s">
        <v>836</v>
      </c>
      <c r="G21" s="2155" t="s">
        <v>669</v>
      </c>
      <c r="H21" s="1069"/>
      <c r="I21" s="1069"/>
      <c r="J21" s="801"/>
      <c r="K21" s="1055"/>
      <c r="AF21" s="2143">
        <v>19</v>
      </c>
    </row>
    <row customHeight="1" ht="19.95">
      <c r="D22" s="2150"/>
      <c r="E22" s="2176" t="s">
        <v>837</v>
      </c>
      <c r="F22" s="2162" t="s">
        <v>838</v>
      </c>
      <c r="G22" s="2155" t="s">
        <v>669</v>
      </c>
      <c r="H22" s="1069"/>
      <c r="I22" s="1069"/>
      <c r="J22" s="801"/>
      <c r="K22" s="1055"/>
      <c r="AF22" s="2143">
        <v>19</v>
      </c>
    </row>
    <row customHeight="1" ht="24">
      <c r="D23" s="2150"/>
      <c r="E23" s="2176" t="s">
        <v>428</v>
      </c>
      <c r="F23" s="1466" t="s">
        <v>839</v>
      </c>
      <c r="G23" s="2155" t="s">
        <v>669</v>
      </c>
      <c r="H23" s="1069"/>
      <c r="I23" s="1069"/>
      <c r="J23" s="801" t="s">
        <v>840</v>
      </c>
      <c r="K23" s="1055"/>
      <c r="AF23" s="2143">
        <v>23</v>
      </c>
    </row>
    <row customHeight="1" ht="19.95">
      <c r="D24" s="2150"/>
      <c r="E24" s="2176" t="s">
        <v>841</v>
      </c>
      <c r="F24" s="2162" t="s">
        <v>842</v>
      </c>
      <c r="G24" s="2155" t="s">
        <v>669</v>
      </c>
      <c r="H24" s="1069"/>
      <c r="I24" s="1069"/>
      <c r="J24" s="801"/>
      <c r="K24" s="1055"/>
      <c r="AF24" s="2143">
        <v>19</v>
      </c>
    </row>
    <row customHeight="1" ht="35.699999999999996">
      <c r="D25" s="2150"/>
      <c r="E25" s="2176" t="s">
        <v>843</v>
      </c>
      <c r="F25" s="2162" t="s">
        <v>844</v>
      </c>
      <c r="G25" s="2155" t="s">
        <v>669</v>
      </c>
      <c r="H25" s="1069"/>
      <c r="I25" s="1069"/>
      <c r="J25" s="801"/>
      <c r="K25" s="1055"/>
      <c r="AF25" s="2143">
        <v>34</v>
      </c>
    </row>
    <row customHeight="1" ht="24">
      <c r="D26" s="2150"/>
      <c r="E26" s="2176" t="s">
        <v>845</v>
      </c>
      <c r="F26" s="1466" t="s">
        <v>846</v>
      </c>
      <c r="G26" s="2155" t="s">
        <v>669</v>
      </c>
      <c r="H26" s="1069"/>
      <c r="I26" s="1069"/>
      <c r="J26" s="801" t="s">
        <v>847</v>
      </c>
      <c r="K26" s="1055"/>
      <c r="AF26" s="2143">
        <v>23</v>
      </c>
    </row>
    <row customHeight="1" ht="19.95">
      <c r="D27" s="2150"/>
      <c r="E27" s="2187" t="s">
        <v>848</v>
      </c>
      <c r="F27" s="2162" t="s">
        <v>849</v>
      </c>
      <c r="G27" s="2166" t="s">
        <v>669</v>
      </c>
      <c r="H27" s="2188"/>
      <c r="I27" s="2188"/>
      <c r="J27" s="801"/>
      <c r="K27" s="1055"/>
      <c r="AF27" s="2143">
        <v>19</v>
      </c>
    </row>
    <row customHeight="1" ht="19.95">
      <c r="D28" s="2150"/>
      <c r="E28" s="2187" t="s">
        <v>850</v>
      </c>
      <c r="F28" s="2162" t="s">
        <v>851</v>
      </c>
      <c r="G28" s="2166" t="s">
        <v>669</v>
      </c>
      <c r="H28" s="2188"/>
      <c r="I28" s="2188"/>
      <c r="J28" s="801"/>
      <c r="K28" s="1055"/>
      <c r="AF28" s="2143">
        <v>19</v>
      </c>
    </row>
    <row customHeight="1" ht="19.95">
      <c r="D29" s="2150"/>
      <c r="E29" s="2187" t="s">
        <v>852</v>
      </c>
      <c r="F29" s="1466" t="s">
        <v>853</v>
      </c>
      <c r="G29" s="2166" t="s">
        <v>669</v>
      </c>
      <c r="H29" s="2188"/>
      <c r="I29" s="2188"/>
      <c r="J29" s="801"/>
      <c r="K29" s="1055"/>
      <c r="AF29" s="2143">
        <v>19</v>
      </c>
    </row>
    <row customHeight="1" ht="19.95">
      <c r="D30" s="2150"/>
      <c r="E30" s="2187" t="s">
        <v>854</v>
      </c>
      <c r="F30" s="1466" t="s">
        <v>855</v>
      </c>
      <c r="G30" s="2166" t="s">
        <v>669</v>
      </c>
      <c r="H30" s="2188"/>
      <c r="I30" s="2188"/>
      <c r="J30" s="801"/>
      <c r="K30" s="1055"/>
      <c r="AF30" s="2143">
        <v>19</v>
      </c>
    </row>
    <row customHeight="1" ht="19.95">
      <c r="D31" s="2150"/>
      <c r="E31" s="2187" t="s">
        <v>856</v>
      </c>
      <c r="F31" s="1466" t="s">
        <v>857</v>
      </c>
      <c r="G31" s="2166" t="s">
        <v>669</v>
      </c>
      <c r="H31" s="2188"/>
      <c r="I31" s="2188"/>
      <c r="J31" s="801"/>
      <c r="K31" s="1055"/>
      <c r="AF31" s="2143">
        <v>19</v>
      </c>
    </row>
    <row s="46889" customFormat="1" customHeight="1" ht="35.699999999999996">
      <c r="A32" s="1499"/>
      <c r="C32" s="2148"/>
      <c r="D32" s="2150"/>
      <c r="E32" s="2187" t="s">
        <v>858</v>
      </c>
      <c r="F32" s="1466" t="s">
        <v>859</v>
      </c>
      <c r="G32" s="2156" t="s">
        <v>669</v>
      </c>
      <c r="H32" s="1091">
        <f>SUM(H33:H34)</f>
        <v>0</v>
      </c>
      <c r="I32" s="1091">
        <f>SUM(I33:I34)</f>
        <v>0</v>
      </c>
      <c r="J32" s="801" t="s">
        <v>860</v>
      </c>
      <c r="K32" s="1055"/>
      <c r="L32" s="2148"/>
      <c r="M32" s="2148"/>
      <c r="R32" s="2148"/>
      <c r="U32" s="1056"/>
      <c r="AA32" s="2144"/>
      <c r="AB32" s="2144"/>
      <c r="AC32" s="2144"/>
      <c r="AD32" s="2144"/>
      <c r="AE32" s="2144"/>
      <c r="AF32" s="1672">
        <v>34</v>
      </c>
    </row>
    <row s="46890" customFormat="1" customHeight="1" ht="1.05">
      <c r="A33" s="1679"/>
      <c r="D33" s="1060"/>
      <c r="E33" s="1314" t="str">
        <f>E32&amp;".0"</f>
        <v>2.8.0</v>
      </c>
      <c r="F33" s="1503"/>
      <c r="G33" s="1063"/>
      <c r="H33" s="1504"/>
      <c r="I33" s="1504"/>
      <c r="J33" s="1505"/>
      <c r="AF33" s="2148">
        <v>1</v>
      </c>
    </row>
    <row s="46889" customFormat="1" customHeight="1" ht="19.95">
      <c r="A34" s="1499"/>
      <c r="C34" s="2148"/>
      <c r="D34" s="2145"/>
      <c r="E34" s="1082"/>
      <c r="F34" s="2178" t="s">
        <v>694</v>
      </c>
      <c r="G34" s="1084"/>
      <c r="H34" s="1085"/>
      <c r="I34" s="1085"/>
      <c r="J34" s="813" t="s">
        <v>861</v>
      </c>
      <c r="K34" s="1055"/>
      <c r="L34" s="2148"/>
      <c r="M34" s="2148"/>
      <c r="R34" s="2148"/>
      <c r="U34" s="1056"/>
      <c r="AA34" s="2144"/>
      <c r="AB34" s="2144"/>
      <c r="AC34" s="2144"/>
      <c r="AD34" s="2144"/>
      <c r="AE34" s="2144"/>
      <c r="AF34" s="1672">
        <v>19</v>
      </c>
    </row>
    <row customHeight="1" ht="60">
      <c r="D35" s="2150"/>
      <c r="E35" s="2187" t="s">
        <v>862</v>
      </c>
      <c r="F35" s="1466" t="s">
        <v>863</v>
      </c>
      <c r="G35" s="2166" t="s">
        <v>669</v>
      </c>
      <c r="H35" s="2188"/>
      <c r="I35" s="2188"/>
      <c r="J35" s="801" t="s">
        <v>864</v>
      </c>
      <c r="K35" s="1055"/>
      <c r="AF35" s="2143">
        <v>57</v>
      </c>
    </row>
    <row s="46889" customFormat="1" customHeight="1" ht="24">
      <c r="A36" s="1501" t="s">
        <v>695</v>
      </c>
      <c r="C36" s="2148"/>
      <c r="D36" s="2150"/>
      <c r="E36" s="2176" t="s">
        <v>92</v>
      </c>
      <c r="F36" s="1219" t="s">
        <v>865</v>
      </c>
      <c r="G36" s="2155" t="s">
        <v>669</v>
      </c>
      <c r="H36" s="1069"/>
      <c r="I36" s="1069"/>
      <c r="J36" s="801" t="s">
        <v>866</v>
      </c>
      <c r="K36" s="1055"/>
      <c r="L36" s="2148"/>
      <c r="M36" s="2148"/>
      <c r="R36" s="2148"/>
      <c r="U36" s="1056"/>
      <c r="AA36" s="2144"/>
      <c r="AB36" s="2144"/>
      <c r="AC36" s="2144"/>
      <c r="AD36" s="2144"/>
      <c r="AE36" s="2144"/>
      <c r="AF36" s="1672">
        <v>23</v>
      </c>
    </row>
    <row s="46889" customFormat="1" customHeight="1" ht="35.699999999999996">
      <c r="A37" s="1501"/>
      <c r="C37" s="2148"/>
      <c r="D37" s="2150"/>
      <c r="E37" s="2176" t="s">
        <v>442</v>
      </c>
      <c r="F37" s="1466" t="s">
        <v>867</v>
      </c>
      <c r="G37" s="2166"/>
      <c r="H37" s="1069"/>
      <c r="I37" s="1069"/>
      <c r="J37" s="801"/>
      <c r="K37" s="1055"/>
      <c r="L37" s="2148"/>
      <c r="M37" s="2148"/>
      <c r="R37" s="2148"/>
      <c r="U37" s="1056"/>
      <c r="AA37" s="2144"/>
      <c r="AB37" s="2144"/>
      <c r="AC37" s="2144"/>
      <c r="AD37" s="2144"/>
      <c r="AE37" s="2144"/>
      <c r="AF37" s="1672">
        <v>34</v>
      </c>
    </row>
    <row s="46889" customFormat="1" customHeight="1" ht="19.95">
      <c r="A38" s="1499"/>
      <c r="C38" s="2148"/>
      <c r="D38" s="1087"/>
      <c r="E38" s="2176" t="s">
        <v>93</v>
      </c>
      <c r="F38" s="1219" t="s">
        <v>868</v>
      </c>
      <c r="G38" s="2155" t="s">
        <v>669</v>
      </c>
      <c r="H38" s="1069"/>
      <c r="I38" s="1069"/>
      <c r="J38" s="801" t="s">
        <v>869</v>
      </c>
      <c r="K38" s="1055"/>
      <c r="L38" s="2148"/>
      <c r="M38" s="2148"/>
      <c r="R38" s="2148"/>
      <c r="U38" s="1056"/>
      <c r="AA38" s="2144"/>
      <c r="AB38" s="2144"/>
      <c r="AC38" s="2144"/>
      <c r="AD38" s="2144"/>
      <c r="AE38" s="2144"/>
      <c r="AF38" s="1672">
        <v>19</v>
      </c>
    </row>
    <row s="46889" customFormat="1" customHeight="1" ht="24">
      <c r="A39" s="1499"/>
      <c r="C39" s="2148"/>
      <c r="D39" s="1087"/>
      <c r="E39" s="2176" t="s">
        <v>870</v>
      </c>
      <c r="F39" s="1466" t="s">
        <v>871</v>
      </c>
      <c r="G39" s="2166" t="s">
        <v>669</v>
      </c>
      <c r="H39" s="1069"/>
      <c r="I39" s="1069"/>
      <c r="J39" s="801" t="s">
        <v>872</v>
      </c>
      <c r="K39" s="1055"/>
      <c r="L39" s="2148"/>
      <c r="M39" s="2148"/>
      <c r="R39" s="2148"/>
      <c r="U39" s="1056"/>
      <c r="AA39" s="2144"/>
      <c r="AB39" s="2144"/>
      <c r="AC39" s="2144"/>
      <c r="AD39" s="2144"/>
      <c r="AE39" s="2144"/>
      <c r="AF39" s="1672">
        <v>23</v>
      </c>
    </row>
    <row s="46889" customFormat="1" customHeight="1" ht="24">
      <c r="A40" s="1499"/>
      <c r="C40" s="2148"/>
      <c r="D40" s="2150"/>
      <c r="E40" s="2176" t="s">
        <v>873</v>
      </c>
      <c r="F40" s="2162" t="s">
        <v>874</v>
      </c>
      <c r="G40" s="2155" t="s">
        <v>669</v>
      </c>
      <c r="H40" s="1069"/>
      <c r="I40" s="1069"/>
      <c r="J40" s="801" t="s">
        <v>875</v>
      </c>
      <c r="K40" s="1055"/>
      <c r="L40" s="2148"/>
      <c r="M40" s="2148"/>
      <c r="R40" s="2148"/>
      <c r="U40" s="1056"/>
      <c r="AA40" s="2144"/>
      <c r="AB40" s="2144"/>
      <c r="AC40" s="2144"/>
      <c r="AD40" s="2144"/>
      <c r="AE40" s="2144"/>
      <c r="AF40" s="1672">
        <v>23</v>
      </c>
    </row>
    <row s="46889" customFormat="1" customHeight="1" ht="24">
      <c r="A41" s="1499"/>
      <c r="C41" s="2148"/>
      <c r="D41" s="2150"/>
      <c r="E41" s="2176" t="s">
        <v>876</v>
      </c>
      <c r="F41" s="2162" t="s">
        <v>877</v>
      </c>
      <c r="G41" s="2155" t="s">
        <v>669</v>
      </c>
      <c r="H41" s="1069"/>
      <c r="I41" s="1069"/>
      <c r="J41" s="801" t="s">
        <v>878</v>
      </c>
      <c r="K41" s="1055"/>
      <c r="L41" s="2148"/>
      <c r="M41" s="2148"/>
      <c r="R41" s="2148"/>
      <c r="U41" s="1056"/>
      <c r="AA41" s="2144"/>
      <c r="AB41" s="2144"/>
      <c r="AC41" s="2144"/>
      <c r="AD41" s="2144"/>
      <c r="AE41" s="2144"/>
      <c r="AF41" s="1672">
        <v>23</v>
      </c>
    </row>
    <row s="46889" customFormat="1" customHeight="1" ht="24">
      <c r="A42" s="1499"/>
      <c r="C42" s="2148"/>
      <c r="D42" s="2150"/>
      <c r="E42" s="2176" t="s">
        <v>879</v>
      </c>
      <c r="F42" s="2162" t="s">
        <v>880</v>
      </c>
      <c r="G42" s="2155" t="s">
        <v>669</v>
      </c>
      <c r="H42" s="1069"/>
      <c r="I42" s="1069"/>
      <c r="J42" s="801" t="s">
        <v>881</v>
      </c>
      <c r="K42" s="1055"/>
      <c r="L42" s="2148"/>
      <c r="M42" s="2148"/>
      <c r="R42" s="2148"/>
      <c r="U42" s="1056"/>
      <c r="AA42" s="2144"/>
      <c r="AB42" s="2144"/>
      <c r="AC42" s="2144"/>
      <c r="AD42" s="2144"/>
      <c r="AE42" s="2144"/>
      <c r="AF42" s="1672">
        <v>23</v>
      </c>
    </row>
    <row s="46889" customFormat="1" customHeight="1" ht="35.699999999999996">
      <c r="A43" s="1499"/>
      <c r="C43" s="2148" t="s">
        <v>705</v>
      </c>
      <c r="D43" s="2150"/>
      <c r="E43" s="2176" t="s">
        <v>120</v>
      </c>
      <c r="F43" s="1219" t="s">
        <v>746</v>
      </c>
      <c r="G43" s="2158" t="s">
        <v>882</v>
      </c>
      <c r="H43" s="913"/>
      <c r="I43" s="913"/>
      <c r="J43" s="801" t="s">
        <v>883</v>
      </c>
      <c r="K43" s="1055"/>
      <c r="L43" s="2148"/>
      <c r="M43" s="2148"/>
      <c r="R43" s="2148"/>
      <c r="U43" s="1056"/>
      <c r="AA43" s="2144"/>
      <c r="AB43" s="2144"/>
      <c r="AC43" s="2144"/>
      <c r="AD43" s="2144"/>
      <c r="AE43" s="2144"/>
      <c r="AF43" s="1672">
        <v>34</v>
      </c>
    </row>
    <row s="46889" customFormat="1" customHeight="1" ht="35.699999999999996">
      <c r="A44" s="1499"/>
      <c r="C44" s="2148"/>
      <c r="D44" s="2150"/>
      <c r="E44" s="2176" t="s">
        <v>94</v>
      </c>
      <c r="F44" s="1219" t="s">
        <v>884</v>
      </c>
      <c r="G44" s="2155" t="s">
        <v>885</v>
      </c>
      <c r="H44" s="1057"/>
      <c r="I44" s="1057"/>
      <c r="J44" s="801" t="s">
        <v>886</v>
      </c>
      <c r="K44" s="1055"/>
      <c r="L44" s="2148"/>
      <c r="M44" s="2148"/>
      <c r="R44" s="2148"/>
      <c r="U44" s="1056"/>
      <c r="AA44" s="2144"/>
      <c r="AB44" s="2144"/>
      <c r="AC44" s="2144"/>
      <c r="AD44" s="2144"/>
      <c r="AE44" s="2144"/>
      <c r="AF44" s="1672">
        <v>34</v>
      </c>
    </row>
    <row s="46889" customFormat="1" customHeight="1" ht="24">
      <c r="A45" s="1499"/>
      <c r="C45" s="2148"/>
      <c r="D45" s="2150"/>
      <c r="E45" s="2176" t="s">
        <v>95</v>
      </c>
      <c r="F45" s="1219" t="s">
        <v>887</v>
      </c>
      <c r="G45" s="2166" t="s">
        <v>888</v>
      </c>
      <c r="H45" s="1057"/>
      <c r="I45" s="1057"/>
      <c r="J45" s="801" t="s">
        <v>889</v>
      </c>
      <c r="K45" s="1055"/>
      <c r="L45" s="2148"/>
      <c r="M45" s="2148"/>
      <c r="R45" s="2148"/>
      <c r="U45" s="1056"/>
      <c r="AA45" s="2144"/>
      <c r="AB45" s="2144"/>
      <c r="AC45" s="2144"/>
      <c r="AD45" s="2144"/>
      <c r="AE45" s="2144"/>
      <c r="AF45" s="1672">
        <v>23</v>
      </c>
    </row>
    <row s="46889" customFormat="1" customHeight="1" ht="19.95">
      <c r="A46" s="1499"/>
      <c r="C46" s="2148"/>
      <c r="D46" s="2150"/>
      <c r="E46" s="2176" t="s">
        <v>134</v>
      </c>
      <c r="F46" s="1219" t="s">
        <v>890</v>
      </c>
      <c r="G46" s="2155" t="s">
        <v>707</v>
      </c>
      <c r="H46" s="1089"/>
      <c r="I46" s="1089"/>
      <c r="J46" s="801"/>
      <c r="K46" s="1055"/>
      <c r="L46" s="2148"/>
      <c r="M46" s="2148"/>
      <c r="R46" s="2148"/>
      <c r="U46" s="1056"/>
      <c r="AA46" s="2144"/>
      <c r="AB46" s="2144"/>
      <c r="AC46" s="2144"/>
      <c r="AD46" s="2144"/>
      <c r="AE46" s="2144"/>
      <c r="AF46" s="1672">
        <v>19</v>
      </c>
    </row>
    <row customHeight="1" ht="11.549999999999999">
      <c r="D47" s="2150"/>
      <c r="AF47" s="2143">
        <v>11</v>
      </c>
    </row>
    <row s="47496" customFormat="1" customHeight="1" ht="11.549999999999999">
      <c r="A48" s="1499"/>
      <c r="B48" s="2148"/>
      <c r="C48" s="2148"/>
      <c r="D48" s="863"/>
      <c r="K48" s="1672"/>
      <c r="L48" s="2148"/>
      <c r="M48" s="2148"/>
      <c r="N48" s="1672"/>
      <c r="O48" s="1672"/>
      <c r="P48" s="1672"/>
      <c r="Q48" s="1672"/>
      <c r="R48" s="2148"/>
      <c r="S48" s="1672"/>
      <c r="T48" s="1672"/>
      <c r="U48" s="1056"/>
      <c r="V48" s="1672"/>
      <c r="W48" s="1672"/>
      <c r="X48" s="1672"/>
      <c r="Y48" s="1672"/>
      <c r="Z48" s="1672"/>
      <c r="AA48" s="2144"/>
      <c r="AB48" s="1078"/>
      <c r="AC48" s="1078"/>
      <c r="AD48" s="1078"/>
      <c r="AE48" s="1078"/>
      <c r="AF48" s="2153">
        <v>11</v>
      </c>
    </row>
    <row s="47496" customFormat="1" customHeight="1" ht="11.549999999999999">
      <c r="A49" s="1499"/>
      <c r="B49" s="2148"/>
      <c r="C49" s="2148"/>
      <c r="D49" s="863"/>
      <c r="K49" s="1672"/>
      <c r="L49" s="2148"/>
      <c r="M49" s="2148"/>
      <c r="N49" s="1672"/>
      <c r="O49" s="1672"/>
      <c r="P49" s="1672"/>
      <c r="Q49" s="1672"/>
      <c r="R49" s="2148"/>
      <c r="S49" s="1672"/>
      <c r="T49" s="1672"/>
      <c r="U49" s="1056"/>
      <c r="V49" s="1672"/>
      <c r="W49" s="1672"/>
      <c r="X49" s="1672"/>
      <c r="Y49" s="1672"/>
      <c r="Z49" s="1672"/>
      <c r="AA49" s="2144"/>
      <c r="AB49" s="1078"/>
      <c r="AC49" s="1078"/>
      <c r="AD49" s="1078"/>
      <c r="AE49" s="1078"/>
      <c r="AF49" s="2153">
        <v>11</v>
      </c>
    </row>
    <row s="47496" customFormat="1" customHeight="1" ht="11.549999999999999">
      <c r="A50" s="1499"/>
      <c r="B50" s="2148"/>
      <c r="C50" s="2148"/>
      <c r="D50" s="863"/>
      <c r="H50" s="1078"/>
      <c r="I50" s="1078"/>
      <c r="K50" s="1672"/>
      <c r="L50" s="2148"/>
      <c r="M50" s="2148"/>
      <c r="N50" s="1672"/>
      <c r="O50" s="1672"/>
      <c r="P50" s="1672"/>
      <c r="Q50" s="1672"/>
      <c r="R50" s="2148"/>
      <c r="S50" s="1672"/>
      <c r="T50" s="1672"/>
      <c r="U50" s="1056"/>
      <c r="V50" s="1672"/>
      <c r="W50" s="1672"/>
      <c r="X50" s="1672"/>
      <c r="Y50" s="1672"/>
      <c r="Z50" s="1672"/>
      <c r="AA50" s="2144"/>
      <c r="AB50" s="1078"/>
      <c r="AC50" s="1078"/>
      <c r="AD50" s="1078"/>
      <c r="AE50" s="1078"/>
      <c r="AF50" s="2153">
        <v>11</v>
      </c>
    </row>
    <row s="47496" customFormat="1" customHeight="1" ht="11.549999999999999">
      <c r="A51" s="1499"/>
      <c r="B51" s="2148"/>
      <c r="C51" s="2148"/>
      <c r="D51" s="863"/>
      <c r="K51" s="1672"/>
      <c r="L51" s="2148"/>
      <c r="M51" s="2148"/>
      <c r="N51" s="1672"/>
      <c r="O51" s="1672"/>
      <c r="P51" s="1672"/>
      <c r="Q51" s="1672"/>
      <c r="R51" s="2148"/>
      <c r="S51" s="1672"/>
      <c r="T51" s="1672"/>
      <c r="U51" s="1056"/>
      <c r="V51" s="1672"/>
      <c r="W51" s="1672"/>
      <c r="X51" s="1672"/>
      <c r="Y51" s="1672"/>
      <c r="Z51" s="1672"/>
      <c r="AA51" s="2144"/>
      <c r="AB51" s="1078"/>
      <c r="AC51" s="1078"/>
      <c r="AD51" s="1078"/>
      <c r="AE51" s="1078"/>
      <c r="AF51" s="2153">
        <v>11</v>
      </c>
    </row>
    <row s="47496" customFormat="1" customHeight="1" ht="11.549999999999999">
      <c r="A52" s="1499"/>
      <c r="B52" s="2148"/>
      <c r="C52" s="2148"/>
      <c r="D52" s="863"/>
      <c r="K52" s="1672"/>
      <c r="L52" s="2148"/>
      <c r="M52" s="2148"/>
      <c r="N52" s="1672"/>
      <c r="O52" s="1672"/>
      <c r="P52" s="1672"/>
      <c r="Q52" s="1672"/>
      <c r="R52" s="2148"/>
      <c r="S52" s="1672"/>
      <c r="T52" s="1672"/>
      <c r="U52" s="1056"/>
      <c r="V52" s="1672"/>
      <c r="W52" s="1672"/>
      <c r="X52" s="1672"/>
      <c r="Y52" s="1672"/>
      <c r="Z52" s="1672"/>
      <c r="AA52" s="2144"/>
      <c r="AB52" s="1078"/>
      <c r="AC52" s="1078"/>
      <c r="AD52" s="1078"/>
      <c r="AE52" s="1078"/>
      <c r="AF52" s="2153">
        <v>11</v>
      </c>
    </row>
    <row s="47496" customFormat="1" customHeight="1" ht="11.549999999999999">
      <c r="A53" s="1499"/>
      <c r="B53" s="2148"/>
      <c r="C53" s="2148"/>
      <c r="D53" s="863"/>
      <c r="K53" s="1672"/>
      <c r="L53" s="2148"/>
      <c r="M53" s="2148"/>
      <c r="N53" s="1672"/>
      <c r="O53" s="1672"/>
      <c r="P53" s="1672"/>
      <c r="Q53" s="1672"/>
      <c r="R53" s="2148"/>
      <c r="S53" s="1672"/>
      <c r="T53" s="1672"/>
      <c r="U53" s="1056"/>
      <c r="V53" s="1672"/>
      <c r="W53" s="1672"/>
      <c r="X53" s="1672"/>
      <c r="Y53" s="1672"/>
      <c r="Z53" s="1672"/>
      <c r="AA53" s="2144"/>
      <c r="AB53" s="1078"/>
      <c r="AC53" s="1078"/>
      <c r="AD53" s="1078"/>
      <c r="AE53" s="1078"/>
      <c r="AF53" s="2153">
        <v>11</v>
      </c>
    </row>
    <row s="47496" customFormat="1" customHeight="1" ht="11.549999999999999">
      <c r="A54" s="1499"/>
      <c r="B54" s="2148"/>
      <c r="C54" s="2148"/>
      <c r="D54" s="863"/>
      <c r="K54" s="1672"/>
      <c r="L54" s="2148"/>
      <c r="M54" s="2148"/>
      <c r="N54" s="1672"/>
      <c r="O54" s="1672"/>
      <c r="P54" s="1672"/>
      <c r="Q54" s="1672"/>
      <c r="R54" s="2148"/>
      <c r="S54" s="1672"/>
      <c r="T54" s="1672"/>
      <c r="U54" s="1056"/>
      <c r="V54" s="1672"/>
      <c r="W54" s="1672"/>
      <c r="X54" s="1672"/>
      <c r="Y54" s="1672"/>
      <c r="Z54" s="1672"/>
      <c r="AA54" s="2144"/>
      <c r="AB54" s="1078"/>
      <c r="AC54" s="1078"/>
      <c r="AD54" s="1078"/>
      <c r="AE54" s="1078"/>
      <c r="AF54" s="2153">
        <v>11</v>
      </c>
    </row>
    <row s="47496" customFormat="1" customHeight="1" ht="11.549999999999999">
      <c r="A55" s="1499"/>
      <c r="B55" s="2148"/>
      <c r="C55" s="2148"/>
      <c r="D55" s="863"/>
      <c r="K55" s="1672"/>
      <c r="L55" s="2148"/>
      <c r="M55" s="2148"/>
      <c r="N55" s="1672"/>
      <c r="O55" s="1672"/>
      <c r="P55" s="1672"/>
      <c r="Q55" s="1672"/>
      <c r="R55" s="2148"/>
      <c r="S55" s="1672"/>
      <c r="T55" s="1672"/>
      <c r="U55" s="1056"/>
      <c r="V55" s="1672"/>
      <c r="W55" s="1672"/>
      <c r="X55" s="1672"/>
      <c r="Y55" s="1672"/>
      <c r="Z55" s="1672"/>
      <c r="AA55" s="2144"/>
      <c r="AB55" s="1078"/>
      <c r="AC55" s="1078"/>
      <c r="AD55" s="1078"/>
      <c r="AE55" s="1078"/>
      <c r="AF55" s="2153">
        <v>11</v>
      </c>
    </row>
    <row s="47496" customFormat="1" customHeight="1" ht="11.549999999999999">
      <c r="A56" s="1499"/>
      <c r="B56" s="2148"/>
      <c r="C56" s="2148"/>
      <c r="D56" s="863"/>
      <c r="K56" s="1672"/>
      <c r="L56" s="2148"/>
      <c r="M56" s="2148"/>
      <c r="N56" s="1672"/>
      <c r="O56" s="1672"/>
      <c r="P56" s="1672"/>
      <c r="Q56" s="1672"/>
      <c r="R56" s="2148"/>
      <c r="S56" s="1672"/>
      <c r="T56" s="1672"/>
      <c r="U56" s="1056"/>
      <c r="V56" s="1672"/>
      <c r="W56" s="1672"/>
      <c r="X56" s="1672"/>
      <c r="Y56" s="1672"/>
      <c r="Z56" s="1672"/>
      <c r="AA56" s="2144"/>
      <c r="AB56" s="1078"/>
      <c r="AC56" s="1078"/>
      <c r="AD56" s="1078"/>
      <c r="AE56" s="1078"/>
      <c r="AF56" s="2153">
        <v>11</v>
      </c>
    </row>
    <row s="47496" customFormat="1" customHeight="1" ht="11.549999999999999">
      <c r="A57" s="1499"/>
      <c r="B57" s="2148"/>
      <c r="C57" s="2148"/>
      <c r="D57" s="863"/>
      <c r="K57" s="1672"/>
      <c r="L57" s="2148"/>
      <c r="M57" s="2148"/>
      <c r="N57" s="1672"/>
      <c r="O57" s="1672"/>
      <c r="P57" s="1672"/>
      <c r="Q57" s="1672"/>
      <c r="R57" s="2148"/>
      <c r="S57" s="1672"/>
      <c r="T57" s="1672"/>
      <c r="U57" s="1056"/>
      <c r="V57" s="1672"/>
      <c r="W57" s="1672"/>
      <c r="X57" s="1672"/>
      <c r="Y57" s="1672"/>
      <c r="Z57" s="1672"/>
      <c r="AA57" s="2144"/>
      <c r="AB57" s="1078"/>
      <c r="AC57" s="1078"/>
      <c r="AD57" s="1078"/>
      <c r="AE57" s="1078"/>
      <c r="AF57" s="2153">
        <v>11</v>
      </c>
    </row>
    <row s="47496" customFormat="1" customHeight="1" ht="11.549999999999999">
      <c r="A58" s="1499"/>
      <c r="B58" s="2148"/>
      <c r="C58" s="2148"/>
      <c r="D58" s="863"/>
      <c r="K58" s="1672"/>
      <c r="L58" s="2148"/>
      <c r="M58" s="2148"/>
      <c r="N58" s="1672"/>
      <c r="O58" s="1672"/>
      <c r="P58" s="1672"/>
      <c r="Q58" s="1672"/>
      <c r="R58" s="2148"/>
      <c r="S58" s="1672"/>
      <c r="T58" s="1672"/>
      <c r="U58" s="1056"/>
      <c r="V58" s="1672"/>
      <c r="W58" s="1672"/>
      <c r="X58" s="1672"/>
      <c r="Y58" s="1672"/>
      <c r="Z58" s="1672"/>
      <c r="AA58" s="2144"/>
      <c r="AB58" s="1078"/>
      <c r="AC58" s="1078"/>
      <c r="AD58" s="1078"/>
      <c r="AE58" s="1078"/>
      <c r="AF58" s="2153">
        <v>11</v>
      </c>
    </row>
    <row s="47496" customFormat="1" customHeight="1" ht="11.549999999999999">
      <c r="A59" s="1499"/>
      <c r="B59" s="2148"/>
      <c r="C59" s="2148"/>
      <c r="D59" s="863"/>
      <c r="K59" s="1672"/>
      <c r="L59" s="2148"/>
      <c r="M59" s="2148"/>
      <c r="N59" s="1672"/>
      <c r="O59" s="1672"/>
      <c r="P59" s="1672"/>
      <c r="Q59" s="1672"/>
      <c r="R59" s="2148"/>
      <c r="S59" s="1672"/>
      <c r="T59" s="1672"/>
      <c r="U59" s="1056"/>
      <c r="V59" s="1672"/>
      <c r="W59" s="1672"/>
      <c r="X59" s="1672"/>
      <c r="Y59" s="1672"/>
      <c r="Z59" s="1672"/>
      <c r="AA59" s="2144"/>
      <c r="AB59" s="1078"/>
      <c r="AC59" s="1078"/>
      <c r="AD59" s="1078"/>
      <c r="AE59" s="1078"/>
      <c r="AF59" s="2153">
        <v>11</v>
      </c>
    </row>
    <row s="47496" customFormat="1" customHeight="1" ht="11.549999999999999">
      <c r="A60" s="1499"/>
      <c r="B60" s="2148"/>
      <c r="C60" s="2148"/>
      <c r="D60" s="863"/>
      <c r="K60" s="1672"/>
      <c r="L60" s="2148"/>
      <c r="M60" s="2148"/>
      <c r="N60" s="1672"/>
      <c r="O60" s="1672"/>
      <c r="P60" s="1672"/>
      <c r="Q60" s="1672"/>
      <c r="R60" s="2148"/>
      <c r="S60" s="1672"/>
      <c r="T60" s="1672"/>
      <c r="U60" s="1056"/>
      <c r="V60" s="1672"/>
      <c r="W60" s="1672"/>
      <c r="X60" s="1672"/>
      <c r="Y60" s="1672"/>
      <c r="Z60" s="1672"/>
      <c r="AA60" s="2144"/>
      <c r="AB60" s="1078"/>
      <c r="AC60" s="1078"/>
      <c r="AD60" s="1078"/>
      <c r="AE60" s="1078"/>
      <c r="AF60" s="2153">
        <v>11</v>
      </c>
    </row>
    <row s="47496" customFormat="1" customHeight="1" ht="11.549999999999999">
      <c r="A61" s="1499"/>
      <c r="B61" s="2148"/>
      <c r="C61" s="2148"/>
      <c r="D61" s="863"/>
      <c r="K61" s="1672"/>
      <c r="L61" s="2148"/>
      <c r="M61" s="2148"/>
      <c r="N61" s="1672"/>
      <c r="O61" s="1672"/>
      <c r="P61" s="1672"/>
      <c r="Q61" s="1672"/>
      <c r="R61" s="2148"/>
      <c r="S61" s="1672"/>
      <c r="T61" s="1672"/>
      <c r="U61" s="1056"/>
      <c r="V61" s="1672"/>
      <c r="W61" s="1672"/>
      <c r="X61" s="1672"/>
      <c r="Y61" s="1672"/>
      <c r="Z61" s="1672"/>
      <c r="AA61" s="2144"/>
      <c r="AB61" s="1078"/>
      <c r="AC61" s="1078"/>
      <c r="AD61" s="1078"/>
      <c r="AE61" s="1078"/>
      <c r="AF61" s="2153">
        <v>11</v>
      </c>
    </row>
    <row s="47496" customFormat="1" customHeight="1" ht="11.549999999999999">
      <c r="A62" s="1499"/>
      <c r="B62" s="2148"/>
      <c r="C62" s="2148"/>
      <c r="D62" s="863"/>
      <c r="K62" s="1672"/>
      <c r="L62" s="2148"/>
      <c r="M62" s="2148"/>
      <c r="N62" s="1672"/>
      <c r="O62" s="1672"/>
      <c r="P62" s="1672"/>
      <c r="Q62" s="1672"/>
      <c r="R62" s="2148"/>
      <c r="S62" s="1672"/>
      <c r="T62" s="1672"/>
      <c r="U62" s="1056"/>
      <c r="V62" s="1672"/>
      <c r="W62" s="1672"/>
      <c r="X62" s="1672"/>
      <c r="Y62" s="1672"/>
      <c r="Z62" s="1672"/>
      <c r="AA62" s="2144"/>
      <c r="AB62" s="1078"/>
      <c r="AC62" s="1078"/>
      <c r="AD62" s="1078"/>
      <c r="AE62" s="1078"/>
      <c r="AF62" s="2153">
        <v>11</v>
      </c>
    </row>
    <row s="47496" customFormat="1" customHeight="1" ht="11.549999999999999">
      <c r="A63" s="1499"/>
      <c r="B63" s="2148"/>
      <c r="C63" s="2148"/>
      <c r="D63" s="863"/>
      <c r="K63" s="1672"/>
      <c r="L63" s="2148"/>
      <c r="M63" s="2148"/>
      <c r="N63" s="1672"/>
      <c r="O63" s="1672"/>
      <c r="P63" s="1672"/>
      <c r="Q63" s="1672"/>
      <c r="R63" s="2148"/>
      <c r="S63" s="1672"/>
      <c r="T63" s="1672"/>
      <c r="U63" s="1056"/>
      <c r="V63" s="1672"/>
      <c r="W63" s="1672"/>
      <c r="X63" s="1672"/>
      <c r="Y63" s="1672"/>
      <c r="Z63" s="1672"/>
      <c r="AA63" s="2144"/>
      <c r="AB63" s="1078"/>
      <c r="AC63" s="1078"/>
      <c r="AD63" s="1078"/>
      <c r="AE63" s="1078"/>
      <c r="AF63" s="2153">
        <v>11</v>
      </c>
    </row>
    <row s="47496" customFormat="1" customHeight="1" ht="11.549999999999999">
      <c r="A64" s="1499"/>
      <c r="B64" s="2148"/>
      <c r="C64" s="2148"/>
      <c r="D64" s="863"/>
      <c r="K64" s="1672"/>
      <c r="L64" s="2148"/>
      <c r="M64" s="2148"/>
      <c r="N64" s="1672"/>
      <c r="O64" s="1672"/>
      <c r="P64" s="1672"/>
      <c r="Q64" s="1672"/>
      <c r="R64" s="2148"/>
      <c r="S64" s="1672"/>
      <c r="T64" s="1672"/>
      <c r="U64" s="1056"/>
      <c r="V64" s="1672"/>
      <c r="W64" s="1672"/>
      <c r="X64" s="1672"/>
      <c r="Y64" s="1672"/>
      <c r="Z64" s="1672"/>
      <c r="AA64" s="2144"/>
      <c r="AB64" s="1078"/>
      <c r="AC64" s="1078"/>
      <c r="AD64" s="1078"/>
      <c r="AE64" s="1078"/>
      <c r="AF64" s="2153">
        <v>11</v>
      </c>
    </row>
    <row s="47496" customFormat="1" customHeight="1" ht="11.549999999999999">
      <c r="A65" s="1499"/>
      <c r="B65" s="2148"/>
      <c r="C65" s="2148"/>
      <c r="D65" s="863"/>
      <c r="K65" s="1672"/>
      <c r="L65" s="2148"/>
      <c r="M65" s="2148"/>
      <c r="N65" s="1672"/>
      <c r="O65" s="1672"/>
      <c r="P65" s="1672"/>
      <c r="Q65" s="1672"/>
      <c r="R65" s="2148"/>
      <c r="S65" s="1672"/>
      <c r="T65" s="1672"/>
      <c r="U65" s="1056"/>
      <c r="V65" s="1672"/>
      <c r="W65" s="1672"/>
      <c r="X65" s="1672"/>
      <c r="Y65" s="1672"/>
      <c r="Z65" s="1672"/>
      <c r="AA65" s="2144"/>
      <c r="AB65" s="1078"/>
      <c r="AC65" s="1078"/>
      <c r="AD65" s="1078"/>
      <c r="AE65" s="1078"/>
      <c r="AF65" s="2153">
        <v>11</v>
      </c>
    </row>
    <row s="47496" customFormat="1" customHeight="1" ht="11.549999999999999">
      <c r="A66" s="1499"/>
      <c r="B66" s="2148"/>
      <c r="C66" s="2148"/>
      <c r="D66" s="863"/>
      <c r="K66" s="1672"/>
      <c r="L66" s="2148"/>
      <c r="M66" s="2148"/>
      <c r="N66" s="1672"/>
      <c r="O66" s="1672"/>
      <c r="P66" s="1672"/>
      <c r="Q66" s="1672"/>
      <c r="R66" s="2148"/>
      <c r="S66" s="1672"/>
      <c r="T66" s="1672"/>
      <c r="U66" s="1056"/>
      <c r="V66" s="1672"/>
      <c r="W66" s="1672"/>
      <c r="X66" s="1672"/>
      <c r="Y66" s="1672"/>
      <c r="Z66" s="1672"/>
      <c r="AA66" s="2144"/>
      <c r="AB66" s="1078"/>
      <c r="AC66" s="1078"/>
      <c r="AD66" s="1078"/>
      <c r="AE66" s="1078"/>
      <c r="AF66" s="2153">
        <v>11</v>
      </c>
    </row>
    <row s="47496" customFormat="1" customHeight="1" ht="11.549999999999999">
      <c r="A67" s="1499"/>
      <c r="B67" s="2148"/>
      <c r="C67" s="2148"/>
      <c r="D67" s="863"/>
      <c r="K67" s="1672"/>
      <c r="L67" s="2148"/>
      <c r="M67" s="2148"/>
      <c r="N67" s="1672"/>
      <c r="O67" s="1672"/>
      <c r="P67" s="1672"/>
      <c r="Q67" s="1672"/>
      <c r="R67" s="2148"/>
      <c r="S67" s="1672"/>
      <c r="T67" s="1672"/>
      <c r="U67" s="1056"/>
      <c r="V67" s="1672"/>
      <c r="W67" s="1672"/>
      <c r="X67" s="1672"/>
      <c r="Y67" s="1672"/>
      <c r="Z67" s="1672"/>
      <c r="AA67" s="2144"/>
      <c r="AB67" s="1078"/>
      <c r="AC67" s="1078"/>
      <c r="AD67" s="1078"/>
      <c r="AE67" s="1078"/>
      <c r="AF67" s="2153">
        <v>11</v>
      </c>
    </row>
    <row s="47496" customFormat="1" customHeight="1" ht="11.549999999999999">
      <c r="A68" s="1499"/>
      <c r="B68" s="2148"/>
      <c r="C68" s="2148"/>
      <c r="D68" s="863"/>
      <c r="K68" s="1672"/>
      <c r="L68" s="2148"/>
      <c r="M68" s="2148"/>
      <c r="N68" s="1672"/>
      <c r="O68" s="1672"/>
      <c r="P68" s="1672"/>
      <c r="Q68" s="1672"/>
      <c r="R68" s="2148"/>
      <c r="S68" s="1672"/>
      <c r="T68" s="1672"/>
      <c r="U68" s="1056"/>
      <c r="V68" s="1672"/>
      <c r="W68" s="1672"/>
      <c r="X68" s="1672"/>
      <c r="Y68" s="1672"/>
      <c r="Z68" s="1672"/>
      <c r="AA68" s="2144"/>
      <c r="AB68" s="1078"/>
      <c r="AC68" s="1078"/>
      <c r="AD68" s="1078"/>
      <c r="AE68" s="1078"/>
      <c r="AF68" s="2153">
        <v>11</v>
      </c>
    </row>
    <row s="47496" customFormat="1" customHeight="1" ht="11.549999999999999">
      <c r="A69" s="1499"/>
      <c r="B69" s="2148"/>
      <c r="C69" s="2148"/>
      <c r="D69" s="863"/>
      <c r="K69" s="1672"/>
      <c r="L69" s="2148"/>
      <c r="M69" s="2148"/>
      <c r="N69" s="1672"/>
      <c r="O69" s="1672"/>
      <c r="P69" s="1672"/>
      <c r="Q69" s="1672"/>
      <c r="R69" s="2148"/>
      <c r="S69" s="1672"/>
      <c r="T69" s="1672"/>
      <c r="U69" s="1056"/>
      <c r="V69" s="1672"/>
      <c r="W69" s="1672"/>
      <c r="X69" s="1672"/>
      <c r="Y69" s="1672"/>
      <c r="Z69" s="1672"/>
      <c r="AA69" s="2144"/>
      <c r="AB69" s="1078"/>
      <c r="AC69" s="1078"/>
      <c r="AD69" s="1078"/>
      <c r="AE69" s="1078"/>
      <c r="AF69" s="2153">
        <v>11</v>
      </c>
    </row>
    <row s="47496" customFormat="1" customHeight="1" ht="11.549999999999999">
      <c r="A70" s="1499"/>
      <c r="B70" s="2148"/>
      <c r="C70" s="2148"/>
      <c r="D70" s="863"/>
      <c r="K70" s="1672"/>
      <c r="L70" s="2148"/>
      <c r="M70" s="2148"/>
      <c r="N70" s="1672"/>
      <c r="O70" s="1672"/>
      <c r="P70" s="1672"/>
      <c r="Q70" s="1672"/>
      <c r="R70" s="2148"/>
      <c r="S70" s="1672"/>
      <c r="T70" s="1672"/>
      <c r="U70" s="1056"/>
      <c r="V70" s="1672"/>
      <c r="W70" s="1672"/>
      <c r="X70" s="1672"/>
      <c r="Y70" s="1672"/>
      <c r="Z70" s="1672"/>
      <c r="AA70" s="2144"/>
      <c r="AB70" s="1078"/>
      <c r="AC70" s="1078"/>
      <c r="AD70" s="1078"/>
      <c r="AE70" s="1078"/>
      <c r="AF70" s="2153">
        <v>11</v>
      </c>
    </row>
    <row s="47496" customFormat="1" customHeight="1" ht="11.549999999999999">
      <c r="A71" s="1499"/>
      <c r="B71" s="2148"/>
      <c r="C71" s="2148"/>
      <c r="D71" s="863"/>
      <c r="K71" s="1672"/>
      <c r="L71" s="2148"/>
      <c r="M71" s="2148"/>
      <c r="N71" s="1672"/>
      <c r="O71" s="1672"/>
      <c r="P71" s="1672"/>
      <c r="Q71" s="1672"/>
      <c r="R71" s="2148"/>
      <c r="S71" s="1672"/>
      <c r="T71" s="1672"/>
      <c r="U71" s="1056"/>
      <c r="V71" s="1672"/>
      <c r="W71" s="1672"/>
      <c r="X71" s="1672"/>
      <c r="Y71" s="1672"/>
      <c r="Z71" s="1672"/>
      <c r="AA71" s="2144"/>
      <c r="AB71" s="1078"/>
      <c r="AC71" s="1078"/>
      <c r="AD71" s="1078"/>
      <c r="AE71" s="1078"/>
      <c r="AF71" s="2153">
        <v>11</v>
      </c>
    </row>
    <row s="47496" customFormat="1" customHeight="1" ht="11.549999999999999">
      <c r="A72" s="1499"/>
      <c r="B72" s="2148"/>
      <c r="C72" s="2148"/>
      <c r="D72" s="863"/>
      <c r="K72" s="1672"/>
      <c r="L72" s="2148"/>
      <c r="M72" s="2148"/>
      <c r="N72" s="1672"/>
      <c r="O72" s="1672"/>
      <c r="P72" s="1672"/>
      <c r="Q72" s="1672"/>
      <c r="R72" s="2148"/>
      <c r="S72" s="1672"/>
      <c r="T72" s="1672"/>
      <c r="U72" s="1056"/>
      <c r="V72" s="1672"/>
      <c r="W72" s="1672"/>
      <c r="X72" s="1672"/>
      <c r="Y72" s="1672"/>
      <c r="Z72" s="1672"/>
      <c r="AA72" s="2144"/>
      <c r="AB72" s="1078"/>
      <c r="AC72" s="1078"/>
      <c r="AD72" s="1078"/>
      <c r="AE72" s="1078"/>
      <c r="AF72" s="2153">
        <v>11</v>
      </c>
    </row>
    <row s="47496" customFormat="1" customHeight="1" ht="11.549999999999999">
      <c r="A73" s="1499"/>
      <c r="B73" s="2148"/>
      <c r="C73" s="2148"/>
      <c r="D73" s="863"/>
      <c r="K73" s="1672"/>
      <c r="L73" s="2148"/>
      <c r="M73" s="2148"/>
      <c r="N73" s="1672"/>
      <c r="O73" s="1672"/>
      <c r="P73" s="1672"/>
      <c r="Q73" s="1672"/>
      <c r="R73" s="2148"/>
      <c r="S73" s="1672"/>
      <c r="T73" s="1672"/>
      <c r="U73" s="1056"/>
      <c r="V73" s="1672"/>
      <c r="W73" s="1672"/>
      <c r="X73" s="1672"/>
      <c r="Y73" s="1672"/>
      <c r="Z73" s="1672"/>
      <c r="AA73" s="2144"/>
      <c r="AB73" s="1078"/>
      <c r="AC73" s="1078"/>
      <c r="AD73" s="1078"/>
      <c r="AE73" s="1078"/>
      <c r="AF73" s="2153">
        <v>11</v>
      </c>
    </row>
    <row s="47496" customFormat="1" customHeight="1" ht="11.549999999999999">
      <c r="A74" s="1499"/>
      <c r="B74" s="2148"/>
      <c r="C74" s="2148"/>
      <c r="D74" s="863"/>
      <c r="K74" s="1672"/>
      <c r="L74" s="2148"/>
      <c r="M74" s="2148"/>
      <c r="N74" s="1672"/>
      <c r="O74" s="1672"/>
      <c r="P74" s="1672"/>
      <c r="Q74" s="1672"/>
      <c r="R74" s="2148"/>
      <c r="S74" s="1672"/>
      <c r="T74" s="1672"/>
      <c r="U74" s="1056"/>
      <c r="V74" s="1672"/>
      <c r="W74" s="1672"/>
      <c r="X74" s="1672"/>
      <c r="Y74" s="1672"/>
      <c r="Z74" s="1672"/>
      <c r="AA74" s="2144"/>
      <c r="AB74" s="1078"/>
      <c r="AC74" s="1078"/>
      <c r="AD74" s="1078"/>
      <c r="AE74" s="1078"/>
      <c r="AF74" s="2153">
        <v>11</v>
      </c>
    </row>
    <row s="47496" customFormat="1" customHeight="1" ht="11.549999999999999">
      <c r="A75" s="1499"/>
      <c r="B75" s="2148"/>
      <c r="C75" s="2148"/>
      <c r="D75" s="863"/>
      <c r="K75" s="1672"/>
      <c r="L75" s="2148"/>
      <c r="M75" s="2148"/>
      <c r="N75" s="1672"/>
      <c r="O75" s="1672"/>
      <c r="P75" s="1672"/>
      <c r="Q75" s="1672"/>
      <c r="R75" s="2148"/>
      <c r="S75" s="1672"/>
      <c r="T75" s="1672"/>
      <c r="U75" s="1056"/>
      <c r="V75" s="1672"/>
      <c r="W75" s="1672"/>
      <c r="X75" s="1672"/>
      <c r="Y75" s="1672"/>
      <c r="Z75" s="1672"/>
      <c r="AA75" s="2144"/>
      <c r="AB75" s="1078"/>
      <c r="AC75" s="1078"/>
      <c r="AD75" s="1078"/>
      <c r="AE75" s="1078"/>
      <c r="AF75" s="2153">
        <v>11</v>
      </c>
    </row>
    <row s="47496" customFormat="1" customHeight="1" ht="11.549999999999999">
      <c r="A76" s="1499"/>
      <c r="B76" s="2148"/>
      <c r="C76" s="2148"/>
      <c r="D76" s="863"/>
      <c r="K76" s="1672"/>
      <c r="L76" s="2148"/>
      <c r="M76" s="2148"/>
      <c r="N76" s="1672"/>
      <c r="O76" s="1672"/>
      <c r="P76" s="1672"/>
      <c r="Q76" s="1672"/>
      <c r="R76" s="2148"/>
      <c r="S76" s="1672"/>
      <c r="T76" s="1672"/>
      <c r="U76" s="1056"/>
      <c r="V76" s="1672"/>
      <c r="W76" s="1672"/>
      <c r="X76" s="1672"/>
      <c r="Y76" s="1672"/>
      <c r="Z76" s="1672"/>
      <c r="AA76" s="2144"/>
      <c r="AB76" s="1078"/>
      <c r="AC76" s="1078"/>
      <c r="AD76" s="1078"/>
      <c r="AE76" s="1078"/>
      <c r="AF76" s="2153">
        <v>11</v>
      </c>
    </row>
    <row s="47496" customFormat="1" customHeight="1" ht="11.549999999999999">
      <c r="A77" s="1499"/>
      <c r="B77" s="2148"/>
      <c r="C77" s="2148"/>
      <c r="D77" s="863"/>
      <c r="K77" s="1672"/>
      <c r="L77" s="2148"/>
      <c r="M77" s="2148"/>
      <c r="N77" s="1672"/>
      <c r="O77" s="1672"/>
      <c r="P77" s="1672"/>
      <c r="Q77" s="1672"/>
      <c r="R77" s="2148"/>
      <c r="S77" s="1672"/>
      <c r="T77" s="1672"/>
      <c r="U77" s="1056"/>
      <c r="V77" s="1672"/>
      <c r="W77" s="1672"/>
      <c r="X77" s="1672"/>
      <c r="Y77" s="1672"/>
      <c r="Z77" s="1672"/>
      <c r="AA77" s="2144"/>
      <c r="AB77" s="1078"/>
      <c r="AC77" s="1078"/>
      <c r="AD77" s="1078"/>
      <c r="AE77" s="1078"/>
      <c r="AF77" s="2153">
        <v>11</v>
      </c>
    </row>
    <row s="47496" customFormat="1" customHeight="1" ht="11.549999999999999">
      <c r="A78" s="1499"/>
      <c r="B78" s="2148"/>
      <c r="C78" s="2148"/>
      <c r="D78" s="863"/>
      <c r="K78" s="1672"/>
      <c r="L78" s="2148"/>
      <c r="M78" s="2148"/>
      <c r="N78" s="1672"/>
      <c r="O78" s="1672"/>
      <c r="P78" s="1672"/>
      <c r="Q78" s="1672"/>
      <c r="R78" s="2148"/>
      <c r="S78" s="1672"/>
      <c r="T78" s="1672"/>
      <c r="U78" s="1056"/>
      <c r="V78" s="1672"/>
      <c r="W78" s="1672"/>
      <c r="X78" s="1672"/>
      <c r="Y78" s="1672"/>
      <c r="Z78" s="1672"/>
      <c r="AA78" s="2144"/>
      <c r="AB78" s="1078"/>
      <c r="AC78" s="1078"/>
      <c r="AD78" s="1078"/>
      <c r="AE78" s="1078"/>
      <c r="AF78" s="2153">
        <v>11</v>
      </c>
    </row>
    <row s="47496" customFormat="1" customHeight="1" ht="11.549999999999999">
      <c r="A79" s="1499"/>
      <c r="B79" s="2148"/>
      <c r="C79" s="2148"/>
      <c r="D79" s="863"/>
      <c r="K79" s="1672"/>
      <c r="L79" s="2148"/>
      <c r="M79" s="2148"/>
      <c r="N79" s="1672"/>
      <c r="O79" s="1672"/>
      <c r="P79" s="1672"/>
      <c r="Q79" s="1672"/>
      <c r="R79" s="2148"/>
      <c r="S79" s="1672"/>
      <c r="T79" s="1672"/>
      <c r="U79" s="1056"/>
      <c r="V79" s="1672"/>
      <c r="W79" s="1672"/>
      <c r="X79" s="1672"/>
      <c r="Y79" s="1672"/>
      <c r="Z79" s="1672"/>
      <c r="AA79" s="2144"/>
      <c r="AB79" s="1078"/>
      <c r="AC79" s="1078"/>
      <c r="AD79" s="1078"/>
      <c r="AE79" s="1078"/>
      <c r="AF79" s="2153">
        <v>11</v>
      </c>
    </row>
    <row s="47496" customFormat="1" customHeight="1" ht="11.549999999999999">
      <c r="A80" s="1499"/>
      <c r="B80" s="2148"/>
      <c r="C80" s="2148"/>
      <c r="D80" s="863"/>
      <c r="K80" s="1672"/>
      <c r="L80" s="2148"/>
      <c r="M80" s="2148"/>
      <c r="N80" s="1672"/>
      <c r="O80" s="1672"/>
      <c r="P80" s="1672"/>
      <c r="Q80" s="1672"/>
      <c r="R80" s="2148"/>
      <c r="S80" s="1672"/>
      <c r="T80" s="1672"/>
      <c r="U80" s="1056"/>
      <c r="V80" s="1672"/>
      <c r="W80" s="1672"/>
      <c r="X80" s="1672"/>
      <c r="Y80" s="1672"/>
      <c r="Z80" s="1672"/>
      <c r="AA80" s="2144"/>
      <c r="AB80" s="1078"/>
      <c r="AC80" s="1078"/>
      <c r="AD80" s="1078"/>
      <c r="AE80" s="1078"/>
      <c r="AF80" s="2153">
        <v>11</v>
      </c>
    </row>
    <row s="47496" customFormat="1" customHeight="1" ht="11.549999999999999">
      <c r="A81" s="1499"/>
      <c r="B81" s="2148"/>
      <c r="C81" s="2148"/>
      <c r="D81" s="863"/>
      <c r="K81" s="1672"/>
      <c r="L81" s="2148"/>
      <c r="M81" s="2148"/>
      <c r="N81" s="1672"/>
      <c r="O81" s="1672"/>
      <c r="P81" s="1672"/>
      <c r="Q81" s="1672"/>
      <c r="R81" s="2148"/>
      <c r="S81" s="1672"/>
      <c r="T81" s="1672"/>
      <c r="U81" s="1056"/>
      <c r="V81" s="1672"/>
      <c r="W81" s="1672"/>
      <c r="X81" s="1672"/>
      <c r="Y81" s="1672"/>
      <c r="Z81" s="1672"/>
      <c r="AA81" s="2144"/>
      <c r="AB81" s="1078"/>
      <c r="AC81" s="1078"/>
      <c r="AD81" s="1078"/>
      <c r="AE81" s="1078"/>
      <c r="AF81" s="2153">
        <v>11</v>
      </c>
    </row>
    <row s="47496" customFormat="1" customHeight="1" ht="11.549999999999999">
      <c r="A82" s="1499"/>
      <c r="B82" s="2148"/>
      <c r="C82" s="2148"/>
      <c r="D82" s="863"/>
      <c r="K82" s="1672"/>
      <c r="L82" s="2148"/>
      <c r="M82" s="2148"/>
      <c r="N82" s="1672"/>
      <c r="O82" s="1672"/>
      <c r="P82" s="1672"/>
      <c r="Q82" s="1672"/>
      <c r="R82" s="2148"/>
      <c r="S82" s="1672"/>
      <c r="T82" s="1672"/>
      <c r="U82" s="1056"/>
      <c r="V82" s="1672"/>
      <c r="W82" s="1672"/>
      <c r="X82" s="1672"/>
      <c r="Y82" s="1672"/>
      <c r="Z82" s="1672"/>
      <c r="AA82" s="2144"/>
      <c r="AB82" s="1078"/>
      <c r="AC82" s="1078"/>
      <c r="AD82" s="1078"/>
      <c r="AE82" s="1078"/>
      <c r="AF82" s="2153">
        <v>11</v>
      </c>
    </row>
    <row s="47496" customFormat="1" customHeight="1" ht="11.549999999999999">
      <c r="A83" s="1499"/>
      <c r="B83" s="2148"/>
      <c r="C83" s="2148"/>
      <c r="D83" s="863"/>
      <c r="K83" s="1672"/>
      <c r="L83" s="2148"/>
      <c r="M83" s="2148"/>
      <c r="N83" s="1672"/>
      <c r="O83" s="1672"/>
      <c r="P83" s="1672"/>
      <c r="Q83" s="1672"/>
      <c r="R83" s="2148"/>
      <c r="S83" s="1672"/>
      <c r="T83" s="1672"/>
      <c r="U83" s="1056"/>
      <c r="V83" s="1672"/>
      <c r="W83" s="1672"/>
      <c r="X83" s="1672"/>
      <c r="Y83" s="1672"/>
      <c r="Z83" s="1672"/>
      <c r="AA83" s="2144"/>
      <c r="AB83" s="1078"/>
      <c r="AC83" s="1078"/>
      <c r="AD83" s="1078"/>
      <c r="AE83" s="1078"/>
      <c r="AF83" s="2153">
        <v>11</v>
      </c>
    </row>
    <row s="47496" customFormat="1" customHeight="1" ht="11.549999999999999">
      <c r="A84" s="1499"/>
      <c r="B84" s="2148"/>
      <c r="C84" s="2148"/>
      <c r="D84" s="863"/>
      <c r="K84" s="1672"/>
      <c r="L84" s="2148"/>
      <c r="M84" s="2148"/>
      <c r="N84" s="1672"/>
      <c r="O84" s="1672"/>
      <c r="P84" s="1672"/>
      <c r="Q84" s="1672"/>
      <c r="R84" s="2148"/>
      <c r="S84" s="1672"/>
      <c r="T84" s="1672"/>
      <c r="U84" s="1056"/>
      <c r="V84" s="1672"/>
      <c r="W84" s="1672"/>
      <c r="X84" s="1672"/>
      <c r="Y84" s="1672"/>
      <c r="Z84" s="1672"/>
      <c r="AA84" s="2144"/>
      <c r="AB84" s="1078"/>
      <c r="AC84" s="1078"/>
      <c r="AD84" s="1078"/>
      <c r="AE84" s="1078"/>
      <c r="AF84" s="2153">
        <v>11</v>
      </c>
    </row>
    <row s="47496" customFormat="1" customHeight="1" ht="11.549999999999999">
      <c r="A85" s="1499"/>
      <c r="B85" s="2148"/>
      <c r="C85" s="2148"/>
      <c r="D85" s="863"/>
      <c r="K85" s="1672"/>
      <c r="L85" s="2148"/>
      <c r="M85" s="2148"/>
      <c r="N85" s="1672"/>
      <c r="O85" s="1672"/>
      <c r="P85" s="1672"/>
      <c r="Q85" s="1672"/>
      <c r="R85" s="2148"/>
      <c r="S85" s="1672"/>
      <c r="T85" s="1672"/>
      <c r="U85" s="1056"/>
      <c r="V85" s="1672"/>
      <c r="W85" s="1672"/>
      <c r="X85" s="1672"/>
      <c r="Y85" s="1672"/>
      <c r="Z85" s="1672"/>
      <c r="AA85" s="2144"/>
      <c r="AB85" s="1078"/>
      <c r="AC85" s="1078"/>
      <c r="AD85" s="1078"/>
      <c r="AE85" s="1078"/>
      <c r="AF85" s="2153">
        <v>11</v>
      </c>
    </row>
    <row s="47496" customFormat="1" customHeight="1" ht="11.549999999999999">
      <c r="A86" s="1499"/>
      <c r="B86" s="2148"/>
      <c r="C86" s="2148"/>
      <c r="D86" s="863"/>
      <c r="K86" s="1672"/>
      <c r="L86" s="2148"/>
      <c r="M86" s="2148"/>
      <c r="N86" s="1672"/>
      <c r="O86" s="1672"/>
      <c r="P86" s="1672"/>
      <c r="Q86" s="1672"/>
      <c r="R86" s="2148"/>
      <c r="S86" s="1672"/>
      <c r="T86" s="1672"/>
      <c r="U86" s="1056"/>
      <c r="V86" s="1672"/>
      <c r="W86" s="1672"/>
      <c r="X86" s="1672"/>
      <c r="Y86" s="1672"/>
      <c r="Z86" s="1672"/>
      <c r="AA86" s="2144"/>
      <c r="AB86" s="1078"/>
      <c r="AC86" s="1078"/>
      <c r="AD86" s="1078"/>
      <c r="AE86" s="1078"/>
      <c r="AF86" s="2153">
        <v>11</v>
      </c>
    </row>
    <row s="47496" customFormat="1" customHeight="1" ht="11.549999999999999">
      <c r="A87" s="1499"/>
      <c r="B87" s="2148"/>
      <c r="C87" s="2148"/>
      <c r="D87" s="863"/>
      <c r="K87" s="1672"/>
      <c r="L87" s="2148"/>
      <c r="M87" s="2148"/>
      <c r="N87" s="1672"/>
      <c r="O87" s="1672"/>
      <c r="P87" s="1672"/>
      <c r="Q87" s="1672"/>
      <c r="R87" s="2148"/>
      <c r="S87" s="1672"/>
      <c r="T87" s="1672"/>
      <c r="U87" s="1056"/>
      <c r="V87" s="1672"/>
      <c r="W87" s="1672"/>
      <c r="X87" s="1672"/>
      <c r="Y87" s="1672"/>
      <c r="Z87" s="1672"/>
      <c r="AA87" s="2144"/>
      <c r="AB87" s="1078"/>
      <c r="AC87" s="1078"/>
      <c r="AD87" s="1078"/>
      <c r="AE87" s="1078"/>
      <c r="AF87" s="2153">
        <v>11</v>
      </c>
    </row>
    <row s="47496" customFormat="1" customHeight="1" ht="11.549999999999999">
      <c r="A88" s="1499"/>
      <c r="B88" s="2148"/>
      <c r="C88" s="2148"/>
      <c r="D88" s="863"/>
      <c r="K88" s="1672"/>
      <c r="L88" s="2148"/>
      <c r="M88" s="2148"/>
      <c r="N88" s="1672"/>
      <c r="O88" s="1672"/>
      <c r="P88" s="1672"/>
      <c r="Q88" s="1672"/>
      <c r="R88" s="2148"/>
      <c r="S88" s="1672"/>
      <c r="T88" s="1672"/>
      <c r="U88" s="1056"/>
      <c r="V88" s="1672"/>
      <c r="W88" s="1672"/>
      <c r="X88" s="1672"/>
      <c r="Y88" s="1672"/>
      <c r="Z88" s="1672"/>
      <c r="AA88" s="2144"/>
      <c r="AB88" s="1078"/>
      <c r="AC88" s="1078"/>
      <c r="AD88" s="1078"/>
      <c r="AE88" s="1078"/>
      <c r="AF88" s="2153">
        <v>11</v>
      </c>
    </row>
    <row s="47496" customFormat="1" customHeight="1" ht="11.549999999999999">
      <c r="A89" s="1499"/>
      <c r="B89" s="2148"/>
      <c r="C89" s="2148"/>
      <c r="D89" s="863"/>
      <c r="K89" s="1672"/>
      <c r="L89" s="2148"/>
      <c r="M89" s="2148"/>
      <c r="N89" s="1672"/>
      <c r="O89" s="1672"/>
      <c r="P89" s="1672"/>
      <c r="Q89" s="1672"/>
      <c r="R89" s="2148"/>
      <c r="S89" s="1672"/>
      <c r="T89" s="1672"/>
      <c r="U89" s="1056"/>
      <c r="V89" s="1672"/>
      <c r="W89" s="1672"/>
      <c r="X89" s="1672"/>
      <c r="Y89" s="1672"/>
      <c r="Z89" s="1672"/>
      <c r="AA89" s="2144"/>
      <c r="AB89" s="1078"/>
      <c r="AC89" s="1078"/>
      <c r="AD89" s="1078"/>
      <c r="AE89" s="1078"/>
      <c r="AF89" s="2153">
        <v>11</v>
      </c>
    </row>
    <row s="47496" customFormat="1" customHeight="1" ht="11.549999999999999">
      <c r="A90" s="1499"/>
      <c r="B90" s="2148"/>
      <c r="C90" s="2148"/>
      <c r="D90" s="863"/>
      <c r="K90" s="1672"/>
      <c r="L90" s="2148"/>
      <c r="M90" s="2148"/>
      <c r="N90" s="1672"/>
      <c r="O90" s="1672"/>
      <c r="P90" s="1672"/>
      <c r="Q90" s="1672"/>
      <c r="R90" s="2148"/>
      <c r="S90" s="1672"/>
      <c r="T90" s="1672"/>
      <c r="U90" s="1056"/>
      <c r="V90" s="1672"/>
      <c r="W90" s="1672"/>
      <c r="X90" s="1672"/>
      <c r="Y90" s="1672"/>
      <c r="Z90" s="1672"/>
      <c r="AA90" s="2144"/>
      <c r="AB90" s="1078"/>
      <c r="AC90" s="1078"/>
      <c r="AD90" s="1078"/>
      <c r="AE90" s="1078"/>
      <c r="AF90" s="2153">
        <v>11</v>
      </c>
    </row>
    <row s="47496" customFormat="1" customHeight="1" ht="11.549999999999999">
      <c r="A91" s="1499"/>
      <c r="B91" s="2148"/>
      <c r="C91" s="2148"/>
      <c r="D91" s="863"/>
      <c r="K91" s="1672"/>
      <c r="L91" s="2148"/>
      <c r="M91" s="2148"/>
      <c r="N91" s="1672"/>
      <c r="O91" s="1672"/>
      <c r="P91" s="1672"/>
      <c r="Q91" s="1672"/>
      <c r="R91" s="2148"/>
      <c r="S91" s="1672"/>
      <c r="T91" s="1672"/>
      <c r="U91" s="1056"/>
      <c r="V91" s="1672"/>
      <c r="W91" s="1672"/>
      <c r="X91" s="1672"/>
      <c r="Y91" s="1672"/>
      <c r="Z91" s="1672"/>
      <c r="AA91" s="2144"/>
      <c r="AB91" s="1078"/>
      <c r="AC91" s="1078"/>
      <c r="AD91" s="1078"/>
      <c r="AE91" s="1078"/>
      <c r="AF91" s="2153">
        <v>11</v>
      </c>
    </row>
    <row s="47496" customFormat="1" customHeight="1" ht="11.549999999999999">
      <c r="A92" s="1499"/>
      <c r="B92" s="2148"/>
      <c r="C92" s="2148"/>
      <c r="D92" s="863"/>
      <c r="K92" s="1672"/>
      <c r="L92" s="2148"/>
      <c r="M92" s="2148"/>
      <c r="N92" s="1672"/>
      <c r="O92" s="1672"/>
      <c r="P92" s="1672"/>
      <c r="Q92" s="1672"/>
      <c r="R92" s="2148"/>
      <c r="S92" s="1672"/>
      <c r="T92" s="1672"/>
      <c r="U92" s="1056"/>
      <c r="V92" s="1672"/>
      <c r="W92" s="1672"/>
      <c r="X92" s="1672"/>
      <c r="Y92" s="1672"/>
      <c r="Z92" s="1672"/>
      <c r="AA92" s="2144"/>
      <c r="AB92" s="1078"/>
      <c r="AC92" s="1078"/>
      <c r="AD92" s="1078"/>
      <c r="AE92" s="1078"/>
      <c r="AF92" s="2153">
        <v>11</v>
      </c>
    </row>
    <row s="47496" customFormat="1" customHeight="1" ht="11.549999999999999">
      <c r="A93" s="1499"/>
      <c r="B93" s="2148"/>
      <c r="C93" s="2148"/>
      <c r="D93" s="863"/>
      <c r="K93" s="1672"/>
      <c r="L93" s="2148"/>
      <c r="M93" s="2148"/>
      <c r="N93" s="1672"/>
      <c r="O93" s="1672"/>
      <c r="P93" s="1672"/>
      <c r="Q93" s="1672"/>
      <c r="R93" s="2148"/>
      <c r="S93" s="1672"/>
      <c r="T93" s="1672"/>
      <c r="U93" s="1056"/>
      <c r="V93" s="1672"/>
      <c r="W93" s="1672"/>
      <c r="X93" s="1672"/>
      <c r="Y93" s="1672"/>
      <c r="Z93" s="1672"/>
      <c r="AA93" s="2144"/>
      <c r="AB93" s="1078"/>
      <c r="AC93" s="1078"/>
      <c r="AD93" s="1078"/>
      <c r="AE93" s="1078"/>
      <c r="AF93" s="2153">
        <v>11</v>
      </c>
    </row>
    <row s="47496" customFormat="1" customHeight="1" ht="11.549999999999999">
      <c r="A94" s="1499"/>
      <c r="B94" s="2148"/>
      <c r="C94" s="2148"/>
      <c r="D94" s="863"/>
      <c r="K94" s="1672"/>
      <c r="L94" s="2148"/>
      <c r="M94" s="2148"/>
      <c r="N94" s="1672"/>
      <c r="O94" s="1672"/>
      <c r="P94" s="1672"/>
      <c r="Q94" s="1672"/>
      <c r="R94" s="2148"/>
      <c r="S94" s="1672"/>
      <c r="T94" s="1672"/>
      <c r="U94" s="1056"/>
      <c r="V94" s="1672"/>
      <c r="W94" s="1672"/>
      <c r="X94" s="1672"/>
      <c r="Y94" s="1672"/>
      <c r="Z94" s="1672"/>
      <c r="AA94" s="2144"/>
      <c r="AB94" s="1078"/>
      <c r="AC94" s="1078"/>
      <c r="AD94" s="1078"/>
      <c r="AE94" s="1078"/>
      <c r="AF94" s="2153">
        <v>11</v>
      </c>
    </row>
    <row s="47496" customFormat="1" customHeight="1" ht="11.549999999999999">
      <c r="A95" s="1499"/>
      <c r="B95" s="2148"/>
      <c r="C95" s="2148"/>
      <c r="D95" s="863"/>
      <c r="K95" s="1672"/>
      <c r="L95" s="2148"/>
      <c r="M95" s="2148"/>
      <c r="N95" s="1672"/>
      <c r="O95" s="1672"/>
      <c r="P95" s="1672"/>
      <c r="Q95" s="1672"/>
      <c r="R95" s="2148"/>
      <c r="S95" s="1672"/>
      <c r="T95" s="1672"/>
      <c r="U95" s="1056"/>
      <c r="V95" s="1672"/>
      <c r="W95" s="1672"/>
      <c r="X95" s="1672"/>
      <c r="Y95" s="1672"/>
      <c r="Z95" s="1672"/>
      <c r="AA95" s="2144"/>
      <c r="AB95" s="1078"/>
      <c r="AC95" s="1078"/>
      <c r="AD95" s="1078"/>
      <c r="AE95" s="1078"/>
      <c r="AF95" s="2153">
        <v>11</v>
      </c>
    </row>
    <row s="47496" customFormat="1" customHeight="1" ht="11.549999999999999">
      <c r="A96" s="1499"/>
      <c r="B96" s="2148"/>
      <c r="C96" s="2148"/>
      <c r="D96" s="863"/>
      <c r="K96" s="1672"/>
      <c r="L96" s="2148"/>
      <c r="M96" s="2148"/>
      <c r="N96" s="1672"/>
      <c r="O96" s="1672"/>
      <c r="P96" s="1672"/>
      <c r="Q96" s="1672"/>
      <c r="R96" s="2148"/>
      <c r="S96" s="1672"/>
      <c r="T96" s="1672"/>
      <c r="U96" s="1056"/>
      <c r="V96" s="1672"/>
      <c r="W96" s="1672"/>
      <c r="X96" s="1672"/>
      <c r="Y96" s="1672"/>
      <c r="Z96" s="1672"/>
      <c r="AA96" s="2144"/>
      <c r="AB96" s="1078"/>
      <c r="AC96" s="1078"/>
      <c r="AD96" s="1078"/>
      <c r="AE96" s="1078"/>
      <c r="AF96" s="2153">
        <v>11</v>
      </c>
    </row>
    <row s="47496" customFormat="1" customHeight="1" ht="11.549999999999999">
      <c r="A97" s="1499"/>
      <c r="B97" s="2148"/>
      <c r="C97" s="2148"/>
      <c r="D97" s="863"/>
      <c r="K97" s="1672"/>
      <c r="L97" s="2148"/>
      <c r="M97" s="2148"/>
      <c r="N97" s="1672"/>
      <c r="O97" s="1672"/>
      <c r="P97" s="1672"/>
      <c r="Q97" s="1672"/>
      <c r="R97" s="2148"/>
      <c r="S97" s="1672"/>
      <c r="T97" s="1672"/>
      <c r="U97" s="1056"/>
      <c r="V97" s="1672"/>
      <c r="W97" s="1672"/>
      <c r="X97" s="1672"/>
      <c r="Y97" s="1672"/>
      <c r="Z97" s="1672"/>
      <c r="AA97" s="2144"/>
      <c r="AB97" s="1078"/>
      <c r="AC97" s="1078"/>
      <c r="AD97" s="1078"/>
      <c r="AE97" s="1078"/>
      <c r="AF97" s="2153">
        <v>11</v>
      </c>
    </row>
    <row s="47496" customFormat="1" customHeight="1" ht="11.549999999999999">
      <c r="A98" s="1499"/>
      <c r="B98" s="2148"/>
      <c r="C98" s="2148"/>
      <c r="D98" s="863"/>
      <c r="K98" s="1672"/>
      <c r="L98" s="2148"/>
      <c r="M98" s="2148"/>
      <c r="N98" s="1672"/>
      <c r="O98" s="1672"/>
      <c r="P98" s="1672"/>
      <c r="Q98" s="1672"/>
      <c r="R98" s="2148"/>
      <c r="S98" s="1672"/>
      <c r="T98" s="1672"/>
      <c r="U98" s="1056"/>
      <c r="V98" s="1672"/>
      <c r="W98" s="1672"/>
      <c r="X98" s="1672"/>
      <c r="Y98" s="1672"/>
      <c r="Z98" s="1672"/>
      <c r="AA98" s="2144"/>
      <c r="AB98" s="1078"/>
      <c r="AC98" s="1078"/>
      <c r="AD98" s="1078"/>
      <c r="AE98" s="1078"/>
      <c r="AF98" s="2153">
        <v>11</v>
      </c>
    </row>
    <row s="47496" customFormat="1" customHeight="1" ht="11.549999999999999">
      <c r="A99" s="1499"/>
      <c r="B99" s="2148"/>
      <c r="C99" s="2148"/>
      <c r="D99" s="863"/>
      <c r="K99" s="1672"/>
      <c r="L99" s="2148"/>
      <c r="M99" s="2148"/>
      <c r="N99" s="1672"/>
      <c r="O99" s="1672"/>
      <c r="P99" s="1672"/>
      <c r="Q99" s="1672"/>
      <c r="R99" s="2148"/>
      <c r="S99" s="1672"/>
      <c r="T99" s="1672"/>
      <c r="U99" s="1056"/>
      <c r="V99" s="1672"/>
      <c r="W99" s="1672"/>
      <c r="X99" s="1672"/>
      <c r="Y99" s="1672"/>
      <c r="Z99" s="1672"/>
      <c r="AA99" s="2144"/>
      <c r="AB99" s="1078"/>
      <c r="AC99" s="1078"/>
      <c r="AD99" s="1078"/>
      <c r="AE99" s="1078"/>
      <c r="AF99" s="2153">
        <v>11</v>
      </c>
    </row>
    <row s="47496" customFormat="1" customHeight="1" ht="11.549999999999999">
      <c r="A100" s="1499"/>
      <c r="B100" s="2148"/>
      <c r="C100" s="2148"/>
      <c r="D100" s="863"/>
      <c r="K100" s="1672"/>
      <c r="L100" s="2148"/>
      <c r="M100" s="2148"/>
      <c r="N100" s="1672"/>
      <c r="O100" s="1672"/>
      <c r="P100" s="1672"/>
      <c r="Q100" s="1672"/>
      <c r="R100" s="2148"/>
      <c r="S100" s="1672"/>
      <c r="T100" s="1672"/>
      <c r="U100" s="1056"/>
      <c r="V100" s="1672"/>
      <c r="W100" s="1672"/>
      <c r="X100" s="1672"/>
      <c r="Y100" s="1672"/>
      <c r="Z100" s="1672"/>
      <c r="AA100" s="2144"/>
      <c r="AB100" s="1078"/>
      <c r="AC100" s="1078"/>
      <c r="AD100" s="1078"/>
      <c r="AE100" s="1078"/>
      <c r="AF100" s="2153">
        <v>11</v>
      </c>
    </row>
    <row s="47496" customFormat="1" customHeight="1" ht="11.549999999999999">
      <c r="A101" s="1499"/>
      <c r="B101" s="2148"/>
      <c r="C101" s="2148"/>
      <c r="D101" s="863"/>
      <c r="K101" s="1672"/>
      <c r="L101" s="2148"/>
      <c r="M101" s="2148"/>
      <c r="N101" s="1672"/>
      <c r="O101" s="1672"/>
      <c r="P101" s="1672"/>
      <c r="Q101" s="1672"/>
      <c r="R101" s="2148"/>
      <c r="S101" s="1672"/>
      <c r="T101" s="1672"/>
      <c r="U101" s="1056"/>
      <c r="V101" s="1672"/>
      <c r="W101" s="1672"/>
      <c r="X101" s="1672"/>
      <c r="Y101" s="1672"/>
      <c r="Z101" s="1672"/>
      <c r="AA101" s="2144"/>
      <c r="AB101" s="1078"/>
      <c r="AC101" s="1078"/>
      <c r="AD101" s="1078"/>
      <c r="AE101" s="1078"/>
      <c r="AF101" s="2153">
        <v>11</v>
      </c>
    </row>
    <row s="47496" customFormat="1" customHeight="1" ht="11.549999999999999">
      <c r="A102" s="1499"/>
      <c r="B102" s="2148"/>
      <c r="C102" s="2148"/>
      <c r="D102" s="863"/>
      <c r="K102" s="1672"/>
      <c r="L102" s="2148"/>
      <c r="M102" s="2148"/>
      <c r="N102" s="1672"/>
      <c r="O102" s="1672"/>
      <c r="P102" s="1672"/>
      <c r="Q102" s="1672"/>
      <c r="R102" s="2148"/>
      <c r="S102" s="1672"/>
      <c r="T102" s="1672"/>
      <c r="U102" s="1056"/>
      <c r="V102" s="1672"/>
      <c r="W102" s="1672"/>
      <c r="X102" s="1672"/>
      <c r="Y102" s="1672"/>
      <c r="Z102" s="1672"/>
      <c r="AA102" s="2144"/>
      <c r="AB102" s="1078"/>
      <c r="AC102" s="1078"/>
      <c r="AD102" s="1078"/>
      <c r="AE102" s="1078"/>
      <c r="AF102" s="2153">
        <v>11</v>
      </c>
    </row>
    <row s="47496" customFormat="1" customHeight="1" ht="11.549999999999999">
      <c r="A103" s="1499"/>
      <c r="B103" s="2148"/>
      <c r="C103" s="2148"/>
      <c r="D103" s="863"/>
      <c r="K103" s="1672"/>
      <c r="L103" s="2148"/>
      <c r="M103" s="2148"/>
      <c r="N103" s="1672"/>
      <c r="O103" s="1672"/>
      <c r="P103" s="1672"/>
      <c r="Q103" s="1672"/>
      <c r="R103" s="2148"/>
      <c r="S103" s="1672"/>
      <c r="T103" s="1672"/>
      <c r="U103" s="1056"/>
      <c r="V103" s="1672"/>
      <c r="W103" s="1672"/>
      <c r="X103" s="1672"/>
      <c r="Y103" s="1672"/>
      <c r="Z103" s="1672"/>
      <c r="AA103" s="2144"/>
      <c r="AB103" s="1078"/>
      <c r="AC103" s="1078"/>
      <c r="AD103" s="1078"/>
      <c r="AE103" s="1078"/>
      <c r="AF103" s="2153">
        <v>11</v>
      </c>
    </row>
    <row s="47496" customFormat="1" customHeight="1" ht="11.549999999999999">
      <c r="A104" s="1499"/>
      <c r="B104" s="2148"/>
      <c r="C104" s="2148"/>
      <c r="D104" s="863"/>
      <c r="K104" s="1672"/>
      <c r="L104" s="2148"/>
      <c r="M104" s="2148"/>
      <c r="N104" s="1672"/>
      <c r="O104" s="1672"/>
      <c r="P104" s="1672"/>
      <c r="Q104" s="1672"/>
      <c r="R104" s="2148"/>
      <c r="S104" s="1672"/>
      <c r="T104" s="1672"/>
      <c r="U104" s="1056"/>
      <c r="V104" s="1672"/>
      <c r="W104" s="1672"/>
      <c r="X104" s="1672"/>
      <c r="Y104" s="1672"/>
      <c r="Z104" s="1672"/>
      <c r="AA104" s="2144"/>
      <c r="AB104" s="1078"/>
      <c r="AC104" s="1078"/>
      <c r="AD104" s="1078"/>
      <c r="AE104" s="1078"/>
      <c r="AF104" s="2153">
        <v>11</v>
      </c>
    </row>
    <row s="47496" customFormat="1" customHeight="1" ht="11.549999999999999">
      <c r="A105" s="1499"/>
      <c r="B105" s="2148"/>
      <c r="C105" s="2148"/>
      <c r="D105" s="863"/>
      <c r="K105" s="1672"/>
      <c r="L105" s="2148"/>
      <c r="M105" s="2148"/>
      <c r="N105" s="1672"/>
      <c r="O105" s="1672"/>
      <c r="P105" s="1672"/>
      <c r="Q105" s="1672"/>
      <c r="R105" s="2148"/>
      <c r="S105" s="1672"/>
      <c r="T105" s="1672"/>
      <c r="U105" s="1056"/>
      <c r="V105" s="1672"/>
      <c r="W105" s="1672"/>
      <c r="X105" s="1672"/>
      <c r="Y105" s="1672"/>
      <c r="Z105" s="1672"/>
      <c r="AA105" s="2144"/>
      <c r="AB105" s="1078"/>
      <c r="AC105" s="1078"/>
      <c r="AD105" s="1078"/>
      <c r="AE105" s="1078"/>
      <c r="AF105" s="2153">
        <v>11</v>
      </c>
    </row>
    <row s="47496" customFormat="1" customHeight="1" ht="11.549999999999999">
      <c r="A106" s="1499"/>
      <c r="B106" s="2148"/>
      <c r="C106" s="2148"/>
      <c r="D106" s="863"/>
      <c r="K106" s="1672"/>
      <c r="L106" s="2148"/>
      <c r="M106" s="2148"/>
      <c r="N106" s="1672"/>
      <c r="O106" s="1672"/>
      <c r="P106" s="1672"/>
      <c r="Q106" s="1672"/>
      <c r="R106" s="2148"/>
      <c r="S106" s="1672"/>
      <c r="T106" s="1672"/>
      <c r="U106" s="1056"/>
      <c r="V106" s="1672"/>
      <c r="W106" s="1672"/>
      <c r="X106" s="1672"/>
      <c r="Y106" s="1672"/>
      <c r="Z106" s="1672"/>
      <c r="AA106" s="2144"/>
      <c r="AB106" s="1078"/>
      <c r="AC106" s="1078"/>
      <c r="AD106" s="1078"/>
      <c r="AE106" s="1078"/>
      <c r="AF106" s="2153">
        <v>11</v>
      </c>
    </row>
    <row s="47496" customFormat="1" customHeight="1" ht="11.549999999999999">
      <c r="A107" s="1499"/>
      <c r="B107" s="2148"/>
      <c r="C107" s="2148"/>
      <c r="D107" s="863"/>
      <c r="K107" s="1672"/>
      <c r="L107" s="2148"/>
      <c r="M107" s="2148"/>
      <c r="N107" s="1672"/>
      <c r="O107" s="1672"/>
      <c r="P107" s="1672"/>
      <c r="Q107" s="1672"/>
      <c r="R107" s="2148"/>
      <c r="S107" s="1672"/>
      <c r="T107" s="1672"/>
      <c r="U107" s="1056"/>
      <c r="V107" s="1672"/>
      <c r="W107" s="1672"/>
      <c r="X107" s="1672"/>
      <c r="Y107" s="1672"/>
      <c r="Z107" s="1672"/>
      <c r="AA107" s="2144"/>
      <c r="AB107" s="1078"/>
      <c r="AC107" s="1078"/>
      <c r="AD107" s="1078"/>
      <c r="AE107" s="1078"/>
      <c r="AF107" s="2153">
        <v>11</v>
      </c>
    </row>
    <row s="47496" customFormat="1" customHeight="1" ht="11.549999999999999">
      <c r="A108" s="1499"/>
      <c r="B108" s="2148"/>
      <c r="C108" s="2148"/>
      <c r="D108" s="863"/>
      <c r="K108" s="1672"/>
      <c r="L108" s="2148"/>
      <c r="M108" s="2148"/>
      <c r="N108" s="1672"/>
      <c r="O108" s="1672"/>
      <c r="P108" s="1672"/>
      <c r="Q108" s="1672"/>
      <c r="R108" s="2148"/>
      <c r="S108" s="1672"/>
      <c r="T108" s="1672"/>
      <c r="U108" s="1056"/>
      <c r="V108" s="1672"/>
      <c r="W108" s="1672"/>
      <c r="X108" s="1672"/>
      <c r="Y108" s="1672"/>
      <c r="Z108" s="1672"/>
      <c r="AA108" s="2144"/>
      <c r="AB108" s="1078"/>
      <c r="AC108" s="1078"/>
      <c r="AD108" s="1078"/>
      <c r="AE108" s="1078"/>
      <c r="AF108" s="2153">
        <v>11</v>
      </c>
    </row>
    <row s="47496" customFormat="1" customHeight="1" ht="11.549999999999999">
      <c r="A109" s="1499"/>
      <c r="B109" s="2148"/>
      <c r="C109" s="2148"/>
      <c r="D109" s="863"/>
      <c r="K109" s="1672"/>
      <c r="L109" s="2148"/>
      <c r="M109" s="2148"/>
      <c r="N109" s="1672"/>
      <c r="O109" s="1672"/>
      <c r="P109" s="1672"/>
      <c r="Q109" s="1672"/>
      <c r="R109" s="2148"/>
      <c r="S109" s="1672"/>
      <c r="T109" s="1672"/>
      <c r="U109" s="1056"/>
      <c r="V109" s="1672"/>
      <c r="W109" s="1672"/>
      <c r="X109" s="1672"/>
      <c r="Y109" s="1672"/>
      <c r="Z109" s="1672"/>
      <c r="AA109" s="2144"/>
      <c r="AB109" s="1078"/>
      <c r="AC109" s="1078"/>
      <c r="AD109" s="1078"/>
      <c r="AE109" s="1078"/>
      <c r="AF109" s="2153">
        <v>11</v>
      </c>
    </row>
    <row s="47496" customFormat="1" customHeight="1" ht="11.549999999999999">
      <c r="A110" s="1499"/>
      <c r="B110" s="2148"/>
      <c r="C110" s="2148"/>
      <c r="D110" s="863"/>
      <c r="K110" s="1672"/>
      <c r="L110" s="2148"/>
      <c r="M110" s="2148"/>
      <c r="N110" s="1672"/>
      <c r="O110" s="1672"/>
      <c r="P110" s="1672"/>
      <c r="Q110" s="1672"/>
      <c r="R110" s="2148"/>
      <c r="S110" s="1672"/>
      <c r="T110" s="1672"/>
      <c r="U110" s="1056"/>
      <c r="V110" s="1672"/>
      <c r="W110" s="1672"/>
      <c r="X110" s="1672"/>
      <c r="Y110" s="1672"/>
      <c r="Z110" s="1672"/>
      <c r="AA110" s="2144"/>
      <c r="AB110" s="1078"/>
      <c r="AC110" s="1078"/>
      <c r="AD110" s="1078"/>
      <c r="AE110" s="1078"/>
      <c r="AF110" s="2153">
        <v>11</v>
      </c>
    </row>
    <row s="47496" customFormat="1" customHeight="1" ht="11.549999999999999">
      <c r="A111" s="1499"/>
      <c r="B111" s="2148"/>
      <c r="C111" s="2148"/>
      <c r="D111" s="863"/>
      <c r="K111" s="1672"/>
      <c r="L111" s="2148"/>
      <c r="M111" s="2148"/>
      <c r="N111" s="1672"/>
      <c r="O111" s="1672"/>
      <c r="P111" s="1672"/>
      <c r="Q111" s="1672"/>
      <c r="R111" s="2148"/>
      <c r="S111" s="1672"/>
      <c r="T111" s="1672"/>
      <c r="U111" s="1056"/>
      <c r="V111" s="1672"/>
      <c r="W111" s="1672"/>
      <c r="X111" s="1672"/>
      <c r="Y111" s="1672"/>
      <c r="Z111" s="1672"/>
      <c r="AA111" s="2144"/>
      <c r="AB111" s="1078"/>
      <c r="AC111" s="1078"/>
      <c r="AD111" s="1078"/>
      <c r="AE111" s="1078"/>
      <c r="AF111" s="2153">
        <v>11</v>
      </c>
    </row>
    <row s="47496" customFormat="1" customHeight="1" ht="11.549999999999999">
      <c r="A112" s="1499"/>
      <c r="B112" s="2148"/>
      <c r="C112" s="2148"/>
      <c r="D112" s="863"/>
      <c r="K112" s="1672"/>
      <c r="L112" s="2148"/>
      <c r="M112" s="2148"/>
      <c r="N112" s="1672"/>
      <c r="O112" s="1672"/>
      <c r="P112" s="1672"/>
      <c r="Q112" s="1672"/>
      <c r="R112" s="2148"/>
      <c r="S112" s="1672"/>
      <c r="T112" s="1672"/>
      <c r="U112" s="1056"/>
      <c r="V112" s="1672"/>
      <c r="W112" s="1672"/>
      <c r="X112" s="1672"/>
      <c r="Y112" s="1672"/>
      <c r="Z112" s="1672"/>
      <c r="AA112" s="2144"/>
      <c r="AB112" s="1078"/>
      <c r="AC112" s="1078"/>
      <c r="AD112" s="1078"/>
      <c r="AE112" s="1078"/>
      <c r="AF112" s="2153">
        <v>11</v>
      </c>
    </row>
    <row s="47496" customFormat="1" customHeight="1" ht="11.549999999999999">
      <c r="A113" s="1499"/>
      <c r="B113" s="2148"/>
      <c r="C113" s="2148"/>
      <c r="D113" s="863"/>
      <c r="K113" s="1672"/>
      <c r="L113" s="2148"/>
      <c r="M113" s="2148"/>
      <c r="N113" s="1672"/>
      <c r="O113" s="1672"/>
      <c r="P113" s="1672"/>
      <c r="Q113" s="1672"/>
      <c r="R113" s="2148"/>
      <c r="S113" s="1672"/>
      <c r="T113" s="1672"/>
      <c r="U113" s="1056"/>
      <c r="V113" s="1672"/>
      <c r="W113" s="1672"/>
      <c r="X113" s="1672"/>
      <c r="Y113" s="1672"/>
      <c r="Z113" s="1672"/>
      <c r="AA113" s="2144"/>
      <c r="AB113" s="1078"/>
      <c r="AC113" s="1078"/>
      <c r="AD113" s="1078"/>
      <c r="AE113" s="1078"/>
      <c r="AF113" s="2153">
        <v>11</v>
      </c>
    </row>
    <row s="47496" customFormat="1" customHeight="1" ht="11.549999999999999">
      <c r="A114" s="1499"/>
      <c r="B114" s="2148"/>
      <c r="C114" s="2148"/>
      <c r="D114" s="863"/>
      <c r="K114" s="1672"/>
      <c r="L114" s="2148"/>
      <c r="M114" s="2148"/>
      <c r="N114" s="1672"/>
      <c r="O114" s="1672"/>
      <c r="P114" s="1672"/>
      <c r="Q114" s="1672"/>
      <c r="R114" s="2148"/>
      <c r="S114" s="1672"/>
      <c r="T114" s="1672"/>
      <c r="U114" s="1056"/>
      <c r="V114" s="1672"/>
      <c r="W114" s="1672"/>
      <c r="X114" s="1672"/>
      <c r="Y114" s="1672"/>
      <c r="Z114" s="1672"/>
      <c r="AA114" s="2144"/>
      <c r="AB114" s="1078"/>
      <c r="AC114" s="1078"/>
      <c r="AD114" s="1078"/>
      <c r="AE114" s="1078"/>
      <c r="AF114" s="2153">
        <v>11</v>
      </c>
    </row>
    <row s="47496" customFormat="1" customHeight="1" ht="11.549999999999999">
      <c r="A115" s="1499"/>
      <c r="B115" s="2148"/>
      <c r="C115" s="2148"/>
      <c r="D115" s="863"/>
      <c r="K115" s="1672"/>
      <c r="L115" s="2148"/>
      <c r="M115" s="2148"/>
      <c r="N115" s="1672"/>
      <c r="O115" s="1672"/>
      <c r="P115" s="1672"/>
      <c r="Q115" s="1672"/>
      <c r="R115" s="2148"/>
      <c r="S115" s="1672"/>
      <c r="T115" s="1672"/>
      <c r="U115" s="1056"/>
      <c r="V115" s="1672"/>
      <c r="W115" s="1672"/>
      <c r="X115" s="1672"/>
      <c r="Y115" s="1672"/>
      <c r="Z115" s="1672"/>
      <c r="AA115" s="2144"/>
      <c r="AB115" s="1078"/>
      <c r="AC115" s="1078"/>
      <c r="AD115" s="1078"/>
      <c r="AE115" s="1078"/>
      <c r="AF115" s="2153">
        <v>11</v>
      </c>
    </row>
    <row s="47496" customFormat="1" customHeight="1" ht="11.549999999999999">
      <c r="A116" s="1499"/>
      <c r="B116" s="2148"/>
      <c r="C116" s="2148"/>
      <c r="D116" s="863"/>
      <c r="K116" s="1672"/>
      <c r="L116" s="2148"/>
      <c r="M116" s="2148"/>
      <c r="N116" s="1672"/>
      <c r="O116" s="1672"/>
      <c r="P116" s="1672"/>
      <c r="Q116" s="1672"/>
      <c r="R116" s="2148"/>
      <c r="S116" s="1672"/>
      <c r="T116" s="1672"/>
      <c r="U116" s="1056"/>
      <c r="V116" s="1672"/>
      <c r="W116" s="1672"/>
      <c r="X116" s="1672"/>
      <c r="Y116" s="1672"/>
      <c r="Z116" s="1672"/>
      <c r="AA116" s="2144"/>
      <c r="AB116" s="1078"/>
      <c r="AC116" s="1078"/>
      <c r="AD116" s="1078"/>
      <c r="AE116" s="1078"/>
      <c r="AF116" s="2153">
        <v>11</v>
      </c>
    </row>
    <row s="47496" customFormat="1" customHeight="1" ht="11.549999999999999">
      <c r="A117" s="1499"/>
      <c r="B117" s="2148"/>
      <c r="C117" s="2148"/>
      <c r="D117" s="863"/>
      <c r="K117" s="1672"/>
      <c r="L117" s="2148"/>
      <c r="M117" s="2148"/>
      <c r="N117" s="1672"/>
      <c r="O117" s="1672"/>
      <c r="P117" s="1672"/>
      <c r="Q117" s="1672"/>
      <c r="R117" s="2148"/>
      <c r="S117" s="1672"/>
      <c r="T117" s="1672"/>
      <c r="U117" s="1056"/>
      <c r="V117" s="1672"/>
      <c r="W117" s="1672"/>
      <c r="X117" s="1672"/>
      <c r="Y117" s="1672"/>
      <c r="Z117" s="1672"/>
      <c r="AA117" s="2144"/>
      <c r="AB117" s="1078"/>
      <c r="AC117" s="1078"/>
      <c r="AD117" s="1078"/>
      <c r="AE117" s="1078"/>
      <c r="AF117" s="2153">
        <v>11</v>
      </c>
    </row>
    <row s="47496" customFormat="1" customHeight="1" ht="11.549999999999999">
      <c r="A118" s="1499"/>
      <c r="B118" s="2148"/>
      <c r="C118" s="2148"/>
      <c r="D118" s="863"/>
      <c r="K118" s="1672"/>
      <c r="L118" s="2148"/>
      <c r="M118" s="2148"/>
      <c r="N118" s="1672"/>
      <c r="O118" s="1672"/>
      <c r="P118" s="1672"/>
      <c r="Q118" s="1672"/>
      <c r="R118" s="2148"/>
      <c r="S118" s="1672"/>
      <c r="T118" s="1672"/>
      <c r="U118" s="1056"/>
      <c r="V118" s="1672"/>
      <c r="W118" s="1672"/>
      <c r="X118" s="1672"/>
      <c r="Y118" s="1672"/>
      <c r="Z118" s="1672"/>
      <c r="AA118" s="2144"/>
      <c r="AB118" s="1078"/>
      <c r="AC118" s="1078"/>
      <c r="AD118" s="1078"/>
      <c r="AE118" s="1078"/>
      <c r="AF118" s="2153">
        <v>11</v>
      </c>
    </row>
    <row s="47496" customFormat="1" customHeight="1" ht="11.549999999999999">
      <c r="A119" s="1499"/>
      <c r="B119" s="2148"/>
      <c r="C119" s="2148"/>
      <c r="D119" s="863"/>
      <c r="K119" s="1672"/>
      <c r="L119" s="2148"/>
      <c r="M119" s="2148"/>
      <c r="N119" s="1672"/>
      <c r="O119" s="1672"/>
      <c r="P119" s="1672"/>
      <c r="Q119" s="1672"/>
      <c r="R119" s="2148"/>
      <c r="S119" s="1672"/>
      <c r="T119" s="1672"/>
      <c r="U119" s="1056"/>
      <c r="V119" s="1672"/>
      <c r="W119" s="1672"/>
      <c r="X119" s="1672"/>
      <c r="Y119" s="1672"/>
      <c r="Z119" s="1672"/>
      <c r="AA119" s="2144"/>
      <c r="AB119" s="1078"/>
      <c r="AC119" s="1078"/>
      <c r="AD119" s="1078"/>
      <c r="AE119" s="1078"/>
      <c r="AF119" s="2153">
        <v>11</v>
      </c>
    </row>
    <row s="47496" customFormat="1" customHeight="1" ht="11.549999999999999">
      <c r="A120" s="1499"/>
      <c r="B120" s="2148"/>
      <c r="C120" s="2148"/>
      <c r="D120" s="863"/>
      <c r="K120" s="1672"/>
      <c r="L120" s="2148"/>
      <c r="M120" s="2148"/>
      <c r="N120" s="1672"/>
      <c r="O120" s="1672"/>
      <c r="P120" s="1672"/>
      <c r="Q120" s="1672"/>
      <c r="R120" s="2148"/>
      <c r="S120" s="1672"/>
      <c r="T120" s="1672"/>
      <c r="U120" s="1056"/>
      <c r="V120" s="1672"/>
      <c r="W120" s="1672"/>
      <c r="X120" s="1672"/>
      <c r="Y120" s="1672"/>
      <c r="Z120" s="1672"/>
      <c r="AA120" s="2144"/>
      <c r="AB120" s="1078"/>
      <c r="AC120" s="1078"/>
      <c r="AD120" s="1078"/>
      <c r="AE120" s="1078"/>
      <c r="AF120" s="2153">
        <v>11</v>
      </c>
    </row>
    <row s="47496" customFormat="1" customHeight="1" ht="11.549999999999999">
      <c r="A121" s="1499"/>
      <c r="B121" s="2148"/>
      <c r="C121" s="2148"/>
      <c r="D121" s="863"/>
      <c r="K121" s="1672"/>
      <c r="L121" s="2148"/>
      <c r="M121" s="2148"/>
      <c r="N121" s="1672"/>
      <c r="O121" s="1672"/>
      <c r="P121" s="1672"/>
      <c r="Q121" s="1672"/>
      <c r="R121" s="2148"/>
      <c r="S121" s="1672"/>
      <c r="T121" s="1672"/>
      <c r="U121" s="1056"/>
      <c r="V121" s="1672"/>
      <c r="W121" s="1672"/>
      <c r="X121" s="1672"/>
      <c r="Y121" s="1672"/>
      <c r="Z121" s="1672"/>
      <c r="AA121" s="2144"/>
      <c r="AB121" s="1078"/>
      <c r="AC121" s="1078"/>
      <c r="AD121" s="1078"/>
      <c r="AE121" s="1078"/>
      <c r="AF121" s="2153">
        <v>11</v>
      </c>
    </row>
    <row s="47496" customFormat="1" customHeight="1" ht="11.549999999999999">
      <c r="A122" s="1499"/>
      <c r="B122" s="2148"/>
      <c r="C122" s="2148"/>
      <c r="D122" s="863"/>
      <c r="K122" s="1672"/>
      <c r="L122" s="2148"/>
      <c r="M122" s="2148"/>
      <c r="N122" s="1672"/>
      <c r="O122" s="1672"/>
      <c r="P122" s="1672"/>
      <c r="Q122" s="1672"/>
      <c r="R122" s="2148"/>
      <c r="S122" s="1672"/>
      <c r="T122" s="1672"/>
      <c r="U122" s="1056"/>
      <c r="V122" s="1672"/>
      <c r="W122" s="1672"/>
      <c r="X122" s="1672"/>
      <c r="Y122" s="1672"/>
      <c r="Z122" s="1672"/>
      <c r="AA122" s="2144"/>
      <c r="AB122" s="1078"/>
      <c r="AC122" s="1078"/>
      <c r="AD122" s="1078"/>
      <c r="AE122" s="1078"/>
      <c r="AF122" s="2153">
        <v>11</v>
      </c>
    </row>
    <row s="47496" customFormat="1" customHeight="1" ht="11.549999999999999">
      <c r="A123" s="1499"/>
      <c r="B123" s="2148"/>
      <c r="C123" s="2148"/>
      <c r="D123" s="863"/>
      <c r="K123" s="1672"/>
      <c r="L123" s="2148"/>
      <c r="M123" s="2148"/>
      <c r="N123" s="1672"/>
      <c r="O123" s="1672"/>
      <c r="P123" s="1672"/>
      <c r="Q123" s="1672"/>
      <c r="R123" s="2148"/>
      <c r="S123" s="1672"/>
      <c r="T123" s="1672"/>
      <c r="U123" s="1056"/>
      <c r="V123" s="1672"/>
      <c r="W123" s="1672"/>
      <c r="X123" s="1672"/>
      <c r="Y123" s="1672"/>
      <c r="Z123" s="1672"/>
      <c r="AA123" s="2144"/>
      <c r="AB123" s="1078"/>
      <c r="AC123" s="1078"/>
      <c r="AD123" s="1078"/>
      <c r="AE123" s="1078"/>
      <c r="AF123" s="2153">
        <v>11</v>
      </c>
    </row>
    <row s="47496" customFormat="1" customHeight="1" ht="11.549999999999999">
      <c r="A124" s="1499"/>
      <c r="B124" s="2148"/>
      <c r="C124" s="2148"/>
      <c r="D124" s="863"/>
      <c r="K124" s="1672"/>
      <c r="L124" s="2148"/>
      <c r="M124" s="2148"/>
      <c r="N124" s="1672"/>
      <c r="O124" s="1672"/>
      <c r="P124" s="1672"/>
      <c r="Q124" s="1672"/>
      <c r="R124" s="2148"/>
      <c r="S124" s="1672"/>
      <c r="T124" s="1672"/>
      <c r="U124" s="1056"/>
      <c r="V124" s="1672"/>
      <c r="W124" s="1672"/>
      <c r="X124" s="1672"/>
      <c r="Y124" s="1672"/>
      <c r="Z124" s="1672"/>
      <c r="AA124" s="2144"/>
      <c r="AB124" s="1078"/>
      <c r="AC124" s="1078"/>
      <c r="AD124" s="1078"/>
      <c r="AE124" s="1078"/>
      <c r="AF124" s="2153">
        <v>11</v>
      </c>
    </row>
    <row s="47496" customFormat="1" customHeight="1" ht="11.549999999999999">
      <c r="A125" s="1499"/>
      <c r="B125" s="2148"/>
      <c r="C125" s="2148"/>
      <c r="D125" s="863"/>
      <c r="K125" s="1672"/>
      <c r="L125" s="2148"/>
      <c r="M125" s="2148"/>
      <c r="N125" s="1672"/>
      <c r="O125" s="1672"/>
      <c r="P125" s="1672"/>
      <c r="Q125" s="1672"/>
      <c r="R125" s="2148"/>
      <c r="S125" s="1672"/>
      <c r="T125" s="1672"/>
      <c r="U125" s="1056"/>
      <c r="V125" s="1672"/>
      <c r="W125" s="1672"/>
      <c r="X125" s="1672"/>
      <c r="Y125" s="1672"/>
      <c r="Z125" s="1672"/>
      <c r="AA125" s="2144"/>
      <c r="AB125" s="1078"/>
      <c r="AC125" s="1078"/>
      <c r="AD125" s="1078"/>
      <c r="AE125" s="1078"/>
      <c r="AF125" s="2153">
        <v>11</v>
      </c>
    </row>
    <row s="47496" customFormat="1" customHeight="1" ht="11.549999999999999">
      <c r="A126" s="1499"/>
      <c r="B126" s="2148"/>
      <c r="C126" s="2148"/>
      <c r="D126" s="863"/>
      <c r="K126" s="1672"/>
      <c r="L126" s="2148"/>
      <c r="M126" s="2148"/>
      <c r="N126" s="1672"/>
      <c r="O126" s="1672"/>
      <c r="P126" s="1672"/>
      <c r="Q126" s="1672"/>
      <c r="R126" s="2148"/>
      <c r="S126" s="1672"/>
      <c r="T126" s="1672"/>
      <c r="U126" s="1056"/>
      <c r="V126" s="1672"/>
      <c r="W126" s="1672"/>
      <c r="X126" s="1672"/>
      <c r="Y126" s="1672"/>
      <c r="Z126" s="1672"/>
      <c r="AA126" s="2144"/>
      <c r="AB126" s="1078"/>
      <c r="AC126" s="1078"/>
      <c r="AD126" s="1078"/>
      <c r="AE126" s="1078"/>
      <c r="AF126" s="2153">
        <v>11</v>
      </c>
    </row>
    <row s="47496" customFormat="1" customHeight="1" ht="11.549999999999999">
      <c r="A127" s="1499"/>
      <c r="B127" s="2148"/>
      <c r="C127" s="2148"/>
      <c r="D127" s="863"/>
      <c r="K127" s="1672"/>
      <c r="L127" s="2148"/>
      <c r="M127" s="2148"/>
      <c r="N127" s="1672"/>
      <c r="O127" s="1672"/>
      <c r="P127" s="1672"/>
      <c r="Q127" s="1672"/>
      <c r="R127" s="2148"/>
      <c r="S127" s="1672"/>
      <c r="T127" s="1672"/>
      <c r="U127" s="1056"/>
      <c r="V127" s="1672"/>
      <c r="W127" s="1672"/>
      <c r="X127" s="1672"/>
      <c r="Y127" s="1672"/>
      <c r="Z127" s="1672"/>
      <c r="AA127" s="2144"/>
      <c r="AB127" s="1078"/>
      <c r="AC127" s="1078"/>
      <c r="AD127" s="1078"/>
      <c r="AE127" s="1078"/>
      <c r="AF127" s="2153">
        <v>11</v>
      </c>
    </row>
    <row s="47496" customFormat="1" customHeight="1" ht="11.549999999999999">
      <c r="A128" s="1499"/>
      <c r="B128" s="2148"/>
      <c r="C128" s="2148"/>
      <c r="D128" s="863"/>
      <c r="K128" s="1672"/>
      <c r="L128" s="2148"/>
      <c r="M128" s="2148"/>
      <c r="N128" s="1672"/>
      <c r="O128" s="1672"/>
      <c r="P128" s="1672"/>
      <c r="Q128" s="1672"/>
      <c r="R128" s="2148"/>
      <c r="S128" s="1672"/>
      <c r="T128" s="1672"/>
      <c r="U128" s="1056"/>
      <c r="V128" s="1672"/>
      <c r="W128" s="1672"/>
      <c r="X128" s="1672"/>
      <c r="Y128" s="1672"/>
      <c r="Z128" s="1672"/>
      <c r="AA128" s="2144"/>
      <c r="AB128" s="1078"/>
      <c r="AC128" s="1078"/>
      <c r="AD128" s="1078"/>
      <c r="AE128" s="1078"/>
      <c r="AF128" s="2153">
        <v>11</v>
      </c>
    </row>
    <row s="47496" customFormat="1" customHeight="1" ht="11.549999999999999">
      <c r="A129" s="1499"/>
      <c r="B129" s="2148"/>
      <c r="C129" s="2148"/>
      <c r="D129" s="863"/>
      <c r="K129" s="1672"/>
      <c r="L129" s="2148"/>
      <c r="M129" s="2148"/>
      <c r="N129" s="1672"/>
      <c r="O129" s="1672"/>
      <c r="P129" s="1672"/>
      <c r="Q129" s="1672"/>
      <c r="R129" s="2148"/>
      <c r="S129" s="1672"/>
      <c r="T129" s="1672"/>
      <c r="U129" s="1056"/>
      <c r="V129" s="1672"/>
      <c r="W129" s="1672"/>
      <c r="X129" s="1672"/>
      <c r="Y129" s="1672"/>
      <c r="Z129" s="1672"/>
      <c r="AA129" s="2144"/>
      <c r="AB129" s="1078"/>
      <c r="AC129" s="1078"/>
      <c r="AD129" s="1078"/>
      <c r="AE129" s="1078"/>
      <c r="AF129" s="2153">
        <v>11</v>
      </c>
    </row>
    <row s="47496" customFormat="1" customHeight="1" ht="11.549999999999999">
      <c r="A130" s="1499"/>
      <c r="B130" s="2148"/>
      <c r="C130" s="2148"/>
      <c r="D130" s="863"/>
      <c r="K130" s="1672"/>
      <c r="L130" s="2148"/>
      <c r="M130" s="2148"/>
      <c r="N130" s="1672"/>
      <c r="O130" s="1672"/>
      <c r="P130" s="1672"/>
      <c r="Q130" s="1672"/>
      <c r="R130" s="2148"/>
      <c r="S130" s="1672"/>
      <c r="T130" s="1672"/>
      <c r="U130" s="1056"/>
      <c r="V130" s="1672"/>
      <c r="W130" s="1672"/>
      <c r="X130" s="1672"/>
      <c r="Y130" s="1672"/>
      <c r="Z130" s="1672"/>
      <c r="AA130" s="2144"/>
      <c r="AB130" s="1078"/>
      <c r="AC130" s="1078"/>
      <c r="AD130" s="1078"/>
      <c r="AE130" s="1078"/>
      <c r="AF130" s="2153">
        <v>11</v>
      </c>
    </row>
    <row s="47496" customFormat="1" customHeight="1" ht="11.549999999999999">
      <c r="A131" s="1499"/>
      <c r="B131" s="2148"/>
      <c r="C131" s="2148"/>
      <c r="D131" s="863"/>
      <c r="K131" s="1672"/>
      <c r="L131" s="2148"/>
      <c r="M131" s="2148"/>
      <c r="N131" s="1672"/>
      <c r="O131" s="1672"/>
      <c r="P131" s="1672"/>
      <c r="Q131" s="1672"/>
      <c r="R131" s="2148"/>
      <c r="S131" s="1672"/>
      <c r="T131" s="1672"/>
      <c r="U131" s="1056"/>
      <c r="V131" s="1672"/>
      <c r="W131" s="1672"/>
      <c r="X131" s="1672"/>
      <c r="Y131" s="1672"/>
      <c r="Z131" s="1672"/>
      <c r="AA131" s="2144"/>
      <c r="AB131" s="1078"/>
      <c r="AC131" s="1078"/>
      <c r="AD131" s="1078"/>
      <c r="AE131" s="1078"/>
      <c r="AF131" s="2153">
        <v>11</v>
      </c>
    </row>
    <row s="47496" customFormat="1" customHeight="1" ht="11.549999999999999">
      <c r="A132" s="1499"/>
      <c r="B132" s="2148"/>
      <c r="C132" s="2148"/>
      <c r="D132" s="863"/>
      <c r="K132" s="1672"/>
      <c r="L132" s="2148"/>
      <c r="M132" s="2148"/>
      <c r="N132" s="1672"/>
      <c r="O132" s="1672"/>
      <c r="P132" s="1672"/>
      <c r="Q132" s="1672"/>
      <c r="R132" s="2148"/>
      <c r="S132" s="1672"/>
      <c r="T132" s="1672"/>
      <c r="U132" s="1056"/>
      <c r="V132" s="1672"/>
      <c r="W132" s="1672"/>
      <c r="X132" s="1672"/>
      <c r="Y132" s="1672"/>
      <c r="Z132" s="1672"/>
      <c r="AA132" s="2144"/>
      <c r="AB132" s="1078"/>
      <c r="AC132" s="1078"/>
      <c r="AD132" s="1078"/>
      <c r="AE132" s="1078"/>
      <c r="AF132" s="2153">
        <v>11</v>
      </c>
    </row>
    <row s="47496" customFormat="1" customHeight="1" ht="11.549999999999999">
      <c r="A133" s="1499"/>
      <c r="B133" s="2148"/>
      <c r="C133" s="2148"/>
      <c r="D133" s="863"/>
      <c r="K133" s="1672"/>
      <c r="L133" s="2148"/>
      <c r="M133" s="2148"/>
      <c r="N133" s="1672"/>
      <c r="O133" s="1672"/>
      <c r="P133" s="1672"/>
      <c r="Q133" s="1672"/>
      <c r="R133" s="2148"/>
      <c r="S133" s="1672"/>
      <c r="T133" s="1672"/>
      <c r="U133" s="1056"/>
      <c r="V133" s="1672"/>
      <c r="W133" s="1672"/>
      <c r="X133" s="1672"/>
      <c r="Y133" s="1672"/>
      <c r="Z133" s="1672"/>
      <c r="AA133" s="2144"/>
      <c r="AB133" s="1078"/>
      <c r="AC133" s="1078"/>
      <c r="AD133" s="1078"/>
      <c r="AE133" s="1078"/>
      <c r="AF133" s="2153">
        <v>11</v>
      </c>
    </row>
    <row s="47496" customFormat="1" customHeight="1" ht="11.549999999999999">
      <c r="A134" s="1499"/>
      <c r="B134" s="2148"/>
      <c r="C134" s="2148"/>
      <c r="D134" s="863"/>
      <c r="K134" s="1672"/>
      <c r="L134" s="2148"/>
      <c r="M134" s="2148"/>
      <c r="N134" s="1672"/>
      <c r="O134" s="1672"/>
      <c r="P134" s="1672"/>
      <c r="Q134" s="1672"/>
      <c r="R134" s="2148"/>
      <c r="S134" s="1672"/>
      <c r="T134" s="1672"/>
      <c r="U134" s="1056"/>
      <c r="V134" s="1672"/>
      <c r="W134" s="1672"/>
      <c r="X134" s="1672"/>
      <c r="Y134" s="1672"/>
      <c r="Z134" s="1672"/>
      <c r="AA134" s="2144"/>
      <c r="AB134" s="1078"/>
      <c r="AC134" s="1078"/>
      <c r="AD134" s="1078"/>
      <c r="AE134" s="1078"/>
      <c r="AF134" s="2153">
        <v>11</v>
      </c>
    </row>
    <row s="47496" customFormat="1" customHeight="1" ht="11.549999999999999">
      <c r="A135" s="1499"/>
      <c r="B135" s="2148"/>
      <c r="C135" s="2148"/>
      <c r="D135" s="863"/>
      <c r="K135" s="1672"/>
      <c r="L135" s="2148"/>
      <c r="M135" s="2148"/>
      <c r="N135" s="1672"/>
      <c r="O135" s="1672"/>
      <c r="P135" s="1672"/>
      <c r="Q135" s="1672"/>
      <c r="R135" s="2148"/>
      <c r="S135" s="1672"/>
      <c r="T135" s="1672"/>
      <c r="U135" s="1056"/>
      <c r="V135" s="1672"/>
      <c r="W135" s="1672"/>
      <c r="X135" s="1672"/>
      <c r="Y135" s="1672"/>
      <c r="Z135" s="1672"/>
      <c r="AA135" s="2144"/>
      <c r="AB135" s="1078"/>
      <c r="AC135" s="1078"/>
      <c r="AD135" s="1078"/>
      <c r="AE135" s="1078"/>
      <c r="AF135" s="2153">
        <v>11</v>
      </c>
    </row>
    <row s="47496" customFormat="1" customHeight="1" ht="11.549999999999999">
      <c r="A136" s="1499"/>
      <c r="B136" s="2148"/>
      <c r="C136" s="2148"/>
      <c r="D136" s="863"/>
      <c r="K136" s="1672"/>
      <c r="L136" s="2148"/>
      <c r="M136" s="2148"/>
      <c r="N136" s="1672"/>
      <c r="O136" s="1672"/>
      <c r="P136" s="1672"/>
      <c r="Q136" s="1672"/>
      <c r="R136" s="2148"/>
      <c r="S136" s="1672"/>
      <c r="T136" s="1672"/>
      <c r="U136" s="1056"/>
      <c r="V136" s="1672"/>
      <c r="W136" s="1672"/>
      <c r="X136" s="1672"/>
      <c r="Y136" s="1672"/>
      <c r="Z136" s="1672"/>
      <c r="AA136" s="2144"/>
      <c r="AB136" s="1078"/>
      <c r="AC136" s="1078"/>
      <c r="AD136" s="1078"/>
      <c r="AE136" s="1078"/>
      <c r="AF136" s="2153">
        <v>11</v>
      </c>
    </row>
    <row s="47496" customFormat="1" customHeight="1" ht="11.549999999999999">
      <c r="A137" s="1499"/>
      <c r="B137" s="2148"/>
      <c r="C137" s="2148"/>
      <c r="D137" s="863"/>
      <c r="K137" s="1672"/>
      <c r="L137" s="2148"/>
      <c r="M137" s="2148"/>
      <c r="N137" s="1672"/>
      <c r="O137" s="1672"/>
      <c r="P137" s="1672"/>
      <c r="Q137" s="1672"/>
      <c r="R137" s="2148"/>
      <c r="S137" s="1672"/>
      <c r="T137" s="1672"/>
      <c r="U137" s="1056"/>
      <c r="V137" s="1672"/>
      <c r="W137" s="1672"/>
      <c r="X137" s="1672"/>
      <c r="Y137" s="1672"/>
      <c r="Z137" s="1672"/>
      <c r="AA137" s="2144"/>
      <c r="AB137" s="1078"/>
      <c r="AC137" s="1078"/>
      <c r="AD137" s="1078"/>
      <c r="AE137" s="1078"/>
      <c r="AF137" s="2153">
        <v>11</v>
      </c>
    </row>
    <row s="47496" customFormat="1" customHeight="1" ht="11.549999999999999">
      <c r="A138" s="1499"/>
      <c r="B138" s="2148"/>
      <c r="C138" s="2148"/>
      <c r="D138" s="863"/>
      <c r="K138" s="1672"/>
      <c r="L138" s="2148"/>
      <c r="M138" s="2148"/>
      <c r="N138" s="1672"/>
      <c r="O138" s="1672"/>
      <c r="P138" s="1672"/>
      <c r="Q138" s="1672"/>
      <c r="R138" s="2148"/>
      <c r="S138" s="1672"/>
      <c r="T138" s="1672"/>
      <c r="U138" s="1056"/>
      <c r="V138" s="1672"/>
      <c r="W138" s="1672"/>
      <c r="X138" s="1672"/>
      <c r="Y138" s="1672"/>
      <c r="Z138" s="1672"/>
      <c r="AA138" s="2144"/>
      <c r="AB138" s="1078"/>
      <c r="AC138" s="1078"/>
      <c r="AD138" s="1078"/>
      <c r="AE138" s="1078"/>
      <c r="AF138" s="2153">
        <v>11</v>
      </c>
    </row>
    <row s="47496" customFormat="1" customHeight="1" ht="11.549999999999999">
      <c r="A139" s="1499"/>
      <c r="B139" s="2148"/>
      <c r="C139" s="2148"/>
      <c r="D139" s="863"/>
      <c r="K139" s="1672"/>
      <c r="L139" s="2148"/>
      <c r="M139" s="2148"/>
      <c r="N139" s="1672"/>
      <c r="O139" s="1672"/>
      <c r="P139" s="1672"/>
      <c r="Q139" s="1672"/>
      <c r="R139" s="2148"/>
      <c r="S139" s="1672"/>
      <c r="T139" s="1672"/>
      <c r="U139" s="1056"/>
      <c r="V139" s="1672"/>
      <c r="W139" s="1672"/>
      <c r="X139" s="1672"/>
      <c r="Y139" s="1672"/>
      <c r="Z139" s="1672"/>
      <c r="AA139" s="2144"/>
      <c r="AB139" s="1078"/>
      <c r="AC139" s="1078"/>
      <c r="AD139" s="1078"/>
      <c r="AE139" s="1078"/>
      <c r="AF139" s="2153">
        <v>11</v>
      </c>
    </row>
    <row s="47496" customFormat="1" customHeight="1" ht="11.549999999999999">
      <c r="A140" s="1499"/>
      <c r="B140" s="2148"/>
      <c r="C140" s="2148"/>
      <c r="D140" s="863"/>
      <c r="K140" s="1672"/>
      <c r="L140" s="2148"/>
      <c r="M140" s="2148"/>
      <c r="N140" s="1672"/>
      <c r="O140" s="1672"/>
      <c r="P140" s="1672"/>
      <c r="Q140" s="1672"/>
      <c r="R140" s="2148"/>
      <c r="S140" s="1672"/>
      <c r="T140" s="1672"/>
      <c r="U140" s="1056"/>
      <c r="V140" s="1672"/>
      <c r="W140" s="1672"/>
      <c r="X140" s="1672"/>
      <c r="Y140" s="1672"/>
      <c r="Z140" s="1672"/>
      <c r="AA140" s="2144"/>
      <c r="AB140" s="1078"/>
      <c r="AC140" s="1078"/>
      <c r="AD140" s="1078"/>
      <c r="AE140" s="1078"/>
      <c r="AF140" s="2153">
        <v>11</v>
      </c>
    </row>
    <row s="47496" customFormat="1" customHeight="1" ht="11.549999999999999">
      <c r="A141" s="1499"/>
      <c r="B141" s="2148"/>
      <c r="C141" s="2148"/>
      <c r="D141" s="863"/>
      <c r="K141" s="1672"/>
      <c r="L141" s="2148"/>
      <c r="M141" s="2148"/>
      <c r="N141" s="1672"/>
      <c r="O141" s="1672"/>
      <c r="P141" s="1672"/>
      <c r="Q141" s="1672"/>
      <c r="R141" s="2148"/>
      <c r="S141" s="1672"/>
      <c r="T141" s="1672"/>
      <c r="U141" s="1056"/>
      <c r="V141" s="1672"/>
      <c r="W141" s="1672"/>
      <c r="X141" s="1672"/>
      <c r="Y141" s="1672"/>
      <c r="Z141" s="1672"/>
      <c r="AA141" s="2144"/>
      <c r="AB141" s="1078"/>
      <c r="AC141" s="1078"/>
      <c r="AD141" s="1078"/>
      <c r="AE141" s="1078"/>
      <c r="AF141" s="2153">
        <v>11</v>
      </c>
    </row>
    <row s="47496" customFormat="1" customHeight="1" ht="11.549999999999999">
      <c r="A142" s="1499"/>
      <c r="B142" s="2148"/>
      <c r="C142" s="2148"/>
      <c r="D142" s="863"/>
      <c r="K142" s="1672"/>
      <c r="L142" s="2148"/>
      <c r="M142" s="2148"/>
      <c r="N142" s="1672"/>
      <c r="O142" s="1672"/>
      <c r="P142" s="1672"/>
      <c r="Q142" s="1672"/>
      <c r="R142" s="2148"/>
      <c r="S142" s="1672"/>
      <c r="T142" s="1672"/>
      <c r="U142" s="1056"/>
      <c r="V142" s="1672"/>
      <c r="W142" s="1672"/>
      <c r="X142" s="1672"/>
      <c r="Y142" s="1672"/>
      <c r="Z142" s="1672"/>
      <c r="AA142" s="2144"/>
      <c r="AB142" s="1078"/>
      <c r="AC142" s="1078"/>
      <c r="AD142" s="1078"/>
      <c r="AE142" s="1078"/>
      <c r="AF142" s="2153">
        <v>11</v>
      </c>
    </row>
    <row s="47496" customFormat="1" customHeight="1" ht="11.549999999999999">
      <c r="A143" s="1499"/>
      <c r="B143" s="2148"/>
      <c r="C143" s="2148"/>
      <c r="D143" s="863"/>
      <c r="K143" s="1672"/>
      <c r="L143" s="2148"/>
      <c r="M143" s="2148"/>
      <c r="N143" s="1672"/>
      <c r="O143" s="1672"/>
      <c r="P143" s="1672"/>
      <c r="Q143" s="1672"/>
      <c r="R143" s="2148"/>
      <c r="S143" s="1672"/>
      <c r="T143" s="1672"/>
      <c r="U143" s="1056"/>
      <c r="V143" s="1672"/>
      <c r="W143" s="1672"/>
      <c r="X143" s="1672"/>
      <c r="Y143" s="1672"/>
      <c r="Z143" s="1672"/>
      <c r="AA143" s="2144"/>
      <c r="AB143" s="1078"/>
      <c r="AC143" s="1078"/>
      <c r="AD143" s="1078"/>
      <c r="AE143" s="1078"/>
      <c r="AF143" s="2153">
        <v>11</v>
      </c>
    </row>
    <row s="47496" customFormat="1" customHeight="1" ht="11.549999999999999">
      <c r="A144" s="1499"/>
      <c r="B144" s="2148"/>
      <c r="C144" s="2148"/>
      <c r="D144" s="863"/>
      <c r="K144" s="1672"/>
      <c r="L144" s="2148"/>
      <c r="M144" s="2148"/>
      <c r="N144" s="1672"/>
      <c r="O144" s="1672"/>
      <c r="P144" s="1672"/>
      <c r="Q144" s="1672"/>
      <c r="R144" s="2148"/>
      <c r="S144" s="1672"/>
      <c r="T144" s="1672"/>
      <c r="U144" s="1056"/>
      <c r="V144" s="1672"/>
      <c r="W144" s="1672"/>
      <c r="X144" s="1672"/>
      <c r="Y144" s="1672"/>
      <c r="Z144" s="1672"/>
      <c r="AA144" s="2144"/>
      <c r="AB144" s="1078"/>
      <c r="AC144" s="1078"/>
      <c r="AD144" s="1078"/>
      <c r="AE144" s="1078"/>
      <c r="AF144" s="2153">
        <v>11</v>
      </c>
    </row>
    <row s="47496" customFormat="1" customHeight="1" ht="11.549999999999999">
      <c r="A145" s="1499"/>
      <c r="B145" s="2148"/>
      <c r="C145" s="2148"/>
      <c r="D145" s="863"/>
      <c r="K145" s="1672"/>
      <c r="L145" s="2148"/>
      <c r="M145" s="2148"/>
      <c r="N145" s="1672"/>
      <c r="O145" s="1672"/>
      <c r="P145" s="1672"/>
      <c r="Q145" s="1672"/>
      <c r="R145" s="2148"/>
      <c r="S145" s="1672"/>
      <c r="T145" s="1672"/>
      <c r="U145" s="1056"/>
      <c r="V145" s="1672"/>
      <c r="W145" s="1672"/>
      <c r="X145" s="1672"/>
      <c r="Y145" s="1672"/>
      <c r="Z145" s="1672"/>
      <c r="AA145" s="2144"/>
      <c r="AB145" s="1078"/>
      <c r="AC145" s="1078"/>
      <c r="AD145" s="1078"/>
      <c r="AE145" s="1078"/>
      <c r="AF145" s="2153">
        <v>11</v>
      </c>
    </row>
    <row s="47496" customFormat="1" customHeight="1" ht="11.549999999999999">
      <c r="A146" s="1499"/>
      <c r="B146" s="2148"/>
      <c r="C146" s="2148"/>
      <c r="D146" s="863"/>
      <c r="K146" s="1672"/>
      <c r="L146" s="2148"/>
      <c r="M146" s="2148"/>
      <c r="N146" s="1672"/>
      <c r="O146" s="1672"/>
      <c r="P146" s="1672"/>
      <c r="Q146" s="1672"/>
      <c r="R146" s="2148"/>
      <c r="S146" s="1672"/>
      <c r="T146" s="1672"/>
      <c r="U146" s="1056"/>
      <c r="V146" s="1672"/>
      <c r="W146" s="1672"/>
      <c r="X146" s="1672"/>
      <c r="Y146" s="1672"/>
      <c r="Z146" s="1672"/>
      <c r="AA146" s="2144"/>
      <c r="AB146" s="1078"/>
      <c r="AC146" s="1078"/>
      <c r="AD146" s="1078"/>
      <c r="AE146" s="1078"/>
      <c r="AF146" s="2153">
        <v>11</v>
      </c>
    </row>
    <row s="47496" customFormat="1" customHeight="1" ht="11.549999999999999">
      <c r="A147" s="1499"/>
      <c r="B147" s="2148"/>
      <c r="C147" s="2148"/>
      <c r="D147" s="863"/>
      <c r="K147" s="1672"/>
      <c r="L147" s="2148"/>
      <c r="M147" s="2148"/>
      <c r="N147" s="1672"/>
      <c r="O147" s="1672"/>
      <c r="P147" s="1672"/>
      <c r="Q147" s="1672"/>
      <c r="R147" s="2148"/>
      <c r="S147" s="1672"/>
      <c r="T147" s="1672"/>
      <c r="U147" s="1056"/>
      <c r="V147" s="1672"/>
      <c r="W147" s="1672"/>
      <c r="X147" s="1672"/>
      <c r="Y147" s="1672"/>
      <c r="Z147" s="1672"/>
      <c r="AA147" s="2144"/>
      <c r="AB147" s="1078"/>
      <c r="AC147" s="1078"/>
      <c r="AD147" s="1078"/>
      <c r="AE147" s="1078"/>
      <c r="AF147" s="2153">
        <v>11</v>
      </c>
    </row>
    <row s="47496" customFormat="1" customHeight="1" ht="11.549999999999999">
      <c r="A148" s="1499"/>
      <c r="B148" s="2148"/>
      <c r="C148" s="2148"/>
      <c r="D148" s="863"/>
      <c r="K148" s="1672"/>
      <c r="L148" s="2148"/>
      <c r="M148" s="2148"/>
      <c r="N148" s="1672"/>
      <c r="O148" s="1672"/>
      <c r="P148" s="1672"/>
      <c r="Q148" s="1672"/>
      <c r="R148" s="2148"/>
      <c r="S148" s="1672"/>
      <c r="T148" s="1672"/>
      <c r="U148" s="1056"/>
      <c r="V148" s="1672"/>
      <c r="W148" s="1672"/>
      <c r="X148" s="1672"/>
      <c r="Y148" s="1672"/>
      <c r="Z148" s="1672"/>
      <c r="AA148" s="2144"/>
      <c r="AB148" s="1078"/>
      <c r="AC148" s="1078"/>
      <c r="AD148" s="1078"/>
      <c r="AE148" s="1078"/>
      <c r="AF148" s="2153">
        <v>11</v>
      </c>
    </row>
    <row s="47496" customFormat="1" customHeight="1" ht="11.549999999999999">
      <c r="A149" s="1499"/>
      <c r="B149" s="2148"/>
      <c r="C149" s="2148"/>
      <c r="D149" s="863"/>
      <c r="K149" s="1672"/>
      <c r="L149" s="2148"/>
      <c r="M149" s="2148"/>
      <c r="N149" s="1672"/>
      <c r="O149" s="1672"/>
      <c r="P149" s="1672"/>
      <c r="Q149" s="1672"/>
      <c r="R149" s="2148"/>
      <c r="S149" s="1672"/>
      <c r="T149" s="1672"/>
      <c r="U149" s="1056"/>
      <c r="V149" s="1672"/>
      <c r="W149" s="1672"/>
      <c r="X149" s="1672"/>
      <c r="Y149" s="1672"/>
      <c r="Z149" s="1672"/>
      <c r="AA149" s="2144"/>
      <c r="AB149" s="1078"/>
      <c r="AC149" s="1078"/>
      <c r="AD149" s="1078"/>
      <c r="AE149" s="1078"/>
      <c r="AF149" s="2153">
        <v>11</v>
      </c>
    </row>
    <row s="47496" customFormat="1" customHeight="1" ht="11.549999999999999">
      <c r="A150" s="1499"/>
      <c r="B150" s="2148"/>
      <c r="C150" s="2148"/>
      <c r="D150" s="863"/>
      <c r="K150" s="1672"/>
      <c r="L150" s="2148"/>
      <c r="M150" s="2148"/>
      <c r="N150" s="1672"/>
      <c r="O150" s="1672"/>
      <c r="P150" s="1672"/>
      <c r="Q150" s="1672"/>
      <c r="R150" s="2148"/>
      <c r="S150" s="1672"/>
      <c r="T150" s="1672"/>
      <c r="U150" s="1056"/>
      <c r="V150" s="1672"/>
      <c r="W150" s="1672"/>
      <c r="X150" s="1672"/>
      <c r="Y150" s="1672"/>
      <c r="Z150" s="1672"/>
      <c r="AA150" s="2144"/>
      <c r="AB150" s="1078"/>
      <c r="AC150" s="1078"/>
      <c r="AD150" s="1078"/>
      <c r="AE150" s="1078"/>
      <c r="AF150" s="2153">
        <v>11</v>
      </c>
    </row>
    <row s="47496" customFormat="1" customHeight="1" ht="11.549999999999999">
      <c r="A151" s="1499"/>
      <c r="B151" s="2148"/>
      <c r="C151" s="2148"/>
      <c r="D151" s="863"/>
      <c r="K151" s="1672"/>
      <c r="L151" s="2148"/>
      <c r="M151" s="2148"/>
      <c r="N151" s="1672"/>
      <c r="O151" s="1672"/>
      <c r="P151" s="1672"/>
      <c r="Q151" s="1672"/>
      <c r="R151" s="2148"/>
      <c r="S151" s="1672"/>
      <c r="T151" s="1672"/>
      <c r="U151" s="1056"/>
      <c r="V151" s="1672"/>
      <c r="W151" s="1672"/>
      <c r="X151" s="1672"/>
      <c r="Y151" s="1672"/>
      <c r="Z151" s="1672"/>
      <c r="AA151" s="2144"/>
      <c r="AB151" s="1078"/>
      <c r="AC151" s="1078"/>
      <c r="AD151" s="1078"/>
      <c r="AE151" s="1078"/>
      <c r="AF151" s="2153">
        <v>11</v>
      </c>
    </row>
    <row s="47496" customFormat="1" customHeight="1" ht="11.549999999999999">
      <c r="A152" s="1499"/>
      <c r="B152" s="2148"/>
      <c r="C152" s="2148"/>
      <c r="D152" s="863"/>
      <c r="K152" s="1672"/>
      <c r="L152" s="2148"/>
      <c r="M152" s="2148"/>
      <c r="N152" s="1672"/>
      <c r="O152" s="1672"/>
      <c r="P152" s="1672"/>
      <c r="Q152" s="1672"/>
      <c r="R152" s="2148"/>
      <c r="S152" s="1672"/>
      <c r="T152" s="1672"/>
      <c r="U152" s="1056"/>
      <c r="V152" s="1672"/>
      <c r="W152" s="1672"/>
      <c r="X152" s="1672"/>
      <c r="Y152" s="1672"/>
      <c r="Z152" s="1672"/>
      <c r="AA152" s="2144"/>
      <c r="AB152" s="1078"/>
      <c r="AC152" s="1078"/>
      <c r="AD152" s="1078"/>
      <c r="AE152" s="1078"/>
      <c r="AF152" s="2153">
        <v>11</v>
      </c>
    </row>
    <row s="47496" customFormat="1" customHeight="1" ht="11.549999999999999">
      <c r="A153" s="1499"/>
      <c r="B153" s="2148"/>
      <c r="C153" s="2148"/>
      <c r="D153" s="863"/>
      <c r="K153" s="1672"/>
      <c r="L153" s="2148"/>
      <c r="M153" s="2148"/>
      <c r="N153" s="1672"/>
      <c r="O153" s="1672"/>
      <c r="P153" s="1672"/>
      <c r="Q153" s="1672"/>
      <c r="R153" s="2148"/>
      <c r="S153" s="1672"/>
      <c r="T153" s="1672"/>
      <c r="U153" s="1056"/>
      <c r="V153" s="1672"/>
      <c r="W153" s="1672"/>
      <c r="X153" s="1672"/>
      <c r="Y153" s="1672"/>
      <c r="Z153" s="1672"/>
      <c r="AA153" s="2144"/>
      <c r="AB153" s="1078"/>
      <c r="AC153" s="1078"/>
      <c r="AD153" s="1078"/>
      <c r="AE153" s="1078"/>
      <c r="AF153" s="2153">
        <v>11</v>
      </c>
    </row>
    <row s="47496" customFormat="1" customHeight="1" ht="11.549999999999999">
      <c r="A154" s="1499"/>
      <c r="B154" s="2148"/>
      <c r="C154" s="2148"/>
      <c r="D154" s="863"/>
      <c r="K154" s="1672"/>
      <c r="L154" s="2148"/>
      <c r="M154" s="2148"/>
      <c r="N154" s="1672"/>
      <c r="O154" s="1672"/>
      <c r="P154" s="1672"/>
      <c r="Q154" s="1672"/>
      <c r="R154" s="2148"/>
      <c r="S154" s="1672"/>
      <c r="T154" s="1672"/>
      <c r="U154" s="1056"/>
      <c r="V154" s="1672"/>
      <c r="W154" s="1672"/>
      <c r="X154" s="1672"/>
      <c r="Y154" s="1672"/>
      <c r="Z154" s="1672"/>
      <c r="AA154" s="2144"/>
      <c r="AB154" s="1078"/>
      <c r="AC154" s="1078"/>
      <c r="AD154" s="1078"/>
      <c r="AE154" s="1078"/>
      <c r="AF154" s="2153">
        <v>11</v>
      </c>
    </row>
    <row s="47496" customFormat="1" customHeight="1" ht="11.549999999999999">
      <c r="A155" s="1499"/>
      <c r="B155" s="2148"/>
      <c r="C155" s="2148"/>
      <c r="D155" s="863"/>
      <c r="K155" s="1672"/>
      <c r="L155" s="2148"/>
      <c r="M155" s="2148"/>
      <c r="N155" s="1672"/>
      <c r="O155" s="1672"/>
      <c r="P155" s="1672"/>
      <c r="Q155" s="1672"/>
      <c r="R155" s="2148"/>
      <c r="S155" s="1672"/>
      <c r="T155" s="1672"/>
      <c r="U155" s="1056"/>
      <c r="V155" s="1672"/>
      <c r="W155" s="1672"/>
      <c r="X155" s="1672"/>
      <c r="Y155" s="1672"/>
      <c r="Z155" s="1672"/>
      <c r="AA155" s="2144"/>
      <c r="AB155" s="1078"/>
      <c r="AC155" s="1078"/>
      <c r="AD155" s="1078"/>
      <c r="AE155" s="1078"/>
      <c r="AF155" s="2153">
        <v>11</v>
      </c>
    </row>
    <row s="47496" customFormat="1" customHeight="1" ht="11.549999999999999">
      <c r="A156" s="1499"/>
      <c r="B156" s="2148"/>
      <c r="C156" s="2148"/>
      <c r="D156" s="863"/>
      <c r="K156" s="1672"/>
      <c r="L156" s="2148"/>
      <c r="M156" s="2148"/>
      <c r="N156" s="1672"/>
      <c r="O156" s="1672"/>
      <c r="P156" s="1672"/>
      <c r="Q156" s="1672"/>
      <c r="R156" s="2148"/>
      <c r="S156" s="1672"/>
      <c r="T156" s="1672"/>
      <c r="U156" s="1056"/>
      <c r="V156" s="1672"/>
      <c r="W156" s="1672"/>
      <c r="X156" s="1672"/>
      <c r="Y156" s="1672"/>
      <c r="Z156" s="1672"/>
      <c r="AA156" s="2144"/>
      <c r="AB156" s="1078"/>
      <c r="AC156" s="1078"/>
      <c r="AD156" s="1078"/>
      <c r="AE156" s="1078"/>
      <c r="AF156" s="2153">
        <v>11</v>
      </c>
    </row>
    <row s="47496" customFormat="1" customHeight="1" ht="11.549999999999999">
      <c r="A157" s="1499"/>
      <c r="B157" s="2148"/>
      <c r="C157" s="2148"/>
      <c r="D157" s="863"/>
      <c r="K157" s="1672"/>
      <c r="L157" s="2148"/>
      <c r="M157" s="2148"/>
      <c r="N157" s="1672"/>
      <c r="O157" s="1672"/>
      <c r="P157" s="1672"/>
      <c r="Q157" s="1672"/>
      <c r="R157" s="2148"/>
      <c r="S157" s="1672"/>
      <c r="T157" s="1672"/>
      <c r="U157" s="1056"/>
      <c r="V157" s="1672"/>
      <c r="W157" s="1672"/>
      <c r="X157" s="1672"/>
      <c r="Y157" s="1672"/>
      <c r="Z157" s="1672"/>
      <c r="AA157" s="2144"/>
      <c r="AB157" s="1078"/>
      <c r="AC157" s="1078"/>
      <c r="AD157" s="1078"/>
      <c r="AE157" s="1078"/>
      <c r="AF157" s="2153">
        <v>11</v>
      </c>
    </row>
    <row s="47496" customFormat="1" customHeight="1" ht="11.549999999999999">
      <c r="A158" s="1499"/>
      <c r="B158" s="2148"/>
      <c r="C158" s="2148"/>
      <c r="D158" s="863"/>
      <c r="K158" s="1672"/>
      <c r="L158" s="2148"/>
      <c r="M158" s="2148"/>
      <c r="N158" s="1672"/>
      <c r="O158" s="1672"/>
      <c r="P158" s="1672"/>
      <c r="Q158" s="1672"/>
      <c r="R158" s="2148"/>
      <c r="S158" s="1672"/>
      <c r="T158" s="1672"/>
      <c r="U158" s="1056"/>
      <c r="V158" s="1672"/>
      <c r="W158" s="1672"/>
      <c r="X158" s="1672"/>
      <c r="Y158" s="1672"/>
      <c r="Z158" s="1672"/>
      <c r="AA158" s="2144"/>
      <c r="AB158" s="1078"/>
      <c r="AC158" s="1078"/>
      <c r="AD158" s="1078"/>
      <c r="AE158" s="1078"/>
      <c r="AF158" s="2153">
        <v>11</v>
      </c>
    </row>
    <row s="47496" customFormat="1" customHeight="1" ht="11.549999999999999">
      <c r="A159" s="1499"/>
      <c r="B159" s="2148"/>
      <c r="C159" s="2148"/>
      <c r="D159" s="863"/>
      <c r="K159" s="1672"/>
      <c r="L159" s="2148"/>
      <c r="M159" s="2148"/>
      <c r="N159" s="1672"/>
      <c r="O159" s="1672"/>
      <c r="P159" s="1672"/>
      <c r="Q159" s="1672"/>
      <c r="R159" s="2148"/>
      <c r="S159" s="1672"/>
      <c r="T159" s="1672"/>
      <c r="U159" s="1056"/>
      <c r="V159" s="1672"/>
      <c r="W159" s="1672"/>
      <c r="X159" s="1672"/>
      <c r="Y159" s="1672"/>
      <c r="Z159" s="1672"/>
      <c r="AA159" s="2144"/>
      <c r="AB159" s="1078"/>
      <c r="AC159" s="1078"/>
      <c r="AD159" s="1078"/>
      <c r="AE159" s="1078"/>
      <c r="AF159" s="2153">
        <v>11</v>
      </c>
    </row>
    <row s="47496" customFormat="1" customHeight="1" ht="11.549999999999999">
      <c r="A160" s="1499"/>
      <c r="B160" s="2148"/>
      <c r="C160" s="2148"/>
      <c r="D160" s="863"/>
      <c r="K160" s="1672"/>
      <c r="L160" s="2148"/>
      <c r="M160" s="2148"/>
      <c r="N160" s="1672"/>
      <c r="O160" s="1672"/>
      <c r="P160" s="1672"/>
      <c r="Q160" s="1672"/>
      <c r="R160" s="2148"/>
      <c r="S160" s="1672"/>
      <c r="T160" s="1672"/>
      <c r="U160" s="1056"/>
      <c r="V160" s="1672"/>
      <c r="W160" s="1672"/>
      <c r="X160" s="1672"/>
      <c r="Y160" s="1672"/>
      <c r="Z160" s="1672"/>
      <c r="AA160" s="2144"/>
      <c r="AB160" s="1078"/>
      <c r="AC160" s="1078"/>
      <c r="AD160" s="1078"/>
      <c r="AE160" s="1078"/>
      <c r="AF160" s="2153">
        <v>11</v>
      </c>
    </row>
    <row s="47496" customFormat="1" customHeight="1" ht="11.549999999999999">
      <c r="A161" s="1499"/>
      <c r="B161" s="2148"/>
      <c r="C161" s="2148"/>
      <c r="D161" s="863"/>
      <c r="K161" s="1672"/>
      <c r="L161" s="2148"/>
      <c r="M161" s="2148"/>
      <c r="N161" s="1672"/>
      <c r="O161" s="1672"/>
      <c r="P161" s="1672"/>
      <c r="Q161" s="1672"/>
      <c r="R161" s="2148"/>
      <c r="S161" s="1672"/>
      <c r="T161" s="1672"/>
      <c r="U161" s="1056"/>
      <c r="V161" s="1672"/>
      <c r="W161" s="1672"/>
      <c r="X161" s="1672"/>
      <c r="Y161" s="1672"/>
      <c r="Z161" s="1672"/>
      <c r="AA161" s="2144"/>
      <c r="AB161" s="1078"/>
      <c r="AC161" s="1078"/>
      <c r="AD161" s="1078"/>
      <c r="AE161" s="1078"/>
      <c r="AF161" s="2153">
        <v>11</v>
      </c>
    </row>
    <row s="47496" customFormat="1" customHeight="1" ht="11.549999999999999">
      <c r="A162" s="1499"/>
      <c r="B162" s="2148"/>
      <c r="C162" s="2148"/>
      <c r="D162" s="863"/>
      <c r="K162" s="1672"/>
      <c r="L162" s="2148"/>
      <c r="M162" s="2148"/>
      <c r="N162" s="1672"/>
      <c r="O162" s="1672"/>
      <c r="P162" s="1672"/>
      <c r="Q162" s="1672"/>
      <c r="R162" s="2148"/>
      <c r="S162" s="1672"/>
      <c r="T162" s="1672"/>
      <c r="U162" s="1056"/>
      <c r="V162" s="1672"/>
      <c r="W162" s="1672"/>
      <c r="X162" s="1672"/>
      <c r="Y162" s="1672"/>
      <c r="Z162" s="1672"/>
      <c r="AA162" s="2144"/>
      <c r="AB162" s="1078"/>
      <c r="AC162" s="1078"/>
      <c r="AD162" s="1078"/>
      <c r="AE162" s="1078"/>
      <c r="AF162" s="2153">
        <v>11</v>
      </c>
    </row>
    <row s="47496" customFormat="1" customHeight="1" ht="11.549999999999999">
      <c r="A163" s="1499"/>
      <c r="B163" s="2148"/>
      <c r="C163" s="2148"/>
      <c r="D163" s="863"/>
      <c r="K163" s="1672"/>
      <c r="L163" s="2148"/>
      <c r="M163" s="2148"/>
      <c r="N163" s="1672"/>
      <c r="O163" s="1672"/>
      <c r="P163" s="1672"/>
      <c r="Q163" s="1672"/>
      <c r="R163" s="2148"/>
      <c r="S163" s="1672"/>
      <c r="T163" s="1672"/>
      <c r="U163" s="1056"/>
      <c r="V163" s="1672"/>
      <c r="W163" s="1672"/>
      <c r="X163" s="1672"/>
      <c r="Y163" s="1672"/>
      <c r="Z163" s="1672"/>
      <c r="AA163" s="2144"/>
      <c r="AB163" s="1078"/>
      <c r="AC163" s="1078"/>
      <c r="AD163" s="1078"/>
      <c r="AE163" s="1078"/>
      <c r="AF163" s="2153">
        <v>11</v>
      </c>
    </row>
    <row s="47496" customFormat="1" customHeight="1" ht="11.549999999999999">
      <c r="A164" s="1499"/>
      <c r="B164" s="2148"/>
      <c r="C164" s="2148"/>
      <c r="D164" s="863"/>
      <c r="K164" s="1672"/>
      <c r="L164" s="2148"/>
      <c r="M164" s="2148"/>
      <c r="N164" s="1672"/>
      <c r="O164" s="1672"/>
      <c r="P164" s="1672"/>
      <c r="Q164" s="1672"/>
      <c r="R164" s="2148"/>
      <c r="S164" s="1672"/>
      <c r="T164" s="1672"/>
      <c r="U164" s="1056"/>
      <c r="V164" s="1672"/>
      <c r="W164" s="1672"/>
      <c r="X164" s="1672"/>
      <c r="Y164" s="1672"/>
      <c r="Z164" s="1672"/>
      <c r="AA164" s="2144"/>
      <c r="AB164" s="1078"/>
      <c r="AC164" s="1078"/>
      <c r="AD164" s="1078"/>
      <c r="AE164" s="1078"/>
      <c r="AF164" s="2153">
        <v>11</v>
      </c>
    </row>
    <row s="47496" customFormat="1" customHeight="1" ht="11.549999999999999">
      <c r="A165" s="1499"/>
      <c r="B165" s="2148"/>
      <c r="C165" s="2148"/>
      <c r="D165" s="863"/>
      <c r="K165" s="1672"/>
      <c r="L165" s="2148"/>
      <c r="M165" s="2148"/>
      <c r="N165" s="1672"/>
      <c r="O165" s="1672"/>
      <c r="P165" s="1672"/>
      <c r="Q165" s="1672"/>
      <c r="R165" s="2148"/>
      <c r="S165" s="1672"/>
      <c r="T165" s="1672"/>
      <c r="U165" s="1056"/>
      <c r="V165" s="1672"/>
      <c r="W165" s="1672"/>
      <c r="X165" s="1672"/>
      <c r="Y165" s="1672"/>
      <c r="Z165" s="1672"/>
      <c r="AA165" s="2144"/>
      <c r="AB165" s="1078"/>
      <c r="AC165" s="1078"/>
      <c r="AD165" s="1078"/>
      <c r="AE165" s="1078"/>
      <c r="AF165" s="2153">
        <v>11</v>
      </c>
    </row>
    <row s="47496" customFormat="1" customHeight="1" ht="11.549999999999999">
      <c r="A166" s="1499"/>
      <c r="B166" s="2148"/>
      <c r="C166" s="2148"/>
      <c r="D166" s="863"/>
      <c r="K166" s="1672"/>
      <c r="L166" s="2148"/>
      <c r="M166" s="2148"/>
      <c r="N166" s="1672"/>
      <c r="O166" s="1672"/>
      <c r="P166" s="1672"/>
      <c r="Q166" s="1672"/>
      <c r="R166" s="2148"/>
      <c r="S166" s="1672"/>
      <c r="T166" s="1672"/>
      <c r="U166" s="1056"/>
      <c r="V166" s="1672"/>
      <c r="W166" s="1672"/>
      <c r="X166" s="1672"/>
      <c r="Y166" s="1672"/>
      <c r="Z166" s="1672"/>
      <c r="AA166" s="2144"/>
      <c r="AB166" s="1078"/>
      <c r="AC166" s="1078"/>
      <c r="AD166" s="1078"/>
      <c r="AE166" s="1078"/>
      <c r="AF166" s="2153">
        <v>11</v>
      </c>
    </row>
    <row s="47496" customFormat="1" customHeight="1" ht="11.549999999999999">
      <c r="A167" s="1499"/>
      <c r="B167" s="2148"/>
      <c r="C167" s="2148"/>
      <c r="D167" s="863"/>
      <c r="K167" s="1672"/>
      <c r="L167" s="2148"/>
      <c r="M167" s="2148"/>
      <c r="N167" s="1672"/>
      <c r="O167" s="1672"/>
      <c r="P167" s="1672"/>
      <c r="Q167" s="1672"/>
      <c r="R167" s="2148"/>
      <c r="S167" s="1672"/>
      <c r="T167" s="1672"/>
      <c r="U167" s="1056"/>
      <c r="V167" s="1672"/>
      <c r="W167" s="1672"/>
      <c r="X167" s="1672"/>
      <c r="Y167" s="1672"/>
      <c r="Z167" s="1672"/>
      <c r="AA167" s="2144"/>
      <c r="AB167" s="1078"/>
      <c r="AC167" s="1078"/>
      <c r="AD167" s="1078"/>
      <c r="AE167" s="1078"/>
      <c r="AF167" s="2153">
        <v>11</v>
      </c>
    </row>
    <row s="47496" customFormat="1" customHeight="1" ht="11.549999999999999">
      <c r="A168" s="1499"/>
      <c r="B168" s="2148"/>
      <c r="C168" s="2148"/>
      <c r="D168" s="863"/>
      <c r="K168" s="1672"/>
      <c r="L168" s="2148"/>
      <c r="M168" s="2148"/>
      <c r="N168" s="1672"/>
      <c r="O168" s="1672"/>
      <c r="P168" s="1672"/>
      <c r="Q168" s="1672"/>
      <c r="R168" s="2148"/>
      <c r="S168" s="1672"/>
      <c r="T168" s="1672"/>
      <c r="U168" s="1056"/>
      <c r="V168" s="1672"/>
      <c r="W168" s="1672"/>
      <c r="X168" s="1672"/>
      <c r="Y168" s="1672"/>
      <c r="Z168" s="1672"/>
      <c r="AA168" s="2144"/>
      <c r="AB168" s="1078"/>
      <c r="AC168" s="1078"/>
      <c r="AD168" s="1078"/>
      <c r="AE168" s="1078"/>
      <c r="AF168" s="2153">
        <v>11</v>
      </c>
    </row>
    <row s="47496" customFormat="1" customHeight="1" ht="11.549999999999999">
      <c r="A169" s="1499"/>
      <c r="B169" s="2148"/>
      <c r="C169" s="2148"/>
      <c r="D169" s="863"/>
      <c r="K169" s="1672"/>
      <c r="L169" s="2148"/>
      <c r="M169" s="2148"/>
      <c r="N169" s="1672"/>
      <c r="O169" s="1672"/>
      <c r="P169" s="1672"/>
      <c r="Q169" s="1672"/>
      <c r="R169" s="2148"/>
      <c r="S169" s="1672"/>
      <c r="T169" s="1672"/>
      <c r="U169" s="1056"/>
      <c r="V169" s="1672"/>
      <c r="W169" s="1672"/>
      <c r="X169" s="1672"/>
      <c r="Y169" s="1672"/>
      <c r="Z169" s="1672"/>
      <c r="AA169" s="2144"/>
      <c r="AB169" s="1078"/>
      <c r="AC169" s="1078"/>
      <c r="AD169" s="1078"/>
      <c r="AE169" s="1078"/>
      <c r="AF169" s="2153">
        <v>11</v>
      </c>
    </row>
    <row s="47496" customFormat="1" customHeight="1" ht="11.549999999999999">
      <c r="A170" s="1499"/>
      <c r="B170" s="2148"/>
      <c r="C170" s="2148"/>
      <c r="D170" s="863"/>
      <c r="K170" s="1672"/>
      <c r="L170" s="2148"/>
      <c r="M170" s="2148"/>
      <c r="N170" s="1672"/>
      <c r="O170" s="1672"/>
      <c r="P170" s="1672"/>
      <c r="Q170" s="1672"/>
      <c r="R170" s="2148"/>
      <c r="S170" s="1672"/>
      <c r="T170" s="1672"/>
      <c r="U170" s="1056"/>
      <c r="V170" s="1672"/>
      <c r="W170" s="1672"/>
      <c r="X170" s="1672"/>
      <c r="Y170" s="1672"/>
      <c r="Z170" s="1672"/>
      <c r="AA170" s="2144"/>
      <c r="AB170" s="1078"/>
      <c r="AC170" s="1078"/>
      <c r="AD170" s="1078"/>
      <c r="AE170" s="1078"/>
      <c r="AF170" s="2153">
        <v>11</v>
      </c>
    </row>
    <row s="47496" customFormat="1" customHeight="1" ht="11.549999999999999">
      <c r="A171" s="1499"/>
      <c r="B171" s="2148"/>
      <c r="C171" s="2148"/>
      <c r="D171" s="863"/>
      <c r="K171" s="1672"/>
      <c r="L171" s="2148"/>
      <c r="M171" s="2148"/>
      <c r="N171" s="1672"/>
      <c r="O171" s="1672"/>
      <c r="P171" s="1672"/>
      <c r="Q171" s="1672"/>
      <c r="R171" s="2148"/>
      <c r="S171" s="1672"/>
      <c r="T171" s="1672"/>
      <c r="U171" s="1056"/>
      <c r="V171" s="1672"/>
      <c r="W171" s="1672"/>
      <c r="X171" s="1672"/>
      <c r="Y171" s="1672"/>
      <c r="Z171" s="1672"/>
      <c r="AA171" s="2144"/>
      <c r="AB171" s="1078"/>
      <c r="AC171" s="1078"/>
      <c r="AD171" s="1078"/>
      <c r="AE171" s="1078"/>
      <c r="AF171" s="2153">
        <v>11</v>
      </c>
    </row>
    <row s="47496" customFormat="1" customHeight="1" ht="11.549999999999999">
      <c r="A172" s="1499"/>
      <c r="B172" s="2148"/>
      <c r="C172" s="2148"/>
      <c r="D172" s="863"/>
      <c r="K172" s="1672"/>
      <c r="L172" s="2148"/>
      <c r="M172" s="2148"/>
      <c r="N172" s="1672"/>
      <c r="O172" s="1672"/>
      <c r="P172" s="1672"/>
      <c r="Q172" s="1672"/>
      <c r="R172" s="2148"/>
      <c r="S172" s="1672"/>
      <c r="T172" s="1672"/>
      <c r="U172" s="1056"/>
      <c r="V172" s="1672"/>
      <c r="W172" s="1672"/>
      <c r="X172" s="1672"/>
      <c r="Y172" s="1672"/>
      <c r="Z172" s="1672"/>
      <c r="AA172" s="2144"/>
      <c r="AB172" s="1078"/>
      <c r="AC172" s="1078"/>
      <c r="AD172" s="1078"/>
      <c r="AE172" s="1078"/>
      <c r="AF172" s="2153">
        <v>11</v>
      </c>
    </row>
    <row s="47496" customFormat="1" customHeight="1" ht="11.549999999999999">
      <c r="A173" s="1499"/>
      <c r="B173" s="2148"/>
      <c r="C173" s="2148"/>
      <c r="D173" s="863"/>
      <c r="K173" s="1672"/>
      <c r="L173" s="2148"/>
      <c r="M173" s="2148"/>
      <c r="N173" s="1672"/>
      <c r="O173" s="1672"/>
      <c r="P173" s="1672"/>
      <c r="Q173" s="1672"/>
      <c r="R173" s="2148"/>
      <c r="S173" s="1672"/>
      <c r="T173" s="1672"/>
      <c r="U173" s="1056"/>
      <c r="V173" s="1672"/>
      <c r="W173" s="1672"/>
      <c r="X173" s="1672"/>
      <c r="Y173" s="1672"/>
      <c r="Z173" s="1672"/>
      <c r="AA173" s="2144"/>
      <c r="AB173" s="1078"/>
      <c r="AC173" s="1078"/>
      <c r="AD173" s="1078"/>
      <c r="AE173" s="1078"/>
      <c r="AF173" s="2153">
        <v>11</v>
      </c>
    </row>
    <row s="47496" customFormat="1" customHeight="1" ht="11.549999999999999">
      <c r="A174" s="1499"/>
      <c r="B174" s="2148"/>
      <c r="C174" s="2148"/>
      <c r="D174" s="863"/>
      <c r="K174" s="1672"/>
      <c r="L174" s="2148"/>
      <c r="M174" s="2148"/>
      <c r="N174" s="1672"/>
      <c r="O174" s="1672"/>
      <c r="P174" s="1672"/>
      <c r="Q174" s="1672"/>
      <c r="R174" s="2148"/>
      <c r="S174" s="1672"/>
      <c r="T174" s="1672"/>
      <c r="U174" s="1056"/>
      <c r="V174" s="1672"/>
      <c r="W174" s="1672"/>
      <c r="X174" s="1672"/>
      <c r="Y174" s="1672"/>
      <c r="Z174" s="1672"/>
      <c r="AA174" s="2144"/>
      <c r="AB174" s="1078"/>
      <c r="AC174" s="1078"/>
      <c r="AD174" s="1078"/>
      <c r="AE174" s="1078"/>
      <c r="AF174" s="2153">
        <v>11</v>
      </c>
    </row>
    <row s="47496" customFormat="1" customHeight="1" ht="11.549999999999999">
      <c r="A175" s="1499"/>
      <c r="B175" s="2148"/>
      <c r="C175" s="2148"/>
      <c r="D175" s="863"/>
      <c r="K175" s="1672"/>
      <c r="L175" s="2148"/>
      <c r="M175" s="2148"/>
      <c r="N175" s="1672"/>
      <c r="O175" s="1672"/>
      <c r="P175" s="1672"/>
      <c r="Q175" s="1672"/>
      <c r="R175" s="2148"/>
      <c r="S175" s="1672"/>
      <c r="T175" s="1672"/>
      <c r="U175" s="1056"/>
      <c r="V175" s="1672"/>
      <c r="W175" s="1672"/>
      <c r="X175" s="1672"/>
      <c r="Y175" s="1672"/>
      <c r="Z175" s="1672"/>
      <c r="AA175" s="2144"/>
      <c r="AB175" s="1078"/>
      <c r="AC175" s="1078"/>
      <c r="AD175" s="1078"/>
      <c r="AE175" s="1078"/>
      <c r="AF175" s="2153">
        <v>11</v>
      </c>
    </row>
    <row s="47496" customFormat="1" customHeight="1" ht="11.549999999999999">
      <c r="A176" s="1499"/>
      <c r="B176" s="2148"/>
      <c r="C176" s="2148"/>
      <c r="D176" s="863"/>
      <c r="K176" s="1672"/>
      <c r="L176" s="2148"/>
      <c r="M176" s="2148"/>
      <c r="N176" s="1672"/>
      <c r="O176" s="1672"/>
      <c r="P176" s="1672"/>
      <c r="Q176" s="1672"/>
      <c r="R176" s="2148"/>
      <c r="S176" s="1672"/>
      <c r="T176" s="1672"/>
      <c r="U176" s="1056"/>
      <c r="V176" s="1672"/>
      <c r="W176" s="1672"/>
      <c r="X176" s="1672"/>
      <c r="Y176" s="1672"/>
      <c r="Z176" s="1672"/>
      <c r="AA176" s="2144"/>
      <c r="AB176" s="1078"/>
      <c r="AC176" s="1078"/>
      <c r="AD176" s="1078"/>
      <c r="AE176" s="1078"/>
      <c r="AF176" s="2153">
        <v>11</v>
      </c>
    </row>
    <row s="47496" customFormat="1" customHeight="1" ht="11.549999999999999">
      <c r="A177" s="1499"/>
      <c r="B177" s="2148"/>
      <c r="C177" s="2148"/>
      <c r="D177" s="863"/>
      <c r="K177" s="1672"/>
      <c r="L177" s="2148"/>
      <c r="M177" s="2148"/>
      <c r="N177" s="1672"/>
      <c r="O177" s="1672"/>
      <c r="P177" s="1672"/>
      <c r="Q177" s="1672"/>
      <c r="R177" s="2148"/>
      <c r="S177" s="1672"/>
      <c r="T177" s="1672"/>
      <c r="U177" s="1056"/>
      <c r="V177" s="1672"/>
      <c r="W177" s="1672"/>
      <c r="X177" s="1672"/>
      <c r="Y177" s="1672"/>
      <c r="Z177" s="1672"/>
      <c r="AA177" s="2144"/>
      <c r="AB177" s="1078"/>
      <c r="AC177" s="1078"/>
      <c r="AD177" s="1078"/>
      <c r="AE177" s="1078"/>
      <c r="AF177" s="2153">
        <v>11</v>
      </c>
    </row>
    <row s="47496" customFormat="1" customHeight="1" ht="11.549999999999999">
      <c r="A178" s="1499"/>
      <c r="B178" s="2148"/>
      <c r="C178" s="2148"/>
      <c r="D178" s="863"/>
      <c r="K178" s="1672"/>
      <c r="L178" s="2148"/>
      <c r="M178" s="2148"/>
      <c r="N178" s="1672"/>
      <c r="O178" s="1672"/>
      <c r="P178" s="1672"/>
      <c r="Q178" s="1672"/>
      <c r="R178" s="2148"/>
      <c r="S178" s="1672"/>
      <c r="T178" s="1672"/>
      <c r="U178" s="1056"/>
      <c r="V178" s="1672"/>
      <c r="W178" s="1672"/>
      <c r="X178" s="1672"/>
      <c r="Y178" s="1672"/>
      <c r="Z178" s="1672"/>
      <c r="AA178" s="2144"/>
      <c r="AB178" s="1078"/>
      <c r="AC178" s="1078"/>
      <c r="AD178" s="1078"/>
      <c r="AE178" s="1078"/>
      <c r="AF178" s="2153">
        <v>11</v>
      </c>
    </row>
    <row s="47496" customFormat="1" customHeight="1" ht="11.549999999999999">
      <c r="A179" s="1499"/>
      <c r="B179" s="2148"/>
      <c r="C179" s="2148"/>
      <c r="D179" s="863"/>
      <c r="K179" s="1672"/>
      <c r="L179" s="2148"/>
      <c r="M179" s="2148"/>
      <c r="N179" s="1672"/>
      <c r="O179" s="1672"/>
      <c r="P179" s="1672"/>
      <c r="Q179" s="1672"/>
      <c r="R179" s="2148"/>
      <c r="S179" s="1672"/>
      <c r="T179" s="1672"/>
      <c r="U179" s="1056"/>
      <c r="V179" s="1672"/>
      <c r="W179" s="1672"/>
      <c r="X179" s="1672"/>
      <c r="Y179" s="1672"/>
      <c r="Z179" s="1672"/>
      <c r="AA179" s="2144"/>
      <c r="AB179" s="1078"/>
      <c r="AC179" s="1078"/>
      <c r="AD179" s="1078"/>
      <c r="AE179" s="1078"/>
      <c r="AF179" s="2153">
        <v>11</v>
      </c>
    </row>
    <row s="47496" customFormat="1" customHeight="1" ht="11.549999999999999">
      <c r="A180" s="1499"/>
      <c r="B180" s="2148"/>
      <c r="C180" s="2148"/>
      <c r="D180" s="863"/>
      <c r="K180" s="1672"/>
      <c r="L180" s="2148"/>
      <c r="M180" s="2148"/>
      <c r="N180" s="1672"/>
      <c r="O180" s="1672"/>
      <c r="P180" s="1672"/>
      <c r="Q180" s="1672"/>
      <c r="R180" s="2148"/>
      <c r="S180" s="1672"/>
      <c r="T180" s="1672"/>
      <c r="U180" s="1056"/>
      <c r="V180" s="1672"/>
      <c r="W180" s="1672"/>
      <c r="X180" s="1672"/>
      <c r="Y180" s="1672"/>
      <c r="Z180" s="1672"/>
      <c r="AA180" s="2144"/>
      <c r="AB180" s="1078"/>
      <c r="AC180" s="1078"/>
      <c r="AD180" s="1078"/>
      <c r="AE180" s="1078"/>
      <c r="AF180" s="2153">
        <v>11</v>
      </c>
    </row>
    <row s="47496" customFormat="1" customHeight="1" ht="11.549999999999999">
      <c r="A181" s="1499"/>
      <c r="B181" s="2148"/>
      <c r="C181" s="2148"/>
      <c r="D181" s="863"/>
      <c r="K181" s="1672"/>
      <c r="L181" s="2148"/>
      <c r="M181" s="2148"/>
      <c r="N181" s="1672"/>
      <c r="O181" s="1672"/>
      <c r="P181" s="1672"/>
      <c r="Q181" s="1672"/>
      <c r="R181" s="2148"/>
      <c r="S181" s="1672"/>
      <c r="T181" s="1672"/>
      <c r="U181" s="1056"/>
      <c r="V181" s="1672"/>
      <c r="W181" s="1672"/>
      <c r="X181" s="1672"/>
      <c r="Y181" s="1672"/>
      <c r="Z181" s="1672"/>
      <c r="AA181" s="2144"/>
      <c r="AB181" s="1078"/>
      <c r="AC181" s="1078"/>
      <c r="AD181" s="1078"/>
      <c r="AE181" s="1078"/>
      <c r="AF181" s="2153">
        <v>11</v>
      </c>
    </row>
    <row s="47496" customFormat="1" customHeight="1" ht="11.549999999999999">
      <c r="A182" s="1499"/>
      <c r="B182" s="2148"/>
      <c r="C182" s="2148"/>
      <c r="D182" s="863"/>
      <c r="K182" s="1672"/>
      <c r="L182" s="2148"/>
      <c r="M182" s="2148"/>
      <c r="N182" s="1672"/>
      <c r="O182" s="1672"/>
      <c r="P182" s="1672"/>
      <c r="Q182" s="1672"/>
      <c r="R182" s="2148"/>
      <c r="S182" s="1672"/>
      <c r="T182" s="1672"/>
      <c r="U182" s="1056"/>
      <c r="V182" s="1672"/>
      <c r="W182" s="1672"/>
      <c r="X182" s="1672"/>
      <c r="Y182" s="1672"/>
      <c r="Z182" s="1672"/>
      <c r="AA182" s="2144"/>
      <c r="AB182" s="1078"/>
      <c r="AC182" s="1078"/>
      <c r="AD182" s="1078"/>
      <c r="AE182" s="1078"/>
      <c r="AF182" s="2153">
        <v>11</v>
      </c>
    </row>
    <row s="47496" customFormat="1" customHeight="1" ht="11.549999999999999">
      <c r="A183" s="1499"/>
      <c r="B183" s="2148"/>
      <c r="C183" s="2148"/>
      <c r="D183" s="863"/>
      <c r="K183" s="1672"/>
      <c r="L183" s="2148"/>
      <c r="M183" s="2148"/>
      <c r="N183" s="1672"/>
      <c r="O183" s="1672"/>
      <c r="P183" s="1672"/>
      <c r="Q183" s="1672"/>
      <c r="R183" s="2148"/>
      <c r="S183" s="1672"/>
      <c r="T183" s="1672"/>
      <c r="U183" s="1056"/>
      <c r="V183" s="1672"/>
      <c r="W183" s="1672"/>
      <c r="X183" s="1672"/>
      <c r="Y183" s="1672"/>
      <c r="Z183" s="1672"/>
      <c r="AA183" s="2144"/>
      <c r="AB183" s="1078"/>
      <c r="AC183" s="1078"/>
      <c r="AD183" s="1078"/>
      <c r="AE183" s="1078"/>
      <c r="AF183" s="2153">
        <v>11</v>
      </c>
    </row>
    <row s="47496" customFormat="1" customHeight="1" ht="11.549999999999999">
      <c r="A184" s="1499"/>
      <c r="B184" s="2148"/>
      <c r="C184" s="2148"/>
      <c r="D184" s="863"/>
      <c r="K184" s="1672"/>
      <c r="L184" s="2148"/>
      <c r="M184" s="2148"/>
      <c r="N184" s="1672"/>
      <c r="O184" s="1672"/>
      <c r="P184" s="1672"/>
      <c r="Q184" s="1672"/>
      <c r="R184" s="2148"/>
      <c r="S184" s="1672"/>
      <c r="T184" s="1672"/>
      <c r="U184" s="1056"/>
      <c r="V184" s="1672"/>
      <c r="W184" s="1672"/>
      <c r="X184" s="1672"/>
      <c r="Y184" s="1672"/>
      <c r="Z184" s="1672"/>
      <c r="AA184" s="2144"/>
      <c r="AB184" s="1078"/>
      <c r="AC184" s="1078"/>
      <c r="AD184" s="1078"/>
      <c r="AE184" s="1078"/>
      <c r="AF184" s="2153">
        <v>11</v>
      </c>
    </row>
    <row s="47496" customFormat="1" customHeight="1" ht="11.549999999999999">
      <c r="A185" s="1499"/>
      <c r="B185" s="2148"/>
      <c r="C185" s="2148"/>
      <c r="D185" s="863"/>
      <c r="K185" s="1672"/>
      <c r="L185" s="2148"/>
      <c r="M185" s="2148"/>
      <c r="N185" s="1672"/>
      <c r="O185" s="1672"/>
      <c r="P185" s="1672"/>
      <c r="Q185" s="1672"/>
      <c r="R185" s="2148"/>
      <c r="S185" s="1672"/>
      <c r="T185" s="1672"/>
      <c r="U185" s="1056"/>
      <c r="V185" s="1672"/>
      <c r="W185" s="1672"/>
      <c r="X185" s="1672"/>
      <c r="Y185" s="1672"/>
      <c r="Z185" s="1672"/>
      <c r="AA185" s="2144"/>
      <c r="AB185" s="1078"/>
      <c r="AC185" s="1078"/>
      <c r="AD185" s="1078"/>
      <c r="AE185" s="1078"/>
      <c r="AF185" s="2153">
        <v>11</v>
      </c>
    </row>
    <row s="47496" customFormat="1" customHeight="1" ht="11.549999999999999">
      <c r="A186" s="1499"/>
      <c r="B186" s="2148"/>
      <c r="C186" s="2148"/>
      <c r="D186" s="863"/>
      <c r="K186" s="1672"/>
      <c r="L186" s="2148"/>
      <c r="M186" s="2148"/>
      <c r="N186" s="1672"/>
      <c r="O186" s="1672"/>
      <c r="P186" s="1672"/>
      <c r="Q186" s="1672"/>
      <c r="R186" s="2148"/>
      <c r="S186" s="1672"/>
      <c r="T186" s="1672"/>
      <c r="U186" s="1056"/>
      <c r="V186" s="1672"/>
      <c r="W186" s="1672"/>
      <c r="X186" s="1672"/>
      <c r="Y186" s="1672"/>
      <c r="Z186" s="1672"/>
      <c r="AA186" s="2144"/>
      <c r="AB186" s="1078"/>
      <c r="AC186" s="1078"/>
      <c r="AD186" s="1078"/>
      <c r="AE186" s="1078"/>
      <c r="AF186" s="2153">
        <v>11</v>
      </c>
    </row>
    <row s="47496" customFormat="1" customHeight="1" ht="11.549999999999999">
      <c r="A187" s="1499"/>
      <c r="B187" s="2148"/>
      <c r="C187" s="2148"/>
      <c r="D187" s="863"/>
      <c r="K187" s="1672"/>
      <c r="L187" s="2148"/>
      <c r="M187" s="2148"/>
      <c r="N187" s="1672"/>
      <c r="O187" s="1672"/>
      <c r="P187" s="1672"/>
      <c r="Q187" s="1672"/>
      <c r="R187" s="2148"/>
      <c r="S187" s="1672"/>
      <c r="T187" s="1672"/>
      <c r="U187" s="1056"/>
      <c r="V187" s="1672"/>
      <c r="W187" s="1672"/>
      <c r="X187" s="1672"/>
      <c r="Y187" s="1672"/>
      <c r="Z187" s="1672"/>
      <c r="AA187" s="2144"/>
      <c r="AB187" s="1078"/>
      <c r="AC187" s="1078"/>
      <c r="AD187" s="1078"/>
      <c r="AE187" s="1078"/>
      <c r="AF187" s="2153">
        <v>11</v>
      </c>
    </row>
    <row s="47496" customFormat="1" customHeight="1" ht="11.549999999999999">
      <c r="A188" s="1499"/>
      <c r="B188" s="2148"/>
      <c r="C188" s="2148"/>
      <c r="D188" s="863"/>
      <c r="K188" s="1672"/>
      <c r="L188" s="2148"/>
      <c r="M188" s="2148"/>
      <c r="N188" s="1672"/>
      <c r="O188" s="1672"/>
      <c r="P188" s="1672"/>
      <c r="Q188" s="1672"/>
      <c r="R188" s="2148"/>
      <c r="S188" s="1672"/>
      <c r="T188" s="1672"/>
      <c r="U188" s="1056"/>
      <c r="V188" s="1672"/>
      <c r="W188" s="1672"/>
      <c r="X188" s="1672"/>
      <c r="Y188" s="1672"/>
      <c r="Z188" s="1672"/>
      <c r="AA188" s="2144"/>
      <c r="AB188" s="1078"/>
      <c r="AC188" s="1078"/>
      <c r="AD188" s="1078"/>
      <c r="AE188" s="1078"/>
      <c r="AF188" s="2153">
        <v>11</v>
      </c>
    </row>
    <row s="47496" customFormat="1" customHeight="1" ht="11.549999999999999">
      <c r="A189" s="1499"/>
      <c r="B189" s="2148"/>
      <c r="C189" s="2148"/>
      <c r="D189" s="863"/>
      <c r="K189" s="1672"/>
      <c r="L189" s="2148"/>
      <c r="M189" s="2148"/>
      <c r="N189" s="1672"/>
      <c r="O189" s="1672"/>
      <c r="P189" s="1672"/>
      <c r="Q189" s="1672"/>
      <c r="R189" s="2148"/>
      <c r="S189" s="1672"/>
      <c r="T189" s="1672"/>
      <c r="U189" s="1056"/>
      <c r="V189" s="1672"/>
      <c r="W189" s="1672"/>
      <c r="X189" s="1672"/>
      <c r="Y189" s="1672"/>
      <c r="Z189" s="1672"/>
      <c r="AA189" s="2144"/>
      <c r="AB189" s="1078"/>
      <c r="AC189" s="1078"/>
      <c r="AD189" s="1078"/>
      <c r="AE189" s="1078"/>
      <c r="AF189" s="2153">
        <v>11</v>
      </c>
    </row>
    <row s="47496" customFormat="1" customHeight="1" ht="11.549999999999999">
      <c r="A190" s="1499"/>
      <c r="B190" s="2148"/>
      <c r="C190" s="2148"/>
      <c r="D190" s="863"/>
      <c r="K190" s="1672"/>
      <c r="L190" s="2148"/>
      <c r="M190" s="2148"/>
      <c r="N190" s="1672"/>
      <c r="O190" s="1672"/>
      <c r="P190" s="1672"/>
      <c r="Q190" s="1672"/>
      <c r="R190" s="2148"/>
      <c r="S190" s="1672"/>
      <c r="T190" s="1672"/>
      <c r="U190" s="1056"/>
      <c r="V190" s="1672"/>
      <c r="W190" s="1672"/>
      <c r="X190" s="1672"/>
      <c r="Y190" s="1672"/>
      <c r="Z190" s="1672"/>
      <c r="AA190" s="2144"/>
      <c r="AB190" s="1078"/>
      <c r="AC190" s="1078"/>
      <c r="AD190" s="1078"/>
      <c r="AE190" s="1078"/>
      <c r="AF190" s="2153">
        <v>11</v>
      </c>
    </row>
    <row s="47496" customFormat="1" customHeight="1" ht="11.549999999999999">
      <c r="A191" s="1499"/>
      <c r="B191" s="2148"/>
      <c r="C191" s="2148"/>
      <c r="D191" s="863"/>
      <c r="K191" s="1672"/>
      <c r="L191" s="2148"/>
      <c r="M191" s="2148"/>
      <c r="N191" s="1672"/>
      <c r="O191" s="1672"/>
      <c r="P191" s="1672"/>
      <c r="Q191" s="1672"/>
      <c r="R191" s="2148"/>
      <c r="S191" s="1672"/>
      <c r="T191" s="1672"/>
      <c r="U191" s="1056"/>
      <c r="V191" s="1672"/>
      <c r="W191" s="1672"/>
      <c r="X191" s="1672"/>
      <c r="Y191" s="1672"/>
      <c r="Z191" s="1672"/>
      <c r="AA191" s="2144"/>
      <c r="AB191" s="1078"/>
      <c r="AC191" s="1078"/>
      <c r="AD191" s="1078"/>
      <c r="AE191" s="1078"/>
      <c r="AF191" s="2153">
        <v>11</v>
      </c>
    </row>
    <row s="47496" customFormat="1" customHeight="1" ht="11.549999999999999">
      <c r="A192" s="1499"/>
      <c r="B192" s="2148"/>
      <c r="C192" s="2148"/>
      <c r="D192" s="863"/>
      <c r="K192" s="1672"/>
      <c r="L192" s="2148"/>
      <c r="M192" s="2148"/>
      <c r="N192" s="1672"/>
      <c r="O192" s="1672"/>
      <c r="P192" s="1672"/>
      <c r="Q192" s="1672"/>
      <c r="R192" s="2148"/>
      <c r="S192" s="1672"/>
      <c r="T192" s="1672"/>
      <c r="U192" s="1056"/>
      <c r="V192" s="1672"/>
      <c r="W192" s="1672"/>
      <c r="X192" s="1672"/>
      <c r="Y192" s="1672"/>
      <c r="Z192" s="1672"/>
      <c r="AA192" s="2144"/>
      <c r="AB192" s="1078"/>
      <c r="AC192" s="1078"/>
      <c r="AD192" s="1078"/>
      <c r="AE192" s="1078"/>
      <c r="AF192" s="2153">
        <v>11</v>
      </c>
    </row>
    <row s="47496" customFormat="1" customHeight="1" ht="11.549999999999999">
      <c r="A193" s="1499"/>
      <c r="B193" s="2148"/>
      <c r="C193" s="2148"/>
      <c r="D193" s="863"/>
      <c r="K193" s="1672"/>
      <c r="L193" s="2148"/>
      <c r="M193" s="2148"/>
      <c r="N193" s="1672"/>
      <c r="O193" s="1672"/>
      <c r="P193" s="1672"/>
      <c r="Q193" s="1672"/>
      <c r="R193" s="2148"/>
      <c r="S193" s="1672"/>
      <c r="T193" s="1672"/>
      <c r="U193" s="1056"/>
      <c r="V193" s="1672"/>
      <c r="W193" s="1672"/>
      <c r="X193" s="1672"/>
      <c r="Y193" s="1672"/>
      <c r="Z193" s="1672"/>
      <c r="AA193" s="2144"/>
      <c r="AB193" s="1078"/>
      <c r="AC193" s="1078"/>
      <c r="AD193" s="1078"/>
      <c r="AE193" s="1078"/>
      <c r="AF193" s="2153">
        <v>11</v>
      </c>
    </row>
    <row s="47496" customFormat="1" customHeight="1" ht="11.549999999999999">
      <c r="A194" s="1499"/>
      <c r="B194" s="2148"/>
      <c r="C194" s="2148"/>
      <c r="D194" s="863"/>
      <c r="K194" s="1672"/>
      <c r="L194" s="2148"/>
      <c r="M194" s="2148"/>
      <c r="N194" s="1672"/>
      <c r="O194" s="1672"/>
      <c r="P194" s="1672"/>
      <c r="Q194" s="1672"/>
      <c r="R194" s="2148"/>
      <c r="S194" s="1672"/>
      <c r="T194" s="1672"/>
      <c r="U194" s="1056"/>
      <c r="V194" s="1672"/>
      <c r="W194" s="1672"/>
      <c r="X194" s="1672"/>
      <c r="Y194" s="1672"/>
      <c r="Z194" s="1672"/>
      <c r="AA194" s="2144"/>
      <c r="AB194" s="1078"/>
      <c r="AC194" s="1078"/>
      <c r="AD194" s="1078"/>
      <c r="AE194" s="1078"/>
      <c r="AF194" s="2153">
        <v>11</v>
      </c>
    </row>
    <row s="47496" customFormat="1" customHeight="1" ht="11.549999999999999">
      <c r="A195" s="1499"/>
      <c r="B195" s="2148"/>
      <c r="C195" s="2148"/>
      <c r="D195" s="863"/>
      <c r="K195" s="1672"/>
      <c r="L195" s="2148"/>
      <c r="M195" s="2148"/>
      <c r="N195" s="1672"/>
      <c r="O195" s="1672"/>
      <c r="P195" s="1672"/>
      <c r="Q195" s="1672"/>
      <c r="R195" s="2148"/>
      <c r="S195" s="1672"/>
      <c r="T195" s="1672"/>
      <c r="U195" s="1056"/>
      <c r="V195" s="1672"/>
      <c r="W195" s="1672"/>
      <c r="X195" s="1672"/>
      <c r="Y195" s="1672"/>
      <c r="Z195" s="1672"/>
      <c r="AA195" s="2144"/>
      <c r="AB195" s="1078"/>
      <c r="AC195" s="1078"/>
      <c r="AD195" s="1078"/>
      <c r="AE195" s="1078"/>
      <c r="AF195" s="2153">
        <v>11</v>
      </c>
    </row>
    <row s="47496" customFormat="1" customHeight="1" ht="11.549999999999999">
      <c r="A196" s="1499"/>
      <c r="B196" s="2148"/>
      <c r="C196" s="2148"/>
      <c r="D196" s="863"/>
      <c r="K196" s="1672"/>
      <c r="L196" s="2148"/>
      <c r="M196" s="2148"/>
      <c r="N196" s="1672"/>
      <c r="O196" s="1672"/>
      <c r="P196" s="1672"/>
      <c r="Q196" s="1672"/>
      <c r="R196" s="2148"/>
      <c r="S196" s="1672"/>
      <c r="T196" s="1672"/>
      <c r="U196" s="1056"/>
      <c r="V196" s="1672"/>
      <c r="W196" s="1672"/>
      <c r="X196" s="1672"/>
      <c r="Y196" s="1672"/>
      <c r="Z196" s="1672"/>
      <c r="AA196" s="2144"/>
      <c r="AB196" s="1078"/>
      <c r="AC196" s="1078"/>
      <c r="AD196" s="1078"/>
      <c r="AE196" s="1078"/>
      <c r="AF196" s="2153">
        <v>11</v>
      </c>
    </row>
    <row s="47496" customFormat="1" customHeight="1" ht="11.549999999999999">
      <c r="A197" s="1499"/>
      <c r="B197" s="2148"/>
      <c r="C197" s="2148"/>
      <c r="D197" s="863"/>
      <c r="K197" s="1672"/>
      <c r="L197" s="2148"/>
      <c r="M197" s="2148"/>
      <c r="N197" s="1672"/>
      <c r="O197" s="1672"/>
      <c r="P197" s="1672"/>
      <c r="Q197" s="1672"/>
      <c r="R197" s="2148"/>
      <c r="S197" s="1672"/>
      <c r="T197" s="1672"/>
      <c r="U197" s="1056"/>
      <c r="V197" s="1672"/>
      <c r="W197" s="1672"/>
      <c r="X197" s="1672"/>
      <c r="Y197" s="1672"/>
      <c r="Z197" s="1672"/>
      <c r="AA197" s="2144"/>
      <c r="AB197" s="1078"/>
      <c r="AC197" s="1078"/>
      <c r="AD197" s="1078"/>
      <c r="AE197" s="1078"/>
      <c r="AF197" s="2153">
        <v>11</v>
      </c>
    </row>
    <row s="47496" customFormat="1" customHeight="1" ht="11.549999999999999">
      <c r="A198" s="1499"/>
      <c r="B198" s="2148"/>
      <c r="C198" s="2148"/>
      <c r="D198" s="863"/>
      <c r="K198" s="1672"/>
      <c r="L198" s="2148"/>
      <c r="M198" s="2148"/>
      <c r="N198" s="1672"/>
      <c r="O198" s="1672"/>
      <c r="P198" s="1672"/>
      <c r="Q198" s="1672"/>
      <c r="R198" s="2148"/>
      <c r="S198" s="1672"/>
      <c r="T198" s="1672"/>
      <c r="U198" s="1056"/>
      <c r="V198" s="1672"/>
      <c r="W198" s="1672"/>
      <c r="X198" s="1672"/>
      <c r="Y198" s="1672"/>
      <c r="Z198" s="1672"/>
      <c r="AA198" s="2144"/>
      <c r="AB198" s="1078"/>
      <c r="AC198" s="1078"/>
      <c r="AD198" s="1078"/>
      <c r="AE198" s="1078"/>
      <c r="AF198" s="2153">
        <v>11</v>
      </c>
    </row>
    <row s="47496" customFormat="1" customHeight="1" ht="11.549999999999999">
      <c r="A199" s="1499"/>
      <c r="B199" s="2148"/>
      <c r="C199" s="2148"/>
      <c r="D199" s="863"/>
      <c r="K199" s="1672"/>
      <c r="L199" s="2148"/>
      <c r="M199" s="2148"/>
      <c r="N199" s="1672"/>
      <c r="O199" s="1672"/>
      <c r="P199" s="1672"/>
      <c r="Q199" s="1672"/>
      <c r="R199" s="2148"/>
      <c r="S199" s="1672"/>
      <c r="T199" s="1672"/>
      <c r="U199" s="1056"/>
      <c r="V199" s="1672"/>
      <c r="W199" s="1672"/>
      <c r="X199" s="1672"/>
      <c r="Y199" s="1672"/>
      <c r="Z199" s="1672"/>
      <c r="AA199" s="2144"/>
      <c r="AB199" s="1078"/>
      <c r="AC199" s="1078"/>
      <c r="AD199" s="1078"/>
      <c r="AE199" s="1078"/>
      <c r="AF199" s="2153">
        <v>11</v>
      </c>
    </row>
    <row s="47496" customFormat="1" customHeight="1" ht="11.549999999999999">
      <c r="A200" s="1499"/>
      <c r="B200" s="2148"/>
      <c r="C200" s="2148"/>
      <c r="D200" s="863"/>
      <c r="K200" s="1672"/>
      <c r="L200" s="2148"/>
      <c r="M200" s="2148"/>
      <c r="N200" s="1672"/>
      <c r="O200" s="1672"/>
      <c r="P200" s="1672"/>
      <c r="Q200" s="1672"/>
      <c r="R200" s="2148"/>
      <c r="S200" s="1672"/>
      <c r="T200" s="1672"/>
      <c r="U200" s="1056"/>
      <c r="V200" s="1672"/>
      <c r="W200" s="1672"/>
      <c r="X200" s="1672"/>
      <c r="Y200" s="1672"/>
      <c r="Z200" s="1672"/>
      <c r="AA200" s="2144"/>
      <c r="AB200" s="1078"/>
      <c r="AC200" s="1078"/>
      <c r="AD200" s="1078"/>
      <c r="AE200" s="1078"/>
      <c r="AF200" s="2153">
        <v>11</v>
      </c>
    </row>
    <row s="47496" customFormat="1" customHeight="1" ht="11.549999999999999">
      <c r="A201" s="1499"/>
      <c r="B201" s="2148"/>
      <c r="C201" s="2148"/>
      <c r="D201" s="863"/>
      <c r="K201" s="1672"/>
      <c r="L201" s="2148"/>
      <c r="M201" s="2148"/>
      <c r="N201" s="1672"/>
      <c r="O201" s="1672"/>
      <c r="P201" s="1672"/>
      <c r="Q201" s="1672"/>
      <c r="R201" s="2148"/>
      <c r="S201" s="1672"/>
      <c r="T201" s="1672"/>
      <c r="U201" s="1056"/>
      <c r="V201" s="1672"/>
      <c r="W201" s="1672"/>
      <c r="X201" s="1672"/>
      <c r="Y201" s="1672"/>
      <c r="Z201" s="1672"/>
      <c r="AA201" s="2144"/>
      <c r="AB201" s="1078"/>
      <c r="AC201" s="1078"/>
      <c r="AD201" s="1078"/>
      <c r="AE201" s="1078"/>
      <c r="AF201" s="2153">
        <v>11</v>
      </c>
    </row>
    <row s="47496" customFormat="1" customHeight="1" ht="11.549999999999999">
      <c r="A202" s="1499"/>
      <c r="B202" s="2148"/>
      <c r="C202" s="2148"/>
      <c r="D202" s="863"/>
      <c r="K202" s="1672"/>
      <c r="L202" s="2148"/>
      <c r="M202" s="2148"/>
      <c r="N202" s="1672"/>
      <c r="O202" s="1672"/>
      <c r="P202" s="1672"/>
      <c r="Q202" s="1672"/>
      <c r="R202" s="2148"/>
      <c r="S202" s="1672"/>
      <c r="T202" s="1672"/>
      <c r="U202" s="1056"/>
      <c r="V202" s="1672"/>
      <c r="W202" s="1672"/>
      <c r="X202" s="1672"/>
      <c r="Y202" s="1672"/>
      <c r="Z202" s="1672"/>
      <c r="AA202" s="2144"/>
      <c r="AB202" s="1078"/>
      <c r="AC202" s="1078"/>
      <c r="AD202" s="1078"/>
      <c r="AE202" s="1078"/>
      <c r="AF202" s="2153">
        <v>11</v>
      </c>
    </row>
    <row customHeight="1" ht="11.549999999999999">
      <c r="AF203" s="2143">
        <v>11</v>
      </c>
    </row>
    <row customHeight="1" ht="11.549999999999999">
      <c r="AF204" s="2143">
        <v>11</v>
      </c>
    </row>
    <row customHeight="1" ht="11.549999999999999">
      <c r="AF205" s="2143">
        <v>11</v>
      </c>
    </row>
    <row customHeight="1" ht="11.549999999999999">
      <c r="A206" s="1502"/>
      <c r="B206" s="2143"/>
      <c r="D206" s="2143"/>
      <c r="K206" s="2143"/>
      <c r="N206" s="2143"/>
      <c r="O206" s="2143"/>
      <c r="P206" s="2143"/>
      <c r="Q206" s="2143"/>
      <c r="S206" s="2143"/>
      <c r="T206" s="2143"/>
      <c r="U206" s="2143"/>
      <c r="V206" s="2143"/>
      <c r="W206" s="2143"/>
      <c r="X206" s="2143"/>
      <c r="Y206" s="2143"/>
      <c r="Z206" s="2143"/>
      <c r="AA206" s="2143"/>
      <c r="AB206" s="2143"/>
      <c r="AC206" s="2143"/>
      <c r="AD206" s="2143"/>
      <c r="AE206" s="2143"/>
      <c r="AF206" s="2143">
        <v>11</v>
      </c>
    </row>
    <row customHeight="1" ht="11.549999999999999">
      <c r="A207" s="1502"/>
      <c r="B207" s="2143"/>
      <c r="D207" s="2143"/>
      <c r="K207" s="2143"/>
      <c r="N207" s="2143"/>
      <c r="O207" s="2143"/>
      <c r="P207" s="2143"/>
      <c r="Q207" s="2143"/>
      <c r="S207" s="2143"/>
      <c r="T207" s="2143"/>
      <c r="U207" s="2143"/>
      <c r="V207" s="2143"/>
      <c r="W207" s="2143"/>
      <c r="X207" s="2143"/>
      <c r="Y207" s="2143"/>
      <c r="Z207" s="2143"/>
      <c r="AA207" s="2143"/>
      <c r="AB207" s="2143"/>
      <c r="AC207" s="2143"/>
      <c r="AD207" s="2143"/>
      <c r="AE207" s="2143"/>
      <c r="AF207" s="2143">
        <v>11</v>
      </c>
    </row>
    <row customHeight="1" ht="11.549999999999999">
      <c r="A208" s="1502"/>
      <c r="B208" s="2143"/>
      <c r="D208" s="2143"/>
      <c r="K208" s="2143"/>
      <c r="N208" s="2143"/>
      <c r="O208" s="2143"/>
      <c r="P208" s="2143"/>
      <c r="Q208" s="2143"/>
      <c r="S208" s="2143"/>
      <c r="T208" s="2143"/>
      <c r="U208" s="2143"/>
      <c r="V208" s="2143"/>
      <c r="W208" s="2143"/>
      <c r="X208" s="2143"/>
      <c r="Y208" s="2143"/>
      <c r="Z208" s="2143"/>
      <c r="AA208" s="2143"/>
      <c r="AB208" s="2143"/>
      <c r="AC208" s="2143"/>
      <c r="AD208" s="2143"/>
      <c r="AE208" s="2143"/>
      <c r="AF208" s="2143">
        <v>11</v>
      </c>
    </row>
    <row customHeight="1" ht="11.549999999999999">
      <c r="A209" s="1502"/>
      <c r="B209" s="2143"/>
      <c r="D209" s="2143"/>
      <c r="K209" s="2143"/>
      <c r="N209" s="2143"/>
      <c r="O209" s="2143"/>
      <c r="P209" s="2143"/>
      <c r="Q209" s="2143"/>
      <c r="S209" s="2143"/>
      <c r="T209" s="2143"/>
      <c r="U209" s="2143"/>
      <c r="V209" s="2143"/>
      <c r="W209" s="2143"/>
      <c r="X209" s="2143"/>
      <c r="Y209" s="2143"/>
      <c r="Z209" s="2143"/>
      <c r="AA209" s="2143"/>
      <c r="AB209" s="2143"/>
      <c r="AC209" s="2143"/>
      <c r="AD209" s="2143"/>
      <c r="AE209" s="2143"/>
      <c r="AF209" s="2143">
        <v>11</v>
      </c>
    </row>
    <row customHeight="1" ht="11.549999999999999">
      <c r="A210" s="1502"/>
      <c r="B210" s="2143"/>
      <c r="D210" s="2143"/>
      <c r="K210" s="2143"/>
      <c r="N210" s="2143"/>
      <c r="O210" s="2143"/>
      <c r="P210" s="2143"/>
      <c r="Q210" s="2143"/>
      <c r="S210" s="2143"/>
      <c r="T210" s="2143"/>
      <c r="U210" s="2143"/>
      <c r="V210" s="2143"/>
      <c r="W210" s="2143"/>
      <c r="X210" s="2143"/>
      <c r="Y210" s="2143"/>
      <c r="Z210" s="2143"/>
      <c r="AA210" s="2143"/>
      <c r="AB210" s="2143"/>
      <c r="AC210" s="2143"/>
      <c r="AD210" s="2143"/>
      <c r="AE210" s="2143"/>
      <c r="AF210" s="2143">
        <v>11</v>
      </c>
    </row>
    <row customHeight="1" ht="11.549999999999999">
      <c r="A211" s="1502"/>
      <c r="B211" s="2143"/>
      <c r="D211" s="2143"/>
      <c r="K211" s="2143"/>
      <c r="N211" s="2143"/>
      <c r="O211" s="2143"/>
      <c r="P211" s="2143"/>
      <c r="Q211" s="2143"/>
      <c r="S211" s="2143"/>
      <c r="T211" s="2143"/>
      <c r="U211" s="2143"/>
      <c r="V211" s="2143"/>
      <c r="W211" s="2143"/>
      <c r="X211" s="2143"/>
      <c r="Y211" s="2143"/>
      <c r="Z211" s="2143"/>
      <c r="AA211" s="2143"/>
      <c r="AB211" s="2143"/>
      <c r="AC211" s="2143"/>
      <c r="AD211" s="2143"/>
      <c r="AE211" s="2143"/>
      <c r="AF211" s="2143">
        <v>11</v>
      </c>
    </row>
    <row customHeight="1" ht="11.549999999999999">
      <c r="A212" s="1502"/>
      <c r="B212" s="2143"/>
      <c r="D212" s="2143"/>
      <c r="K212" s="2143"/>
      <c r="N212" s="2143"/>
      <c r="O212" s="2143"/>
      <c r="P212" s="2143"/>
      <c r="Q212" s="2143"/>
      <c r="S212" s="2143"/>
      <c r="T212" s="2143"/>
      <c r="U212" s="2143"/>
      <c r="V212" s="2143"/>
      <c r="W212" s="2143"/>
      <c r="X212" s="2143"/>
      <c r="Y212" s="2143"/>
      <c r="Z212" s="2143"/>
      <c r="AA212" s="2143"/>
      <c r="AB212" s="2143"/>
      <c r="AC212" s="2143"/>
      <c r="AD212" s="2143"/>
      <c r="AE212" s="2143"/>
      <c r="AF212" s="2143">
        <v>11</v>
      </c>
    </row>
    <row customHeight="1" ht="11.549999999999999">
      <c r="A213" s="1502"/>
      <c r="B213" s="2143"/>
      <c r="D213" s="2143"/>
      <c r="K213" s="2143"/>
      <c r="N213" s="2143"/>
      <c r="O213" s="2143"/>
      <c r="P213" s="2143"/>
      <c r="Q213" s="2143"/>
      <c r="S213" s="2143"/>
      <c r="T213" s="2143"/>
      <c r="U213" s="2143"/>
      <c r="V213" s="2143"/>
      <c r="W213" s="2143"/>
      <c r="X213" s="2143"/>
      <c r="Y213" s="2143"/>
      <c r="Z213" s="2143"/>
      <c r="AA213" s="2143"/>
      <c r="AB213" s="2143"/>
      <c r="AC213" s="2143"/>
      <c r="AD213" s="2143"/>
      <c r="AE213" s="2143"/>
      <c r="AF213" s="2143">
        <v>11</v>
      </c>
    </row>
    <row customHeight="1" ht="11.549999999999999">
      <c r="A214" s="1502"/>
      <c r="B214" s="2143"/>
      <c r="D214" s="2143"/>
      <c r="K214" s="2143"/>
      <c r="N214" s="2143"/>
      <c r="O214" s="2143"/>
      <c r="P214" s="2143"/>
      <c r="Q214" s="2143"/>
      <c r="S214" s="2143"/>
      <c r="T214" s="2143"/>
      <c r="U214" s="2143"/>
      <c r="V214" s="2143"/>
      <c r="W214" s="2143"/>
      <c r="X214" s="2143"/>
      <c r="Y214" s="2143"/>
      <c r="Z214" s="2143"/>
      <c r="AA214" s="2143"/>
      <c r="AB214" s="2143"/>
      <c r="AC214" s="2143"/>
      <c r="AD214" s="2143"/>
      <c r="AE214" s="2143"/>
      <c r="AF214" s="2143">
        <v>11</v>
      </c>
    </row>
    <row customHeight="1" ht="11.549999999999999">
      <c r="A215" s="1502"/>
      <c r="B215" s="2143"/>
      <c r="D215" s="2143"/>
      <c r="K215" s="2143"/>
      <c r="N215" s="2143"/>
      <c r="O215" s="2143"/>
      <c r="P215" s="2143"/>
      <c r="Q215" s="2143"/>
      <c r="S215" s="2143"/>
      <c r="T215" s="2143"/>
      <c r="U215" s="2143"/>
      <c r="V215" s="2143"/>
      <c r="W215" s="2143"/>
      <c r="X215" s="2143"/>
      <c r="Y215" s="2143"/>
      <c r="Z215" s="2143"/>
      <c r="AA215" s="2143"/>
      <c r="AB215" s="2143"/>
      <c r="AC215" s="2143"/>
      <c r="AD215" s="2143"/>
      <c r="AE215" s="2143"/>
      <c r="AF215" s="2143">
        <v>11</v>
      </c>
    </row>
    <row customHeight="1" ht="11.549999999999999">
      <c r="A216" s="1502"/>
      <c r="B216" s="2143"/>
      <c r="D216" s="2143"/>
      <c r="K216" s="2143"/>
      <c r="N216" s="2143"/>
      <c r="O216" s="2143"/>
      <c r="P216" s="2143"/>
      <c r="Q216" s="2143"/>
      <c r="S216" s="2143"/>
      <c r="T216" s="2143"/>
      <c r="U216" s="2143"/>
      <c r="V216" s="2143"/>
      <c r="W216" s="2143"/>
      <c r="X216" s="2143"/>
      <c r="Y216" s="2143"/>
      <c r="Z216" s="2143"/>
      <c r="AA216" s="2143"/>
      <c r="AB216" s="2143"/>
      <c r="AC216" s="2143"/>
      <c r="AD216" s="2143"/>
      <c r="AE216" s="2143"/>
      <c r="AF216" s="2143">
        <v>11</v>
      </c>
    </row>
    <row customHeight="1" ht="11.25" hidden="1">
      <c r="A217" s="1499" t="s">
        <v>84</v>
      </c>
      <c r="B217" s="1672">
        <v>0</v>
      </c>
      <c r="C217" s="2148">
        <v>0</v>
      </c>
      <c r="D217" s="2147">
        <v>3</v>
      </c>
      <c r="E217" s="2143">
        <v>7</v>
      </c>
      <c r="F217" s="2143">
        <v>56</v>
      </c>
      <c r="G217" s="2143">
        <v>10</v>
      </c>
      <c r="H217" s="2143">
        <v>0</v>
      </c>
      <c r="I217" s="2143">
        <v>40</v>
      </c>
      <c r="J217" s="2143">
        <v>102</v>
      </c>
      <c r="K217" s="1672">
        <v>9</v>
      </c>
      <c r="L217" s="2148">
        <v>5</v>
      </c>
      <c r="M217" s="2148">
        <v>3</v>
      </c>
      <c r="N217" s="1672">
        <v>3</v>
      </c>
      <c r="O217" s="1672">
        <v>3</v>
      </c>
      <c r="P217" s="1672">
        <v>3</v>
      </c>
      <c r="Q217" s="1672">
        <v>3</v>
      </c>
      <c r="R217" s="2148">
        <v>10</v>
      </c>
      <c r="S217" s="1672">
        <v>34</v>
      </c>
      <c r="T217" s="1672">
        <v>9</v>
      </c>
      <c r="U217" s="1056">
        <v>8</v>
      </c>
      <c r="V217" s="1672">
        <v>8</v>
      </c>
      <c r="W217" s="1672">
        <v>8</v>
      </c>
      <c r="X217" s="1672">
        <v>8</v>
      </c>
      <c r="Y217" s="1672">
        <v>8</v>
      </c>
      <c r="Z217" s="1672">
        <v>8</v>
      </c>
      <c r="AA217" s="2144">
        <v>8</v>
      </c>
      <c r="AB217" s="2144">
        <v>8</v>
      </c>
      <c r="AC217" s="2144">
        <v>8</v>
      </c>
      <c r="AD217" s="2144">
        <v>8</v>
      </c>
      <c r="AE217" s="2144">
        <v>8</v>
      </c>
      <c r="AF217" s="2143">
        <v>11</v>
      </c>
    </row>
  </sheetData>
  <sheetProtection formatColumns="0" formatRows="0" autoFilter="0" sort="0" insertRows="0" insertColumns="1" deleteRows="0" deleteColumns="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A00BDCB-312E-8AFE-F75C-0BA2CB1F217B}" mc:Ignorable="x14ac xr xr2 xr3">
  <sheetPr>
    <tabColor theme="9" tint="-0.25"/>
  </sheetPr>
  <dimension ref="A1:AF210"/>
  <sheetViews>
    <sheetView topLeftCell="A1" showGridLines="0" zoomScale="90" workbookViewId="0">
      <selection activeCell="A1" sqref="A1"/>
    </sheetView>
  </sheetViews>
  <sheetFormatPr defaultColWidth="9.140625" customHeight="1" defaultRowHeight="11.25"/>
  <cols>
    <col min="1" max="1" style="54680" width="10.7109375" hidden="1" customWidth="1"/>
    <col min="2" max="2" style="46889" width="16.8515625" hidden="1" customWidth="1"/>
    <col min="3" max="3" style="46890" width="5.57421875" hidden="1" customWidth="1"/>
    <col min="4" max="4" style="46808" width="3.00390625" customWidth="1"/>
    <col min="5" max="5" style="46808" width="7.00390625" customWidth="1"/>
    <col min="6" max="6" style="46808" width="54.00390625" customWidth="1"/>
    <col min="7" max="7" style="46808" width="10.00390625" customWidth="1"/>
    <col min="8" max="8" style="46808" width="40.7109375" hidden="1" customWidth="1"/>
    <col min="9" max="9" style="46808" width="40.00390625" customWidth="1"/>
    <col min="10" max="10" style="46808" width="102.00390625" customWidth="1"/>
    <col min="11" max="11" style="46889" width="9.00390625" customWidth="1"/>
    <col min="12" max="12" style="46890" width="5.00390625" customWidth="1"/>
    <col min="13" max="13" style="46890" width="3.00390625" customWidth="1"/>
    <col min="14" max="17" style="46889" width="3.00390625" customWidth="1"/>
    <col min="18" max="18" style="46890" width="10.00390625" customWidth="1"/>
    <col min="19" max="19" style="46889" width="34.00390625" customWidth="1"/>
    <col min="20" max="20" style="46889" width="9.00390625" customWidth="1"/>
    <col min="21" max="21" style="54681" width="8.00390625" customWidth="1"/>
    <col min="22" max="26" style="46889" width="8.00390625" customWidth="1"/>
    <col min="27" max="31" style="46772" width="8.00390625" customWidth="1"/>
    <col min="32" max="32" style="46808" width="9.140625" hidden="1"/>
  </cols>
  <sheetData>
    <row s="46889" customFormat="1" customHeight="1" ht="22.5" hidden="1">
      <c r="A1" s="1499"/>
      <c r="C1" s="2148"/>
      <c r="D1" s="1049"/>
      <c r="H1" s="1672">
        <v>4</v>
      </c>
      <c r="I1" s="1672">
        <v>4</v>
      </c>
      <c r="L1" s="2148"/>
      <c r="M1" s="2148"/>
      <c r="R1" s="2148"/>
      <c r="AF1" s="1672" t="s">
        <v>14</v>
      </c>
    </row>
    <row s="46889" customFormat="1" customHeight="1" ht="22.5" hidden="1">
      <c r="A2" s="1499"/>
      <c r="C2" s="2148"/>
      <c r="D2" s="1050"/>
      <c r="E2" s="2170"/>
      <c r="F2" s="1052"/>
      <c r="G2" s="2169" t="s">
        <v>669</v>
      </c>
      <c r="H2" s="1053"/>
      <c r="I2" s="1053"/>
      <c r="J2" s="1054" t="s">
        <v>672</v>
      </c>
      <c r="K2" s="1055"/>
      <c r="L2" s="2148"/>
      <c r="M2" s="2148"/>
      <c r="R2" s="2148"/>
      <c r="U2" s="1056"/>
      <c r="AA2" s="2144"/>
      <c r="AB2" s="2144"/>
      <c r="AC2" s="2144"/>
      <c r="AD2" s="2144"/>
      <c r="AE2" s="2144"/>
      <c r="AF2" s="1672">
        <v>0</v>
      </c>
    </row>
    <row customHeight="1" ht="11.25" hidden="1">
      <c r="AF3" s="2143">
        <v>0</v>
      </c>
    </row>
    <row s="46772" customFormat="1" customHeight="1" ht="11.25" hidden="1">
      <c r="A4" s="1499"/>
      <c r="B4" s="1672"/>
      <c r="C4" s="2148"/>
      <c r="D4" s="874"/>
      <c r="J4" s="2144">
        <v>4</v>
      </c>
      <c r="K4" s="1672"/>
      <c r="L4" s="2148"/>
      <c r="M4" s="2148"/>
      <c r="N4" s="1672"/>
      <c r="O4" s="1672"/>
      <c r="P4" s="1672"/>
      <c r="Q4" s="1672"/>
      <c r="R4" s="2148"/>
      <c r="S4" s="1672"/>
      <c r="T4" s="1672"/>
      <c r="U4" s="1056"/>
      <c r="V4" s="1672"/>
      <c r="W4" s="1672"/>
      <c r="X4" s="1672"/>
      <c r="Y4" s="1672"/>
      <c r="Z4" s="1672"/>
      <c r="AF4" s="2144">
        <v>0</v>
      </c>
    </row>
    <row customHeight="1" ht="11.549999999999999">
      <c r="AF5" s="2143">
        <v>11</v>
      </c>
    </row>
    <row customHeight="1" ht="33.75">
      <c r="E6" s="2760" t="s">
        <v>891</v>
      </c>
      <c r="F6" s="2760"/>
      <c r="G6" s="2760"/>
      <c r="H6" s="2760"/>
      <c r="I6" s="2760"/>
      <c r="J6" s="1068"/>
      <c r="AF6" s="2143">
        <v>32</v>
      </c>
    </row>
    <row customHeight="1" ht="25.2">
      <c r="E7" s="2761" t="str">
        <f>IF(org=0,"Не определено",org)</f>
        <v>КГУП "Примтеплоэнерго"</v>
      </c>
      <c r="F7" s="2761"/>
      <c r="G7" s="2761"/>
      <c r="H7" s="2761"/>
      <c r="I7" s="2761"/>
      <c r="AF7" s="2143">
        <v>24</v>
      </c>
    </row>
    <row customHeight="1" ht="11.549999999999999">
      <c r="E8" s="1647"/>
      <c r="F8" s="1647"/>
      <c r="G8" s="1647"/>
      <c r="H8" s="1647"/>
      <c r="I8" s="1647"/>
      <c r="AF8" s="2143">
        <v>11</v>
      </c>
    </row>
    <row s="46890" customFormat="1" customHeight="1" ht="1.05">
      <c r="A9" s="1679"/>
      <c r="D9" s="2154"/>
      <c r="H9" s="1401"/>
      <c r="I9" s="1401" t="s">
        <v>173</v>
      </c>
      <c r="AF9" s="2148">
        <v>1</v>
      </c>
    </row>
    <row customHeight="1" ht="11.549999999999999">
      <c r="E10" s="1223"/>
      <c r="F10" s="2879" t="s">
        <v>165</v>
      </c>
      <c r="G10" s="2880"/>
      <c r="H10" s="2171" t="str">
        <f>IF(H9="","",INDEX(DIFFERENTIATION_UNMERGE_VD,MATCH(H9,DIFFERENTIATION_ID_DIFF,0)))</f>
        <v/>
      </c>
      <c r="I10" s="2171">
        <f>IF(I9="","",INDEX(DIFFERENTIATION_UNMERGE_VD,MATCH(I9,DIFFERENTIATION_ID_DIFF,0)))</f>
        <v>0</v>
      </c>
      <c r="J10" s="2639"/>
      <c r="AF10" s="2143">
        <v>11</v>
      </c>
    </row>
    <row customHeight="1" ht="11.549999999999999">
      <c r="E11" s="1223"/>
      <c r="F11" s="2879" t="s">
        <v>681</v>
      </c>
      <c r="G11" s="2880"/>
      <c r="H11" s="2171" t="str">
        <f>IF(H9="","",INDEX(DIFFERENTIATION_UNMERGE_AREA,MATCH(H9,DIFFERENTIATION_ID_DIFF,0)))</f>
        <v/>
      </c>
      <c r="I11" s="2171" t="str">
        <f>IF(I9="","",INDEX(DIFFERENTIATION_UNMERGE_AREA,MATCH(I9,DIFFERENTIATION_ID_DIFF,0)))</f>
        <v/>
      </c>
      <c r="J11" s="2639"/>
      <c r="AF11" s="2143">
        <v>11</v>
      </c>
    </row>
    <row customHeight="1" ht="11.25" hidden="1">
      <c r="E12" s="2174"/>
      <c r="F12" s="2902" t="s">
        <v>682</v>
      </c>
      <c r="G12" s="2903"/>
      <c r="H12" s="2175" t="str">
        <f>IF(H9="","",INDEX(DIFFERENTIATION_UNMERGE_SYSTEM,MATCH(H9,DIFFERENTIATION_ID_DIFF,0)))</f>
        <v/>
      </c>
      <c r="I12" s="2175" t="str">
        <f>IF(I9="","",INDEX(DIFFERENTIATION_UNMERGE_SYSTEM,MATCH(I9,DIFFERENTIATION_ID_DIFF,0)))</f>
        <v>без дифференциации</v>
      </c>
      <c r="J12" s="2639"/>
      <c r="AF12" s="2143">
        <v>0</v>
      </c>
    </row>
    <row customHeight="1" ht="11.549999999999999">
      <c r="E13" s="2881" t="s">
        <v>418</v>
      </c>
      <c r="F13" s="2882"/>
      <c r="G13" s="2882"/>
      <c r="H13" s="2168"/>
      <c r="I13" s="2168"/>
      <c r="J13" s="2639"/>
      <c r="AF13" s="2143">
        <v>11</v>
      </c>
    </row>
    <row customHeight="1" ht="24">
      <c r="E14" s="2169" t="s">
        <v>90</v>
      </c>
      <c r="F14" s="2172" t="s">
        <v>420</v>
      </c>
      <c r="G14" s="2172" t="s">
        <v>683</v>
      </c>
      <c r="H14" s="2172" t="s">
        <v>421</v>
      </c>
      <c r="I14" s="2172" t="s">
        <v>421</v>
      </c>
      <c r="J14" s="2639"/>
      <c r="AF14" s="2143">
        <v>23</v>
      </c>
    </row>
    <row customHeight="1" ht="19.95">
      <c r="D15" s="2150"/>
      <c r="E15" s="2142" t="s">
        <v>101</v>
      </c>
      <c r="F15" s="1219" t="s">
        <v>892</v>
      </c>
      <c r="G15" s="2169" t="s">
        <v>669</v>
      </c>
      <c r="H15" s="1069"/>
      <c r="I15" s="1069"/>
      <c r="J15" s="801" t="s">
        <v>893</v>
      </c>
      <c r="K15" s="1055" t="s">
        <v>747</v>
      </c>
      <c r="AF15" s="2143">
        <v>19</v>
      </c>
    </row>
    <row customHeight="1" ht="24">
      <c r="D16" s="2150"/>
      <c r="E16" s="2142" t="s">
        <v>105</v>
      </c>
      <c r="F16" s="2177" t="s">
        <v>894</v>
      </c>
      <c r="G16" s="2169" t="s">
        <v>669</v>
      </c>
      <c r="H16" s="1070">
        <f>SUM(H17,H20:H27)</f>
        <v>0</v>
      </c>
      <c r="I16" s="1070">
        <f>SUM(I17,I20:I27)</f>
        <v>0</v>
      </c>
      <c r="J16" s="801" t="s">
        <v>895</v>
      </c>
      <c r="K16" s="1055" t="s">
        <v>747</v>
      </c>
      <c r="AF16" s="2143">
        <v>23</v>
      </c>
    </row>
    <row customHeight="1" ht="35.699999999999996">
      <c r="D17" s="2150"/>
      <c r="E17" s="2176" t="s">
        <v>825</v>
      </c>
      <c r="F17" s="2179" t="s">
        <v>896</v>
      </c>
      <c r="G17" s="2166" t="s">
        <v>669</v>
      </c>
      <c r="H17" s="1069"/>
      <c r="I17" s="1069"/>
      <c r="J17" s="801" t="s">
        <v>897</v>
      </c>
      <c r="K17" s="1055"/>
      <c r="AF17" s="2143">
        <v>34</v>
      </c>
    </row>
    <row customHeight="1" ht="19.95">
      <c r="D18" s="2150"/>
      <c r="E18" s="2176" t="s">
        <v>828</v>
      </c>
      <c r="F18" s="2180" t="s">
        <v>898</v>
      </c>
      <c r="G18" s="2166" t="s">
        <v>669</v>
      </c>
      <c r="H18" s="1069"/>
      <c r="I18" s="1069"/>
      <c r="J18" s="801"/>
      <c r="K18" s="1055"/>
      <c r="AF18" s="2143">
        <v>19</v>
      </c>
    </row>
    <row customHeight="1" ht="24">
      <c r="D19" s="2150"/>
      <c r="E19" s="2176" t="s">
        <v>831</v>
      </c>
      <c r="F19" s="2180" t="s">
        <v>899</v>
      </c>
      <c r="G19" s="2166" t="s">
        <v>669</v>
      </c>
      <c r="H19" s="1069"/>
      <c r="I19" s="1069"/>
      <c r="J19" s="801"/>
      <c r="K19" s="1055"/>
      <c r="AF19" s="2143">
        <v>23</v>
      </c>
    </row>
    <row customHeight="1" ht="35.699999999999996">
      <c r="D20" s="2150"/>
      <c r="E20" s="2176" t="s">
        <v>425</v>
      </c>
      <c r="F20" s="2179" t="s">
        <v>900</v>
      </c>
      <c r="G20" s="2166" t="s">
        <v>669</v>
      </c>
      <c r="H20" s="1069"/>
      <c r="I20" s="1069"/>
      <c r="J20" s="801"/>
      <c r="K20" s="1055"/>
      <c r="AF20" s="2143">
        <v>34</v>
      </c>
    </row>
    <row customHeight="1" ht="48.29999999999999">
      <c r="D21" s="2150"/>
      <c r="E21" s="2176" t="s">
        <v>428</v>
      </c>
      <c r="F21" s="2179" t="s">
        <v>901</v>
      </c>
      <c r="G21" s="2166" t="s">
        <v>669</v>
      </c>
      <c r="H21" s="1069"/>
      <c r="I21" s="1069"/>
      <c r="J21" s="801"/>
      <c r="K21" s="1055"/>
      <c r="AF21" s="2143">
        <v>46</v>
      </c>
    </row>
    <row customHeight="1" ht="60">
      <c r="D22" s="2150"/>
      <c r="E22" s="2176" t="s">
        <v>845</v>
      </c>
      <c r="F22" s="2179" t="s">
        <v>902</v>
      </c>
      <c r="G22" s="2166" t="s">
        <v>669</v>
      </c>
      <c r="H22" s="1069"/>
      <c r="I22" s="1069"/>
      <c r="J22" s="801"/>
      <c r="K22" s="1055"/>
      <c r="AF22" s="2143">
        <v>57</v>
      </c>
    </row>
    <row customHeight="1" ht="35.699999999999996">
      <c r="D23" s="2150"/>
      <c r="E23" s="2176" t="s">
        <v>852</v>
      </c>
      <c r="F23" s="2179" t="s">
        <v>903</v>
      </c>
      <c r="G23" s="2166" t="s">
        <v>669</v>
      </c>
      <c r="H23" s="1069"/>
      <c r="I23" s="1069"/>
      <c r="J23" s="801"/>
      <c r="K23" s="1055"/>
      <c r="AF23" s="2143">
        <v>34</v>
      </c>
    </row>
    <row customHeight="1" ht="35.699999999999996">
      <c r="D24" s="2150"/>
      <c r="E24" s="2176" t="s">
        <v>854</v>
      </c>
      <c r="F24" s="2179" t="s">
        <v>904</v>
      </c>
      <c r="G24" s="2166" t="s">
        <v>669</v>
      </c>
      <c r="H24" s="1069"/>
      <c r="I24" s="1069"/>
      <c r="J24" s="801"/>
      <c r="K24" s="1055"/>
      <c r="AF24" s="2143">
        <v>34</v>
      </c>
    </row>
    <row customHeight="1" ht="24">
      <c r="D25" s="2150"/>
      <c r="E25" s="2176" t="s">
        <v>856</v>
      </c>
      <c r="F25" s="2179" t="s">
        <v>905</v>
      </c>
      <c r="G25" s="2166" t="s">
        <v>669</v>
      </c>
      <c r="H25" s="1069"/>
      <c r="I25" s="1069"/>
      <c r="J25" s="801"/>
      <c r="K25" s="1055"/>
      <c r="AF25" s="2143">
        <v>23</v>
      </c>
    </row>
    <row customHeight="1" ht="76.5">
      <c r="D26" s="2150"/>
      <c r="E26" s="2176" t="s">
        <v>858</v>
      </c>
      <c r="F26" s="2179" t="s">
        <v>906</v>
      </c>
      <c r="G26" s="2166" t="s">
        <v>669</v>
      </c>
      <c r="H26" s="1069"/>
      <c r="I26" s="1069"/>
      <c r="J26" s="801"/>
      <c r="K26" s="1055"/>
      <c r="AF26" s="2143">
        <v>73</v>
      </c>
    </row>
    <row s="46889" customFormat="1" customHeight="1" ht="35.699999999999996">
      <c r="A27" s="1499"/>
      <c r="C27" s="2148"/>
      <c r="D27" s="2150"/>
      <c r="E27" s="2141" t="s">
        <v>862</v>
      </c>
      <c r="F27" s="2140" t="s">
        <v>907</v>
      </c>
      <c r="G27" s="2167" t="s">
        <v>669</v>
      </c>
      <c r="H27" s="1091">
        <f>SUM(H28:H29)</f>
        <v>0</v>
      </c>
      <c r="I27" s="1091">
        <f>SUM(I28:I29)</f>
        <v>0</v>
      </c>
      <c r="J27" s="801" t="s">
        <v>860</v>
      </c>
      <c r="K27" s="1055"/>
      <c r="L27" s="2148"/>
      <c r="M27" s="2148"/>
      <c r="R27" s="2148"/>
      <c r="U27" s="1056"/>
      <c r="AA27" s="2144"/>
      <c r="AB27" s="2144"/>
      <c r="AC27" s="2144"/>
      <c r="AD27" s="2144"/>
      <c r="AE27" s="2144"/>
      <c r="AF27" s="1672">
        <v>34</v>
      </c>
    </row>
    <row s="46890" customFormat="1" customHeight="1" ht="1.05">
      <c r="A28" s="1679"/>
      <c r="D28" s="1060"/>
      <c r="E28" s="1314" t="str">
        <f>E27&amp;".0"</f>
        <v>2.9.0</v>
      </c>
      <c r="F28" s="1503"/>
      <c r="G28" s="1063"/>
      <c r="H28" s="1504"/>
      <c r="I28" s="1504"/>
      <c r="J28" s="1505"/>
      <c r="AF28" s="2148">
        <v>1</v>
      </c>
    </row>
    <row s="46889" customFormat="1" customHeight="1" ht="19.95">
      <c r="A29" s="1499"/>
      <c r="C29" s="2148"/>
      <c r="D29" s="2145"/>
      <c r="E29" s="1082"/>
      <c r="F29" s="2178" t="s">
        <v>694</v>
      </c>
      <c r="G29" s="1084"/>
      <c r="H29" s="1085"/>
      <c r="I29" s="1085"/>
      <c r="J29" s="813" t="s">
        <v>861</v>
      </c>
      <c r="K29" s="1055"/>
      <c r="L29" s="2148"/>
      <c r="M29" s="2148"/>
      <c r="R29" s="2148"/>
      <c r="U29" s="1056"/>
      <c r="AA29" s="2144"/>
      <c r="AB29" s="2144"/>
      <c r="AC29" s="2144"/>
      <c r="AD29" s="2144"/>
      <c r="AE29" s="2144"/>
      <c r="AF29" s="1672">
        <v>19</v>
      </c>
    </row>
    <row s="46889" customFormat="1" customHeight="1" ht="24">
      <c r="A30" s="1499"/>
      <c r="C30" s="2148"/>
      <c r="D30" s="2150"/>
      <c r="E30" s="2176" t="s">
        <v>92</v>
      </c>
      <c r="F30" s="2173" t="s">
        <v>908</v>
      </c>
      <c r="G30" s="2166" t="s">
        <v>669</v>
      </c>
      <c r="H30" s="1069"/>
      <c r="I30" s="1069"/>
      <c r="J30" s="801"/>
      <c r="K30" s="1055"/>
      <c r="L30" s="2148"/>
      <c r="M30" s="2148"/>
      <c r="R30" s="2148"/>
      <c r="U30" s="1056"/>
      <c r="AA30" s="2144"/>
      <c r="AB30" s="2144"/>
      <c r="AC30" s="2144"/>
      <c r="AD30" s="2144"/>
      <c r="AE30" s="2144"/>
      <c r="AF30" s="1672">
        <v>23</v>
      </c>
    </row>
    <row s="46889" customFormat="1" customHeight="1" ht="35.699999999999996">
      <c r="A31" s="1499"/>
      <c r="C31" s="2148"/>
      <c r="D31" s="1087"/>
      <c r="E31" s="2176" t="s">
        <v>93</v>
      </c>
      <c r="F31" s="2173" t="s">
        <v>909</v>
      </c>
      <c r="G31" s="2166" t="s">
        <v>669</v>
      </c>
      <c r="H31" s="1069"/>
      <c r="I31" s="1069"/>
      <c r="J31" s="801" t="s">
        <v>910</v>
      </c>
      <c r="K31" s="1055"/>
      <c r="L31" s="2148"/>
      <c r="M31" s="2148"/>
      <c r="R31" s="2148"/>
      <c r="U31" s="1056"/>
      <c r="AA31" s="2144"/>
      <c r="AB31" s="2144"/>
      <c r="AC31" s="2144"/>
      <c r="AD31" s="2144"/>
      <c r="AE31" s="2144"/>
      <c r="AF31" s="1672">
        <v>34</v>
      </c>
    </row>
    <row s="46889" customFormat="1" customHeight="1" ht="24">
      <c r="A32" s="1499"/>
      <c r="C32" s="2148"/>
      <c r="D32" s="2150"/>
      <c r="E32" s="2176" t="s">
        <v>870</v>
      </c>
      <c r="F32" s="1202" t="s">
        <v>874</v>
      </c>
      <c r="G32" s="2166" t="s">
        <v>669</v>
      </c>
      <c r="H32" s="1069"/>
      <c r="I32" s="1069"/>
      <c r="J32" s="801" t="s">
        <v>911</v>
      </c>
      <c r="K32" s="1055"/>
      <c r="L32" s="2148"/>
      <c r="M32" s="2148"/>
      <c r="R32" s="2148"/>
      <c r="U32" s="1056"/>
      <c r="AA32" s="2144"/>
      <c r="AB32" s="2144"/>
      <c r="AC32" s="2144"/>
      <c r="AD32" s="2144"/>
      <c r="AE32" s="2144"/>
      <c r="AF32" s="1672">
        <v>23</v>
      </c>
    </row>
    <row s="46889" customFormat="1" customHeight="1" ht="24">
      <c r="A33" s="1499"/>
      <c r="C33" s="2148"/>
      <c r="D33" s="2150"/>
      <c r="E33" s="2176" t="s">
        <v>912</v>
      </c>
      <c r="F33" s="1202" t="s">
        <v>913</v>
      </c>
      <c r="G33" s="2166" t="s">
        <v>669</v>
      </c>
      <c r="H33" s="1069"/>
      <c r="I33" s="1069"/>
      <c r="J33" s="801" t="s">
        <v>914</v>
      </c>
      <c r="K33" s="1055"/>
      <c r="L33" s="2148"/>
      <c r="M33" s="2148"/>
      <c r="R33" s="2148"/>
      <c r="U33" s="1056"/>
      <c r="AA33" s="2144"/>
      <c r="AB33" s="2144"/>
      <c r="AC33" s="2144"/>
      <c r="AD33" s="2144"/>
      <c r="AE33" s="2144"/>
      <c r="AF33" s="1672">
        <v>23</v>
      </c>
    </row>
    <row s="46889" customFormat="1" customHeight="1" ht="24">
      <c r="A34" s="1499"/>
      <c r="C34" s="2148"/>
      <c r="D34" s="2150"/>
      <c r="E34" s="2176" t="s">
        <v>915</v>
      </c>
      <c r="F34" s="1202" t="s">
        <v>880</v>
      </c>
      <c r="G34" s="2166" t="s">
        <v>669</v>
      </c>
      <c r="H34" s="1069"/>
      <c r="I34" s="1069"/>
      <c r="J34" s="801" t="s">
        <v>916</v>
      </c>
      <c r="K34" s="1055"/>
      <c r="L34" s="2148"/>
      <c r="M34" s="2148"/>
      <c r="R34" s="2148"/>
      <c r="U34" s="1056"/>
      <c r="AA34" s="2144"/>
      <c r="AB34" s="2144"/>
      <c r="AC34" s="2144"/>
      <c r="AD34" s="2144"/>
      <c r="AE34" s="2144"/>
      <c r="AF34" s="1672">
        <v>23</v>
      </c>
    </row>
    <row s="46889" customFormat="1" customHeight="1" ht="35.699999999999996">
      <c r="A35" s="1499"/>
      <c r="C35" s="2148" t="s">
        <v>705</v>
      </c>
      <c r="D35" s="2150"/>
      <c r="E35" s="2176" t="s">
        <v>120</v>
      </c>
      <c r="F35" s="2173" t="s">
        <v>746</v>
      </c>
      <c r="G35" s="2169" t="s">
        <v>424</v>
      </c>
      <c r="H35" s="913"/>
      <c r="I35" s="913"/>
      <c r="J35" s="801" t="s">
        <v>917</v>
      </c>
      <c r="K35" s="1055"/>
      <c r="L35" s="2148"/>
      <c r="M35" s="2148"/>
      <c r="R35" s="2148"/>
      <c r="U35" s="1056"/>
      <c r="AA35" s="2144"/>
      <c r="AB35" s="2144"/>
      <c r="AC35" s="2144"/>
      <c r="AD35" s="2144"/>
      <c r="AE35" s="2144"/>
      <c r="AF35" s="1672">
        <v>34</v>
      </c>
    </row>
    <row s="46889" customFormat="1" customHeight="1" ht="35.699999999999996">
      <c r="A36" s="1499"/>
      <c r="C36" s="2148"/>
      <c r="D36" s="2150"/>
      <c r="E36" s="2176" t="s">
        <v>94</v>
      </c>
      <c r="F36" s="2173" t="s">
        <v>918</v>
      </c>
      <c r="G36" s="2166" t="s">
        <v>885</v>
      </c>
      <c r="H36" s="1057"/>
      <c r="I36" s="1057"/>
      <c r="J36" s="801" t="s">
        <v>886</v>
      </c>
      <c r="K36" s="1055"/>
      <c r="L36" s="2148"/>
      <c r="M36" s="2148"/>
      <c r="R36" s="2148"/>
      <c r="U36" s="1056"/>
      <c r="AA36" s="2144"/>
      <c r="AB36" s="2144"/>
      <c r="AC36" s="2144"/>
      <c r="AD36" s="2144"/>
      <c r="AE36" s="2144"/>
      <c r="AF36" s="1672">
        <v>34</v>
      </c>
    </row>
    <row s="46889" customFormat="1" customHeight="1" ht="24">
      <c r="A37" s="1499"/>
      <c r="C37" s="2148"/>
      <c r="D37" s="2150"/>
      <c r="E37" s="2176" t="s">
        <v>95</v>
      </c>
      <c r="F37" s="2173" t="s">
        <v>919</v>
      </c>
      <c r="G37" s="2166" t="s">
        <v>888</v>
      </c>
      <c r="H37" s="1057"/>
      <c r="I37" s="1057"/>
      <c r="J37" s="801" t="s">
        <v>889</v>
      </c>
      <c r="K37" s="1055"/>
      <c r="L37" s="2148"/>
      <c r="M37" s="2148"/>
      <c r="R37" s="2148"/>
      <c r="U37" s="1056"/>
      <c r="AA37" s="2144"/>
      <c r="AB37" s="2144"/>
      <c r="AC37" s="2144"/>
      <c r="AD37" s="2144"/>
      <c r="AE37" s="2144"/>
      <c r="AF37" s="1672">
        <v>23</v>
      </c>
    </row>
    <row customHeight="1" ht="11.549999999999999">
      <c r="D38" s="2150"/>
      <c r="AF38" s="2143">
        <v>11</v>
      </c>
    </row>
    <row customHeight="1" ht="27.299999999999997">
      <c r="D39" s="2150"/>
      <c r="E39" s="1765" t="s">
        <v>920</v>
      </c>
      <c r="F39" s="2797" t="s">
        <v>921</v>
      </c>
      <c r="G39" s="2797"/>
      <c r="H39" s="881"/>
      <c r="I39" s="881"/>
      <c r="J39" s="881"/>
      <c r="AF39" s="2143">
        <v>26</v>
      </c>
    </row>
    <row s="47496" customFormat="1" customHeight="1" ht="39.75">
      <c r="A40" s="1499"/>
      <c r="B40" s="2148"/>
      <c r="C40" s="2148"/>
      <c r="D40" s="863"/>
      <c r="F40" s="2797" t="s">
        <v>922</v>
      </c>
      <c r="G40" s="2797"/>
      <c r="H40" s="881"/>
      <c r="I40" s="881"/>
      <c r="J40" s="881"/>
      <c r="K40" s="1672"/>
      <c r="L40" s="2148"/>
      <c r="M40" s="2148"/>
      <c r="N40" s="1672"/>
      <c r="O40" s="1672"/>
      <c r="P40" s="1672"/>
      <c r="Q40" s="1672"/>
      <c r="R40" s="2148"/>
      <c r="S40" s="1672"/>
      <c r="T40" s="1672"/>
      <c r="U40" s="1056"/>
      <c r="V40" s="1672"/>
      <c r="W40" s="1672"/>
      <c r="X40" s="1672"/>
      <c r="Y40" s="1672"/>
      <c r="Z40" s="1672"/>
      <c r="AA40" s="2144"/>
      <c r="AB40" s="1078"/>
      <c r="AC40" s="1078"/>
      <c r="AD40" s="1078"/>
      <c r="AE40" s="1078"/>
      <c r="AF40" s="2153">
        <v>38</v>
      </c>
    </row>
    <row s="47496" customFormat="1" customHeight="1" ht="11.549999999999999">
      <c r="A41" s="1499"/>
      <c r="B41" s="2148"/>
      <c r="C41" s="2148"/>
      <c r="D41" s="863"/>
      <c r="K41" s="1672"/>
      <c r="L41" s="2148"/>
      <c r="M41" s="2148"/>
      <c r="N41" s="1672"/>
      <c r="O41" s="1672"/>
      <c r="P41" s="1672"/>
      <c r="Q41" s="1672"/>
      <c r="R41" s="2148"/>
      <c r="S41" s="1672"/>
      <c r="T41" s="1672"/>
      <c r="U41" s="1056"/>
      <c r="V41" s="1672"/>
      <c r="W41" s="1672"/>
      <c r="X41" s="1672"/>
      <c r="Y41" s="1672"/>
      <c r="Z41" s="1672"/>
      <c r="AA41" s="2144"/>
      <c r="AB41" s="1078"/>
      <c r="AC41" s="1078"/>
      <c r="AD41" s="1078"/>
      <c r="AE41" s="1078"/>
      <c r="AF41" s="2153">
        <v>11</v>
      </c>
    </row>
    <row s="47496" customFormat="1" customHeight="1" ht="11.549999999999999">
      <c r="A42" s="1499"/>
      <c r="B42" s="2148"/>
      <c r="C42" s="2148"/>
      <c r="D42" s="863"/>
      <c r="K42" s="1672"/>
      <c r="L42" s="2148"/>
      <c r="M42" s="2148"/>
      <c r="N42" s="1672"/>
      <c r="O42" s="1672"/>
      <c r="P42" s="1672"/>
      <c r="Q42" s="1672"/>
      <c r="R42" s="2148"/>
      <c r="S42" s="1672"/>
      <c r="T42" s="1672"/>
      <c r="U42" s="1056"/>
      <c r="V42" s="1672"/>
      <c r="W42" s="1672"/>
      <c r="X42" s="1672"/>
      <c r="Y42" s="1672"/>
      <c r="Z42" s="1672"/>
      <c r="AA42" s="2144"/>
      <c r="AB42" s="1078"/>
      <c r="AC42" s="1078"/>
      <c r="AD42" s="1078"/>
      <c r="AE42" s="1078"/>
      <c r="AF42" s="2153">
        <v>11</v>
      </c>
    </row>
    <row s="47496" customFormat="1" customHeight="1" ht="11.549999999999999">
      <c r="A43" s="1499"/>
      <c r="B43" s="2148"/>
      <c r="C43" s="2148"/>
      <c r="D43" s="863"/>
      <c r="H43" s="1078"/>
      <c r="I43" s="1078"/>
      <c r="K43" s="1672"/>
      <c r="L43" s="2148"/>
      <c r="M43" s="2148"/>
      <c r="N43" s="1672"/>
      <c r="O43" s="1672"/>
      <c r="P43" s="1672"/>
      <c r="Q43" s="1672"/>
      <c r="R43" s="2148"/>
      <c r="S43" s="1672"/>
      <c r="T43" s="1672"/>
      <c r="U43" s="1056"/>
      <c r="V43" s="1672"/>
      <c r="W43" s="1672"/>
      <c r="X43" s="1672"/>
      <c r="Y43" s="1672"/>
      <c r="Z43" s="1672"/>
      <c r="AA43" s="2144"/>
      <c r="AB43" s="1078"/>
      <c r="AC43" s="1078"/>
      <c r="AD43" s="1078"/>
      <c r="AE43" s="1078"/>
      <c r="AF43" s="2153">
        <v>11</v>
      </c>
    </row>
    <row s="47496" customFormat="1" customHeight="1" ht="11.549999999999999">
      <c r="A44" s="1499"/>
      <c r="B44" s="2148"/>
      <c r="C44" s="2148"/>
      <c r="D44" s="863"/>
      <c r="K44" s="1672"/>
      <c r="L44" s="2148"/>
      <c r="M44" s="2148"/>
      <c r="N44" s="1672"/>
      <c r="O44" s="1672"/>
      <c r="P44" s="1672"/>
      <c r="Q44" s="1672"/>
      <c r="R44" s="2148"/>
      <c r="S44" s="1672"/>
      <c r="T44" s="1672"/>
      <c r="U44" s="1056"/>
      <c r="V44" s="1672"/>
      <c r="W44" s="1672"/>
      <c r="X44" s="1672"/>
      <c r="Y44" s="1672"/>
      <c r="Z44" s="1672"/>
      <c r="AA44" s="2144"/>
      <c r="AB44" s="1078"/>
      <c r="AC44" s="1078"/>
      <c r="AD44" s="1078"/>
      <c r="AE44" s="1078"/>
      <c r="AF44" s="2153">
        <v>11</v>
      </c>
    </row>
    <row s="47496" customFormat="1" customHeight="1" ht="11.549999999999999">
      <c r="A45" s="1499"/>
      <c r="B45" s="2148"/>
      <c r="C45" s="2148"/>
      <c r="D45" s="863"/>
      <c r="K45" s="1672"/>
      <c r="L45" s="2148"/>
      <c r="M45" s="2148"/>
      <c r="N45" s="1672"/>
      <c r="O45" s="1672"/>
      <c r="P45" s="1672"/>
      <c r="Q45" s="1672"/>
      <c r="R45" s="2148"/>
      <c r="S45" s="1672"/>
      <c r="T45" s="1672"/>
      <c r="U45" s="1056"/>
      <c r="V45" s="1672"/>
      <c r="W45" s="1672"/>
      <c r="X45" s="1672"/>
      <c r="Y45" s="1672"/>
      <c r="Z45" s="1672"/>
      <c r="AA45" s="2144"/>
      <c r="AB45" s="1078"/>
      <c r="AC45" s="1078"/>
      <c r="AD45" s="1078"/>
      <c r="AE45" s="1078"/>
      <c r="AF45" s="2153">
        <v>11</v>
      </c>
    </row>
    <row s="47496" customFormat="1" customHeight="1" ht="11.549999999999999">
      <c r="A46" s="1499"/>
      <c r="B46" s="2148"/>
      <c r="C46" s="2148"/>
      <c r="D46" s="863"/>
      <c r="K46" s="1672"/>
      <c r="L46" s="2148"/>
      <c r="M46" s="2148"/>
      <c r="N46" s="1672"/>
      <c r="O46" s="1672"/>
      <c r="P46" s="1672"/>
      <c r="Q46" s="1672"/>
      <c r="R46" s="2148"/>
      <c r="S46" s="1672"/>
      <c r="T46" s="1672"/>
      <c r="U46" s="1056"/>
      <c r="V46" s="1672"/>
      <c r="W46" s="1672"/>
      <c r="X46" s="1672"/>
      <c r="Y46" s="1672"/>
      <c r="Z46" s="1672"/>
      <c r="AA46" s="2144"/>
      <c r="AB46" s="1078"/>
      <c r="AC46" s="1078"/>
      <c r="AD46" s="1078"/>
      <c r="AE46" s="1078"/>
      <c r="AF46" s="2153">
        <v>11</v>
      </c>
    </row>
    <row s="47496" customFormat="1" customHeight="1" ht="11.549999999999999">
      <c r="A47" s="1499"/>
      <c r="B47" s="2148"/>
      <c r="C47" s="2148"/>
      <c r="D47" s="863"/>
      <c r="K47" s="1672"/>
      <c r="L47" s="2148"/>
      <c r="M47" s="2148"/>
      <c r="N47" s="1672"/>
      <c r="O47" s="1672"/>
      <c r="P47" s="1672"/>
      <c r="Q47" s="1672"/>
      <c r="R47" s="2148"/>
      <c r="S47" s="1672"/>
      <c r="T47" s="1672"/>
      <c r="U47" s="1056"/>
      <c r="V47" s="1672"/>
      <c r="W47" s="1672"/>
      <c r="X47" s="1672"/>
      <c r="Y47" s="1672"/>
      <c r="Z47" s="1672"/>
      <c r="AA47" s="2144"/>
      <c r="AB47" s="1078"/>
      <c r="AC47" s="1078"/>
      <c r="AD47" s="1078"/>
      <c r="AE47" s="1078"/>
      <c r="AF47" s="2153">
        <v>11</v>
      </c>
    </row>
    <row s="47496" customFormat="1" customHeight="1" ht="11.549999999999999">
      <c r="A48" s="1499"/>
      <c r="B48" s="2148"/>
      <c r="C48" s="2148"/>
      <c r="D48" s="863"/>
      <c r="K48" s="1672"/>
      <c r="L48" s="2148"/>
      <c r="M48" s="2148"/>
      <c r="N48" s="1672"/>
      <c r="O48" s="1672"/>
      <c r="P48" s="1672"/>
      <c r="Q48" s="1672"/>
      <c r="R48" s="2148"/>
      <c r="S48" s="1672"/>
      <c r="T48" s="1672"/>
      <c r="U48" s="1056"/>
      <c r="V48" s="1672"/>
      <c r="W48" s="1672"/>
      <c r="X48" s="1672"/>
      <c r="Y48" s="1672"/>
      <c r="Z48" s="1672"/>
      <c r="AA48" s="2144"/>
      <c r="AB48" s="1078"/>
      <c r="AC48" s="1078"/>
      <c r="AD48" s="1078"/>
      <c r="AE48" s="1078"/>
      <c r="AF48" s="2153">
        <v>11</v>
      </c>
    </row>
    <row s="47496" customFormat="1" customHeight="1" ht="11.549999999999999">
      <c r="A49" s="1499"/>
      <c r="B49" s="2148"/>
      <c r="C49" s="2148"/>
      <c r="D49" s="863"/>
      <c r="K49" s="1672"/>
      <c r="L49" s="2148"/>
      <c r="M49" s="2148"/>
      <c r="N49" s="1672"/>
      <c r="O49" s="1672"/>
      <c r="P49" s="1672"/>
      <c r="Q49" s="1672"/>
      <c r="R49" s="2148"/>
      <c r="S49" s="1672"/>
      <c r="T49" s="1672"/>
      <c r="U49" s="1056"/>
      <c r="V49" s="1672"/>
      <c r="W49" s="1672"/>
      <c r="X49" s="1672"/>
      <c r="Y49" s="1672"/>
      <c r="Z49" s="1672"/>
      <c r="AA49" s="2144"/>
      <c r="AB49" s="1078"/>
      <c r="AC49" s="1078"/>
      <c r="AD49" s="1078"/>
      <c r="AE49" s="1078"/>
      <c r="AF49" s="2153">
        <v>11</v>
      </c>
    </row>
    <row s="47496" customFormat="1" customHeight="1" ht="11.549999999999999">
      <c r="A50" s="1499"/>
      <c r="B50" s="2148"/>
      <c r="C50" s="2148"/>
      <c r="D50" s="863"/>
      <c r="K50" s="1672"/>
      <c r="L50" s="2148"/>
      <c r="M50" s="2148"/>
      <c r="N50" s="1672"/>
      <c r="O50" s="1672"/>
      <c r="P50" s="1672"/>
      <c r="Q50" s="1672"/>
      <c r="R50" s="2148"/>
      <c r="S50" s="1672"/>
      <c r="T50" s="1672"/>
      <c r="U50" s="1056"/>
      <c r="V50" s="1672"/>
      <c r="W50" s="1672"/>
      <c r="X50" s="1672"/>
      <c r="Y50" s="1672"/>
      <c r="Z50" s="1672"/>
      <c r="AA50" s="2144"/>
      <c r="AB50" s="1078"/>
      <c r="AC50" s="1078"/>
      <c r="AD50" s="1078"/>
      <c r="AE50" s="1078"/>
      <c r="AF50" s="2153">
        <v>11</v>
      </c>
    </row>
    <row s="47496" customFormat="1" customHeight="1" ht="11.549999999999999">
      <c r="A51" s="1499"/>
      <c r="B51" s="2148"/>
      <c r="C51" s="2148"/>
      <c r="D51" s="863"/>
      <c r="K51" s="1672"/>
      <c r="L51" s="2148"/>
      <c r="M51" s="2148"/>
      <c r="N51" s="1672"/>
      <c r="O51" s="1672"/>
      <c r="P51" s="1672"/>
      <c r="Q51" s="1672"/>
      <c r="R51" s="2148"/>
      <c r="S51" s="1672"/>
      <c r="T51" s="1672"/>
      <c r="U51" s="1056"/>
      <c r="V51" s="1672"/>
      <c r="W51" s="1672"/>
      <c r="X51" s="1672"/>
      <c r="Y51" s="1672"/>
      <c r="Z51" s="1672"/>
      <c r="AA51" s="2144"/>
      <c r="AB51" s="1078"/>
      <c r="AC51" s="1078"/>
      <c r="AD51" s="1078"/>
      <c r="AE51" s="1078"/>
      <c r="AF51" s="2153">
        <v>11</v>
      </c>
    </row>
    <row s="47496" customFormat="1" customHeight="1" ht="11.549999999999999">
      <c r="A52" s="1499"/>
      <c r="B52" s="2148"/>
      <c r="C52" s="2148"/>
      <c r="D52" s="863"/>
      <c r="K52" s="1672"/>
      <c r="L52" s="2148"/>
      <c r="M52" s="2148"/>
      <c r="N52" s="1672"/>
      <c r="O52" s="1672"/>
      <c r="P52" s="1672"/>
      <c r="Q52" s="1672"/>
      <c r="R52" s="2148"/>
      <c r="S52" s="1672"/>
      <c r="T52" s="1672"/>
      <c r="U52" s="1056"/>
      <c r="V52" s="1672"/>
      <c r="W52" s="1672"/>
      <c r="X52" s="1672"/>
      <c r="Y52" s="1672"/>
      <c r="Z52" s="1672"/>
      <c r="AA52" s="2144"/>
      <c r="AB52" s="1078"/>
      <c r="AC52" s="1078"/>
      <c r="AD52" s="1078"/>
      <c r="AE52" s="1078"/>
      <c r="AF52" s="2153">
        <v>11</v>
      </c>
    </row>
    <row s="47496" customFormat="1" customHeight="1" ht="11.549999999999999">
      <c r="A53" s="1499"/>
      <c r="B53" s="2148"/>
      <c r="C53" s="2148"/>
      <c r="D53" s="863"/>
      <c r="K53" s="1672"/>
      <c r="L53" s="2148"/>
      <c r="M53" s="2148"/>
      <c r="N53" s="1672"/>
      <c r="O53" s="1672"/>
      <c r="P53" s="1672"/>
      <c r="Q53" s="1672"/>
      <c r="R53" s="2148"/>
      <c r="S53" s="1672"/>
      <c r="T53" s="1672"/>
      <c r="U53" s="1056"/>
      <c r="V53" s="1672"/>
      <c r="W53" s="1672"/>
      <c r="X53" s="1672"/>
      <c r="Y53" s="1672"/>
      <c r="Z53" s="1672"/>
      <c r="AA53" s="2144"/>
      <c r="AB53" s="1078"/>
      <c r="AC53" s="1078"/>
      <c r="AD53" s="1078"/>
      <c r="AE53" s="1078"/>
      <c r="AF53" s="2153">
        <v>11</v>
      </c>
    </row>
    <row s="47496" customFormat="1" customHeight="1" ht="11.549999999999999">
      <c r="A54" s="1499"/>
      <c r="B54" s="2148"/>
      <c r="C54" s="2148"/>
      <c r="D54" s="863"/>
      <c r="K54" s="1672"/>
      <c r="L54" s="2148"/>
      <c r="M54" s="2148"/>
      <c r="N54" s="1672"/>
      <c r="O54" s="1672"/>
      <c r="P54" s="1672"/>
      <c r="Q54" s="1672"/>
      <c r="R54" s="2148"/>
      <c r="S54" s="1672"/>
      <c r="T54" s="1672"/>
      <c r="U54" s="1056"/>
      <c r="V54" s="1672"/>
      <c r="W54" s="1672"/>
      <c r="X54" s="1672"/>
      <c r="Y54" s="1672"/>
      <c r="Z54" s="1672"/>
      <c r="AA54" s="2144"/>
      <c r="AB54" s="1078"/>
      <c r="AC54" s="1078"/>
      <c r="AD54" s="1078"/>
      <c r="AE54" s="1078"/>
      <c r="AF54" s="2153">
        <v>11</v>
      </c>
    </row>
    <row s="47496" customFormat="1" customHeight="1" ht="11.549999999999999">
      <c r="A55" s="1499"/>
      <c r="B55" s="2148"/>
      <c r="C55" s="2148"/>
      <c r="D55" s="863"/>
      <c r="K55" s="1672"/>
      <c r="L55" s="2148"/>
      <c r="M55" s="2148"/>
      <c r="N55" s="1672"/>
      <c r="O55" s="1672"/>
      <c r="P55" s="1672"/>
      <c r="Q55" s="1672"/>
      <c r="R55" s="2148"/>
      <c r="S55" s="1672"/>
      <c r="T55" s="1672"/>
      <c r="U55" s="1056"/>
      <c r="V55" s="1672"/>
      <c r="W55" s="1672"/>
      <c r="X55" s="1672"/>
      <c r="Y55" s="1672"/>
      <c r="Z55" s="1672"/>
      <c r="AA55" s="2144"/>
      <c r="AB55" s="1078"/>
      <c r="AC55" s="1078"/>
      <c r="AD55" s="1078"/>
      <c r="AE55" s="1078"/>
      <c r="AF55" s="2153">
        <v>11</v>
      </c>
    </row>
    <row s="47496" customFormat="1" customHeight="1" ht="11.549999999999999">
      <c r="A56" s="1499"/>
      <c r="B56" s="2148"/>
      <c r="C56" s="2148"/>
      <c r="D56" s="863"/>
      <c r="K56" s="1672"/>
      <c r="L56" s="2148"/>
      <c r="M56" s="2148"/>
      <c r="N56" s="1672"/>
      <c r="O56" s="1672"/>
      <c r="P56" s="1672"/>
      <c r="Q56" s="1672"/>
      <c r="R56" s="2148"/>
      <c r="S56" s="1672"/>
      <c r="T56" s="1672"/>
      <c r="U56" s="1056"/>
      <c r="V56" s="1672"/>
      <c r="W56" s="1672"/>
      <c r="X56" s="1672"/>
      <c r="Y56" s="1672"/>
      <c r="Z56" s="1672"/>
      <c r="AA56" s="2144"/>
      <c r="AB56" s="1078"/>
      <c r="AC56" s="1078"/>
      <c r="AD56" s="1078"/>
      <c r="AE56" s="1078"/>
      <c r="AF56" s="2153">
        <v>11</v>
      </c>
    </row>
    <row s="47496" customFormat="1" customHeight="1" ht="11.549999999999999">
      <c r="A57" s="1499"/>
      <c r="B57" s="2148"/>
      <c r="C57" s="2148"/>
      <c r="D57" s="863"/>
      <c r="K57" s="1672"/>
      <c r="L57" s="2148"/>
      <c r="M57" s="2148"/>
      <c r="N57" s="1672"/>
      <c r="O57" s="1672"/>
      <c r="P57" s="1672"/>
      <c r="Q57" s="1672"/>
      <c r="R57" s="2148"/>
      <c r="S57" s="1672"/>
      <c r="T57" s="1672"/>
      <c r="U57" s="1056"/>
      <c r="V57" s="1672"/>
      <c r="W57" s="1672"/>
      <c r="X57" s="1672"/>
      <c r="Y57" s="1672"/>
      <c r="Z57" s="1672"/>
      <c r="AA57" s="2144"/>
      <c r="AB57" s="1078"/>
      <c r="AC57" s="1078"/>
      <c r="AD57" s="1078"/>
      <c r="AE57" s="1078"/>
      <c r="AF57" s="2153">
        <v>11</v>
      </c>
    </row>
    <row s="47496" customFormat="1" customHeight="1" ht="11.549999999999999">
      <c r="A58" s="1499"/>
      <c r="B58" s="2148"/>
      <c r="C58" s="2148"/>
      <c r="D58" s="863"/>
      <c r="K58" s="1672"/>
      <c r="L58" s="2148"/>
      <c r="M58" s="2148"/>
      <c r="N58" s="1672"/>
      <c r="O58" s="1672"/>
      <c r="P58" s="1672"/>
      <c r="Q58" s="1672"/>
      <c r="R58" s="2148"/>
      <c r="S58" s="1672"/>
      <c r="T58" s="1672"/>
      <c r="U58" s="1056"/>
      <c r="V58" s="1672"/>
      <c r="W58" s="1672"/>
      <c r="X58" s="1672"/>
      <c r="Y58" s="1672"/>
      <c r="Z58" s="1672"/>
      <c r="AA58" s="2144"/>
      <c r="AB58" s="1078"/>
      <c r="AC58" s="1078"/>
      <c r="AD58" s="1078"/>
      <c r="AE58" s="1078"/>
      <c r="AF58" s="2153">
        <v>11</v>
      </c>
    </row>
    <row s="47496" customFormat="1" customHeight="1" ht="11.549999999999999">
      <c r="A59" s="1499"/>
      <c r="B59" s="2148"/>
      <c r="C59" s="2148"/>
      <c r="D59" s="863"/>
      <c r="K59" s="1672"/>
      <c r="L59" s="2148"/>
      <c r="M59" s="2148"/>
      <c r="N59" s="1672"/>
      <c r="O59" s="1672"/>
      <c r="P59" s="1672"/>
      <c r="Q59" s="1672"/>
      <c r="R59" s="2148"/>
      <c r="S59" s="1672"/>
      <c r="T59" s="1672"/>
      <c r="U59" s="1056"/>
      <c r="V59" s="1672"/>
      <c r="W59" s="1672"/>
      <c r="X59" s="1672"/>
      <c r="Y59" s="1672"/>
      <c r="Z59" s="1672"/>
      <c r="AA59" s="2144"/>
      <c r="AB59" s="1078"/>
      <c r="AC59" s="1078"/>
      <c r="AD59" s="1078"/>
      <c r="AE59" s="1078"/>
      <c r="AF59" s="2153">
        <v>11</v>
      </c>
    </row>
    <row s="47496" customFormat="1" customHeight="1" ht="11.549999999999999">
      <c r="A60" s="1499"/>
      <c r="B60" s="2148"/>
      <c r="C60" s="2148"/>
      <c r="D60" s="863"/>
      <c r="K60" s="1672"/>
      <c r="L60" s="2148"/>
      <c r="M60" s="2148"/>
      <c r="N60" s="1672"/>
      <c r="O60" s="1672"/>
      <c r="P60" s="1672"/>
      <c r="Q60" s="1672"/>
      <c r="R60" s="2148"/>
      <c r="S60" s="1672"/>
      <c r="T60" s="1672"/>
      <c r="U60" s="1056"/>
      <c r="V60" s="1672"/>
      <c r="W60" s="1672"/>
      <c r="X60" s="1672"/>
      <c r="Y60" s="1672"/>
      <c r="Z60" s="1672"/>
      <c r="AA60" s="2144"/>
      <c r="AB60" s="1078"/>
      <c r="AC60" s="1078"/>
      <c r="AD60" s="1078"/>
      <c r="AE60" s="1078"/>
      <c r="AF60" s="2153">
        <v>11</v>
      </c>
    </row>
    <row s="47496" customFormat="1" customHeight="1" ht="11.549999999999999">
      <c r="A61" s="1499"/>
      <c r="B61" s="2148"/>
      <c r="C61" s="2148"/>
      <c r="D61" s="863"/>
      <c r="K61" s="1672"/>
      <c r="L61" s="2148"/>
      <c r="M61" s="2148"/>
      <c r="N61" s="1672"/>
      <c r="O61" s="1672"/>
      <c r="P61" s="1672"/>
      <c r="Q61" s="1672"/>
      <c r="R61" s="2148"/>
      <c r="S61" s="1672"/>
      <c r="T61" s="1672"/>
      <c r="U61" s="1056"/>
      <c r="V61" s="1672"/>
      <c r="W61" s="1672"/>
      <c r="X61" s="1672"/>
      <c r="Y61" s="1672"/>
      <c r="Z61" s="1672"/>
      <c r="AA61" s="2144"/>
      <c r="AB61" s="1078"/>
      <c r="AC61" s="1078"/>
      <c r="AD61" s="1078"/>
      <c r="AE61" s="1078"/>
      <c r="AF61" s="2153">
        <v>11</v>
      </c>
    </row>
    <row s="47496" customFormat="1" customHeight="1" ht="11.549999999999999">
      <c r="A62" s="1499"/>
      <c r="B62" s="2148"/>
      <c r="C62" s="2148"/>
      <c r="D62" s="863"/>
      <c r="K62" s="1672"/>
      <c r="L62" s="2148"/>
      <c r="M62" s="2148"/>
      <c r="N62" s="1672"/>
      <c r="O62" s="1672"/>
      <c r="P62" s="1672"/>
      <c r="Q62" s="1672"/>
      <c r="R62" s="2148"/>
      <c r="S62" s="1672"/>
      <c r="T62" s="1672"/>
      <c r="U62" s="1056"/>
      <c r="V62" s="1672"/>
      <c r="W62" s="1672"/>
      <c r="X62" s="1672"/>
      <c r="Y62" s="1672"/>
      <c r="Z62" s="1672"/>
      <c r="AA62" s="2144"/>
      <c r="AB62" s="1078"/>
      <c r="AC62" s="1078"/>
      <c r="AD62" s="1078"/>
      <c r="AE62" s="1078"/>
      <c r="AF62" s="2153">
        <v>11</v>
      </c>
    </row>
    <row s="47496" customFormat="1" customHeight="1" ht="11.549999999999999">
      <c r="A63" s="1499"/>
      <c r="B63" s="2148"/>
      <c r="C63" s="2148"/>
      <c r="D63" s="863"/>
      <c r="K63" s="1672"/>
      <c r="L63" s="2148"/>
      <c r="M63" s="2148"/>
      <c r="N63" s="1672"/>
      <c r="O63" s="1672"/>
      <c r="P63" s="1672"/>
      <c r="Q63" s="1672"/>
      <c r="R63" s="2148"/>
      <c r="S63" s="1672"/>
      <c r="T63" s="1672"/>
      <c r="U63" s="1056"/>
      <c r="V63" s="1672"/>
      <c r="W63" s="1672"/>
      <c r="X63" s="1672"/>
      <c r="Y63" s="1672"/>
      <c r="Z63" s="1672"/>
      <c r="AA63" s="2144"/>
      <c r="AB63" s="1078"/>
      <c r="AC63" s="1078"/>
      <c r="AD63" s="1078"/>
      <c r="AE63" s="1078"/>
      <c r="AF63" s="2153">
        <v>11</v>
      </c>
    </row>
    <row s="47496" customFormat="1" customHeight="1" ht="11.549999999999999">
      <c r="A64" s="1499"/>
      <c r="B64" s="2148"/>
      <c r="C64" s="2148"/>
      <c r="D64" s="863"/>
      <c r="K64" s="1672"/>
      <c r="L64" s="2148"/>
      <c r="M64" s="2148"/>
      <c r="N64" s="1672"/>
      <c r="O64" s="1672"/>
      <c r="P64" s="1672"/>
      <c r="Q64" s="1672"/>
      <c r="R64" s="2148"/>
      <c r="S64" s="1672"/>
      <c r="T64" s="1672"/>
      <c r="U64" s="1056"/>
      <c r="V64" s="1672"/>
      <c r="W64" s="1672"/>
      <c r="X64" s="1672"/>
      <c r="Y64" s="1672"/>
      <c r="Z64" s="1672"/>
      <c r="AA64" s="2144"/>
      <c r="AB64" s="1078"/>
      <c r="AC64" s="1078"/>
      <c r="AD64" s="1078"/>
      <c r="AE64" s="1078"/>
      <c r="AF64" s="2153">
        <v>11</v>
      </c>
    </row>
    <row s="47496" customFormat="1" customHeight="1" ht="11.549999999999999">
      <c r="A65" s="1499"/>
      <c r="B65" s="2148"/>
      <c r="C65" s="2148"/>
      <c r="D65" s="863"/>
      <c r="K65" s="1672"/>
      <c r="L65" s="2148"/>
      <c r="M65" s="2148"/>
      <c r="N65" s="1672"/>
      <c r="O65" s="1672"/>
      <c r="P65" s="1672"/>
      <c r="Q65" s="1672"/>
      <c r="R65" s="2148"/>
      <c r="S65" s="1672"/>
      <c r="T65" s="1672"/>
      <c r="U65" s="1056"/>
      <c r="V65" s="1672"/>
      <c r="W65" s="1672"/>
      <c r="X65" s="1672"/>
      <c r="Y65" s="1672"/>
      <c r="Z65" s="1672"/>
      <c r="AA65" s="2144"/>
      <c r="AB65" s="1078"/>
      <c r="AC65" s="1078"/>
      <c r="AD65" s="1078"/>
      <c r="AE65" s="1078"/>
      <c r="AF65" s="2153">
        <v>11</v>
      </c>
    </row>
    <row s="47496" customFormat="1" customHeight="1" ht="11.549999999999999">
      <c r="A66" s="1499"/>
      <c r="B66" s="2148"/>
      <c r="C66" s="2148"/>
      <c r="D66" s="863"/>
      <c r="K66" s="1672"/>
      <c r="L66" s="2148"/>
      <c r="M66" s="2148"/>
      <c r="N66" s="1672"/>
      <c r="O66" s="1672"/>
      <c r="P66" s="1672"/>
      <c r="Q66" s="1672"/>
      <c r="R66" s="2148"/>
      <c r="S66" s="1672"/>
      <c r="T66" s="1672"/>
      <c r="U66" s="1056"/>
      <c r="V66" s="1672"/>
      <c r="W66" s="1672"/>
      <c r="X66" s="1672"/>
      <c r="Y66" s="1672"/>
      <c r="Z66" s="1672"/>
      <c r="AA66" s="2144"/>
      <c r="AB66" s="1078"/>
      <c r="AC66" s="1078"/>
      <c r="AD66" s="1078"/>
      <c r="AE66" s="1078"/>
      <c r="AF66" s="2153">
        <v>11</v>
      </c>
    </row>
    <row s="47496" customFormat="1" customHeight="1" ht="11.549999999999999">
      <c r="A67" s="1499"/>
      <c r="B67" s="2148"/>
      <c r="C67" s="2148"/>
      <c r="D67" s="863"/>
      <c r="K67" s="1672"/>
      <c r="L67" s="2148"/>
      <c r="M67" s="2148"/>
      <c r="N67" s="1672"/>
      <c r="O67" s="1672"/>
      <c r="P67" s="1672"/>
      <c r="Q67" s="1672"/>
      <c r="R67" s="2148"/>
      <c r="S67" s="1672"/>
      <c r="T67" s="1672"/>
      <c r="U67" s="1056"/>
      <c r="V67" s="1672"/>
      <c r="W67" s="1672"/>
      <c r="X67" s="1672"/>
      <c r="Y67" s="1672"/>
      <c r="Z67" s="1672"/>
      <c r="AA67" s="2144"/>
      <c r="AB67" s="1078"/>
      <c r="AC67" s="1078"/>
      <c r="AD67" s="1078"/>
      <c r="AE67" s="1078"/>
      <c r="AF67" s="2153">
        <v>11</v>
      </c>
    </row>
    <row s="47496" customFormat="1" customHeight="1" ht="11.549999999999999">
      <c r="A68" s="1499"/>
      <c r="B68" s="2148"/>
      <c r="C68" s="2148"/>
      <c r="D68" s="863"/>
      <c r="K68" s="1672"/>
      <c r="L68" s="2148"/>
      <c r="M68" s="2148"/>
      <c r="N68" s="1672"/>
      <c r="O68" s="1672"/>
      <c r="P68" s="1672"/>
      <c r="Q68" s="1672"/>
      <c r="R68" s="2148"/>
      <c r="S68" s="1672"/>
      <c r="T68" s="1672"/>
      <c r="U68" s="1056"/>
      <c r="V68" s="1672"/>
      <c r="W68" s="1672"/>
      <c r="X68" s="1672"/>
      <c r="Y68" s="1672"/>
      <c r="Z68" s="1672"/>
      <c r="AA68" s="2144"/>
      <c r="AB68" s="1078"/>
      <c r="AC68" s="1078"/>
      <c r="AD68" s="1078"/>
      <c r="AE68" s="1078"/>
      <c r="AF68" s="2153">
        <v>11</v>
      </c>
    </row>
    <row s="47496" customFormat="1" customHeight="1" ht="11.549999999999999">
      <c r="A69" s="1499"/>
      <c r="B69" s="2148"/>
      <c r="C69" s="2148"/>
      <c r="D69" s="863"/>
      <c r="K69" s="1672"/>
      <c r="L69" s="2148"/>
      <c r="M69" s="2148"/>
      <c r="N69" s="1672"/>
      <c r="O69" s="1672"/>
      <c r="P69" s="1672"/>
      <c r="Q69" s="1672"/>
      <c r="R69" s="2148"/>
      <c r="S69" s="1672"/>
      <c r="T69" s="1672"/>
      <c r="U69" s="1056"/>
      <c r="V69" s="1672"/>
      <c r="W69" s="1672"/>
      <c r="X69" s="1672"/>
      <c r="Y69" s="1672"/>
      <c r="Z69" s="1672"/>
      <c r="AA69" s="2144"/>
      <c r="AB69" s="1078"/>
      <c r="AC69" s="1078"/>
      <c r="AD69" s="1078"/>
      <c r="AE69" s="1078"/>
      <c r="AF69" s="2153">
        <v>11</v>
      </c>
    </row>
    <row s="47496" customFormat="1" customHeight="1" ht="11.549999999999999">
      <c r="A70" s="1499"/>
      <c r="B70" s="2148"/>
      <c r="C70" s="2148"/>
      <c r="D70" s="863"/>
      <c r="K70" s="1672"/>
      <c r="L70" s="2148"/>
      <c r="M70" s="2148"/>
      <c r="N70" s="1672"/>
      <c r="O70" s="1672"/>
      <c r="P70" s="1672"/>
      <c r="Q70" s="1672"/>
      <c r="R70" s="2148"/>
      <c r="S70" s="1672"/>
      <c r="T70" s="1672"/>
      <c r="U70" s="1056"/>
      <c r="V70" s="1672"/>
      <c r="W70" s="1672"/>
      <c r="X70" s="1672"/>
      <c r="Y70" s="1672"/>
      <c r="Z70" s="1672"/>
      <c r="AA70" s="2144"/>
      <c r="AB70" s="1078"/>
      <c r="AC70" s="1078"/>
      <c r="AD70" s="1078"/>
      <c r="AE70" s="1078"/>
      <c r="AF70" s="2153">
        <v>11</v>
      </c>
    </row>
    <row s="47496" customFormat="1" customHeight="1" ht="11.549999999999999">
      <c r="A71" s="1499"/>
      <c r="B71" s="2148"/>
      <c r="C71" s="2148"/>
      <c r="D71" s="863"/>
      <c r="K71" s="1672"/>
      <c r="L71" s="2148"/>
      <c r="M71" s="2148"/>
      <c r="N71" s="1672"/>
      <c r="O71" s="1672"/>
      <c r="P71" s="1672"/>
      <c r="Q71" s="1672"/>
      <c r="R71" s="2148"/>
      <c r="S71" s="1672"/>
      <c r="T71" s="1672"/>
      <c r="U71" s="1056"/>
      <c r="V71" s="1672"/>
      <c r="W71" s="1672"/>
      <c r="X71" s="1672"/>
      <c r="Y71" s="1672"/>
      <c r="Z71" s="1672"/>
      <c r="AA71" s="2144"/>
      <c r="AB71" s="1078"/>
      <c r="AC71" s="1078"/>
      <c r="AD71" s="1078"/>
      <c r="AE71" s="1078"/>
      <c r="AF71" s="2153">
        <v>11</v>
      </c>
    </row>
    <row s="47496" customFormat="1" customHeight="1" ht="11.549999999999999">
      <c r="A72" s="1499"/>
      <c r="B72" s="2148"/>
      <c r="C72" s="2148"/>
      <c r="D72" s="863"/>
      <c r="K72" s="1672"/>
      <c r="L72" s="2148"/>
      <c r="M72" s="2148"/>
      <c r="N72" s="1672"/>
      <c r="O72" s="1672"/>
      <c r="P72" s="1672"/>
      <c r="Q72" s="1672"/>
      <c r="R72" s="2148"/>
      <c r="S72" s="1672"/>
      <c r="T72" s="1672"/>
      <c r="U72" s="1056"/>
      <c r="V72" s="1672"/>
      <c r="W72" s="1672"/>
      <c r="X72" s="1672"/>
      <c r="Y72" s="1672"/>
      <c r="Z72" s="1672"/>
      <c r="AA72" s="2144"/>
      <c r="AB72" s="1078"/>
      <c r="AC72" s="1078"/>
      <c r="AD72" s="1078"/>
      <c r="AE72" s="1078"/>
      <c r="AF72" s="2153">
        <v>11</v>
      </c>
    </row>
    <row s="47496" customFormat="1" customHeight="1" ht="11.549999999999999">
      <c r="A73" s="1499"/>
      <c r="B73" s="2148"/>
      <c r="C73" s="2148"/>
      <c r="D73" s="863"/>
      <c r="K73" s="1672"/>
      <c r="L73" s="2148"/>
      <c r="M73" s="2148"/>
      <c r="N73" s="1672"/>
      <c r="O73" s="1672"/>
      <c r="P73" s="1672"/>
      <c r="Q73" s="1672"/>
      <c r="R73" s="2148"/>
      <c r="S73" s="1672"/>
      <c r="T73" s="1672"/>
      <c r="U73" s="1056"/>
      <c r="V73" s="1672"/>
      <c r="W73" s="1672"/>
      <c r="X73" s="1672"/>
      <c r="Y73" s="1672"/>
      <c r="Z73" s="1672"/>
      <c r="AA73" s="2144"/>
      <c r="AB73" s="1078"/>
      <c r="AC73" s="1078"/>
      <c r="AD73" s="1078"/>
      <c r="AE73" s="1078"/>
      <c r="AF73" s="2153">
        <v>11</v>
      </c>
    </row>
    <row s="47496" customFormat="1" customHeight="1" ht="11.549999999999999">
      <c r="A74" s="1499"/>
      <c r="B74" s="2148"/>
      <c r="C74" s="2148"/>
      <c r="D74" s="863"/>
      <c r="K74" s="1672"/>
      <c r="L74" s="2148"/>
      <c r="M74" s="2148"/>
      <c r="N74" s="1672"/>
      <c r="O74" s="1672"/>
      <c r="P74" s="1672"/>
      <c r="Q74" s="1672"/>
      <c r="R74" s="2148"/>
      <c r="S74" s="1672"/>
      <c r="T74" s="1672"/>
      <c r="U74" s="1056"/>
      <c r="V74" s="1672"/>
      <c r="W74" s="1672"/>
      <c r="X74" s="1672"/>
      <c r="Y74" s="1672"/>
      <c r="Z74" s="1672"/>
      <c r="AA74" s="2144"/>
      <c r="AB74" s="1078"/>
      <c r="AC74" s="1078"/>
      <c r="AD74" s="1078"/>
      <c r="AE74" s="1078"/>
      <c r="AF74" s="2153">
        <v>11</v>
      </c>
    </row>
    <row s="47496" customFormat="1" customHeight="1" ht="11.549999999999999">
      <c r="A75" s="1499"/>
      <c r="B75" s="2148"/>
      <c r="C75" s="2148"/>
      <c r="D75" s="863"/>
      <c r="K75" s="1672"/>
      <c r="L75" s="2148"/>
      <c r="M75" s="2148"/>
      <c r="N75" s="1672"/>
      <c r="O75" s="1672"/>
      <c r="P75" s="1672"/>
      <c r="Q75" s="1672"/>
      <c r="R75" s="2148"/>
      <c r="S75" s="1672"/>
      <c r="T75" s="1672"/>
      <c r="U75" s="1056"/>
      <c r="V75" s="1672"/>
      <c r="W75" s="1672"/>
      <c r="X75" s="1672"/>
      <c r="Y75" s="1672"/>
      <c r="Z75" s="1672"/>
      <c r="AA75" s="2144"/>
      <c r="AB75" s="1078"/>
      <c r="AC75" s="1078"/>
      <c r="AD75" s="1078"/>
      <c r="AE75" s="1078"/>
      <c r="AF75" s="2153">
        <v>11</v>
      </c>
    </row>
    <row s="47496" customFormat="1" customHeight="1" ht="11.549999999999999">
      <c r="A76" s="1499"/>
      <c r="B76" s="2148"/>
      <c r="C76" s="2148"/>
      <c r="D76" s="863"/>
      <c r="K76" s="1672"/>
      <c r="L76" s="2148"/>
      <c r="M76" s="2148"/>
      <c r="N76" s="1672"/>
      <c r="O76" s="1672"/>
      <c r="P76" s="1672"/>
      <c r="Q76" s="1672"/>
      <c r="R76" s="2148"/>
      <c r="S76" s="1672"/>
      <c r="T76" s="1672"/>
      <c r="U76" s="1056"/>
      <c r="V76" s="1672"/>
      <c r="W76" s="1672"/>
      <c r="X76" s="1672"/>
      <c r="Y76" s="1672"/>
      <c r="Z76" s="1672"/>
      <c r="AA76" s="2144"/>
      <c r="AB76" s="1078"/>
      <c r="AC76" s="1078"/>
      <c r="AD76" s="1078"/>
      <c r="AE76" s="1078"/>
      <c r="AF76" s="2153">
        <v>11</v>
      </c>
    </row>
    <row s="47496" customFormat="1" customHeight="1" ht="11.549999999999999">
      <c r="A77" s="1499"/>
      <c r="B77" s="2148"/>
      <c r="C77" s="2148"/>
      <c r="D77" s="863"/>
      <c r="K77" s="1672"/>
      <c r="L77" s="2148"/>
      <c r="M77" s="2148"/>
      <c r="N77" s="1672"/>
      <c r="O77" s="1672"/>
      <c r="P77" s="1672"/>
      <c r="Q77" s="1672"/>
      <c r="R77" s="2148"/>
      <c r="S77" s="1672"/>
      <c r="T77" s="1672"/>
      <c r="U77" s="1056"/>
      <c r="V77" s="1672"/>
      <c r="W77" s="1672"/>
      <c r="X77" s="1672"/>
      <c r="Y77" s="1672"/>
      <c r="Z77" s="1672"/>
      <c r="AA77" s="2144"/>
      <c r="AB77" s="1078"/>
      <c r="AC77" s="1078"/>
      <c r="AD77" s="1078"/>
      <c r="AE77" s="1078"/>
      <c r="AF77" s="2153">
        <v>11</v>
      </c>
    </row>
    <row s="47496" customFormat="1" customHeight="1" ht="11.549999999999999">
      <c r="A78" s="1499"/>
      <c r="B78" s="2148"/>
      <c r="C78" s="2148"/>
      <c r="D78" s="863"/>
      <c r="K78" s="1672"/>
      <c r="L78" s="2148"/>
      <c r="M78" s="2148"/>
      <c r="N78" s="1672"/>
      <c r="O78" s="1672"/>
      <c r="P78" s="1672"/>
      <c r="Q78" s="1672"/>
      <c r="R78" s="2148"/>
      <c r="S78" s="1672"/>
      <c r="T78" s="1672"/>
      <c r="U78" s="1056"/>
      <c r="V78" s="1672"/>
      <c r="W78" s="1672"/>
      <c r="X78" s="1672"/>
      <c r="Y78" s="1672"/>
      <c r="Z78" s="1672"/>
      <c r="AA78" s="2144"/>
      <c r="AB78" s="1078"/>
      <c r="AC78" s="1078"/>
      <c r="AD78" s="1078"/>
      <c r="AE78" s="1078"/>
      <c r="AF78" s="2153">
        <v>11</v>
      </c>
    </row>
    <row s="47496" customFormat="1" customHeight="1" ht="11.549999999999999">
      <c r="A79" s="1499"/>
      <c r="B79" s="2148"/>
      <c r="C79" s="2148"/>
      <c r="D79" s="863"/>
      <c r="K79" s="1672"/>
      <c r="L79" s="2148"/>
      <c r="M79" s="2148"/>
      <c r="N79" s="1672"/>
      <c r="O79" s="1672"/>
      <c r="P79" s="1672"/>
      <c r="Q79" s="1672"/>
      <c r="R79" s="2148"/>
      <c r="S79" s="1672"/>
      <c r="T79" s="1672"/>
      <c r="U79" s="1056"/>
      <c r="V79" s="1672"/>
      <c r="W79" s="1672"/>
      <c r="X79" s="1672"/>
      <c r="Y79" s="1672"/>
      <c r="Z79" s="1672"/>
      <c r="AA79" s="2144"/>
      <c r="AB79" s="1078"/>
      <c r="AC79" s="1078"/>
      <c r="AD79" s="1078"/>
      <c r="AE79" s="1078"/>
      <c r="AF79" s="2153">
        <v>11</v>
      </c>
    </row>
    <row s="47496" customFormat="1" customHeight="1" ht="11.549999999999999">
      <c r="A80" s="1499"/>
      <c r="B80" s="2148"/>
      <c r="C80" s="2148"/>
      <c r="D80" s="863"/>
      <c r="K80" s="1672"/>
      <c r="L80" s="2148"/>
      <c r="M80" s="2148"/>
      <c r="N80" s="1672"/>
      <c r="O80" s="1672"/>
      <c r="P80" s="1672"/>
      <c r="Q80" s="1672"/>
      <c r="R80" s="2148"/>
      <c r="S80" s="1672"/>
      <c r="T80" s="1672"/>
      <c r="U80" s="1056"/>
      <c r="V80" s="1672"/>
      <c r="W80" s="1672"/>
      <c r="X80" s="1672"/>
      <c r="Y80" s="1672"/>
      <c r="Z80" s="1672"/>
      <c r="AA80" s="2144"/>
      <c r="AB80" s="1078"/>
      <c r="AC80" s="1078"/>
      <c r="AD80" s="1078"/>
      <c r="AE80" s="1078"/>
      <c r="AF80" s="2153">
        <v>11</v>
      </c>
    </row>
    <row s="47496" customFormat="1" customHeight="1" ht="11.549999999999999">
      <c r="A81" s="1499"/>
      <c r="B81" s="2148"/>
      <c r="C81" s="2148"/>
      <c r="D81" s="863"/>
      <c r="K81" s="1672"/>
      <c r="L81" s="2148"/>
      <c r="M81" s="2148"/>
      <c r="N81" s="1672"/>
      <c r="O81" s="1672"/>
      <c r="P81" s="1672"/>
      <c r="Q81" s="1672"/>
      <c r="R81" s="2148"/>
      <c r="S81" s="1672"/>
      <c r="T81" s="1672"/>
      <c r="U81" s="1056"/>
      <c r="V81" s="1672"/>
      <c r="W81" s="1672"/>
      <c r="X81" s="1672"/>
      <c r="Y81" s="1672"/>
      <c r="Z81" s="1672"/>
      <c r="AA81" s="2144"/>
      <c r="AB81" s="1078"/>
      <c r="AC81" s="1078"/>
      <c r="AD81" s="1078"/>
      <c r="AE81" s="1078"/>
      <c r="AF81" s="2153">
        <v>11</v>
      </c>
    </row>
    <row s="47496" customFormat="1" customHeight="1" ht="11.549999999999999">
      <c r="A82" s="1499"/>
      <c r="B82" s="2148"/>
      <c r="C82" s="2148"/>
      <c r="D82" s="863"/>
      <c r="K82" s="1672"/>
      <c r="L82" s="2148"/>
      <c r="M82" s="2148"/>
      <c r="N82" s="1672"/>
      <c r="O82" s="1672"/>
      <c r="P82" s="1672"/>
      <c r="Q82" s="1672"/>
      <c r="R82" s="2148"/>
      <c r="S82" s="1672"/>
      <c r="T82" s="1672"/>
      <c r="U82" s="1056"/>
      <c r="V82" s="1672"/>
      <c r="W82" s="1672"/>
      <c r="X82" s="1672"/>
      <c r="Y82" s="1672"/>
      <c r="Z82" s="1672"/>
      <c r="AA82" s="2144"/>
      <c r="AB82" s="1078"/>
      <c r="AC82" s="1078"/>
      <c r="AD82" s="1078"/>
      <c r="AE82" s="1078"/>
      <c r="AF82" s="2153">
        <v>11</v>
      </c>
    </row>
    <row s="47496" customFormat="1" customHeight="1" ht="11.549999999999999">
      <c r="A83" s="1499"/>
      <c r="B83" s="2148"/>
      <c r="C83" s="2148"/>
      <c r="D83" s="863"/>
      <c r="K83" s="1672"/>
      <c r="L83" s="2148"/>
      <c r="M83" s="2148"/>
      <c r="N83" s="1672"/>
      <c r="O83" s="1672"/>
      <c r="P83" s="1672"/>
      <c r="Q83" s="1672"/>
      <c r="R83" s="2148"/>
      <c r="S83" s="1672"/>
      <c r="T83" s="1672"/>
      <c r="U83" s="1056"/>
      <c r="V83" s="1672"/>
      <c r="W83" s="1672"/>
      <c r="X83" s="1672"/>
      <c r="Y83" s="1672"/>
      <c r="Z83" s="1672"/>
      <c r="AA83" s="2144"/>
      <c r="AB83" s="1078"/>
      <c r="AC83" s="1078"/>
      <c r="AD83" s="1078"/>
      <c r="AE83" s="1078"/>
      <c r="AF83" s="2153">
        <v>11</v>
      </c>
    </row>
    <row s="47496" customFormat="1" customHeight="1" ht="11.549999999999999">
      <c r="A84" s="1499"/>
      <c r="B84" s="2148"/>
      <c r="C84" s="2148"/>
      <c r="D84" s="863"/>
      <c r="K84" s="1672"/>
      <c r="L84" s="2148"/>
      <c r="M84" s="2148"/>
      <c r="N84" s="1672"/>
      <c r="O84" s="1672"/>
      <c r="P84" s="1672"/>
      <c r="Q84" s="1672"/>
      <c r="R84" s="2148"/>
      <c r="S84" s="1672"/>
      <c r="T84" s="1672"/>
      <c r="U84" s="1056"/>
      <c r="V84" s="1672"/>
      <c r="W84" s="1672"/>
      <c r="X84" s="1672"/>
      <c r="Y84" s="1672"/>
      <c r="Z84" s="1672"/>
      <c r="AA84" s="2144"/>
      <c r="AB84" s="1078"/>
      <c r="AC84" s="1078"/>
      <c r="AD84" s="1078"/>
      <c r="AE84" s="1078"/>
      <c r="AF84" s="2153">
        <v>11</v>
      </c>
    </row>
    <row s="47496" customFormat="1" customHeight="1" ht="11.549999999999999">
      <c r="A85" s="1499"/>
      <c r="B85" s="2148"/>
      <c r="C85" s="2148"/>
      <c r="D85" s="863"/>
      <c r="K85" s="1672"/>
      <c r="L85" s="2148"/>
      <c r="M85" s="2148"/>
      <c r="N85" s="1672"/>
      <c r="O85" s="1672"/>
      <c r="P85" s="1672"/>
      <c r="Q85" s="1672"/>
      <c r="R85" s="2148"/>
      <c r="S85" s="1672"/>
      <c r="T85" s="1672"/>
      <c r="U85" s="1056"/>
      <c r="V85" s="1672"/>
      <c r="W85" s="1672"/>
      <c r="X85" s="1672"/>
      <c r="Y85" s="1672"/>
      <c r="Z85" s="1672"/>
      <c r="AA85" s="2144"/>
      <c r="AB85" s="1078"/>
      <c r="AC85" s="1078"/>
      <c r="AD85" s="1078"/>
      <c r="AE85" s="1078"/>
      <c r="AF85" s="2153">
        <v>11</v>
      </c>
    </row>
    <row s="47496" customFormat="1" customHeight="1" ht="11.549999999999999">
      <c r="A86" s="1499"/>
      <c r="B86" s="2148"/>
      <c r="C86" s="2148"/>
      <c r="D86" s="863"/>
      <c r="K86" s="1672"/>
      <c r="L86" s="2148"/>
      <c r="M86" s="2148"/>
      <c r="N86" s="1672"/>
      <c r="O86" s="1672"/>
      <c r="P86" s="1672"/>
      <c r="Q86" s="1672"/>
      <c r="R86" s="2148"/>
      <c r="S86" s="1672"/>
      <c r="T86" s="1672"/>
      <c r="U86" s="1056"/>
      <c r="V86" s="1672"/>
      <c r="W86" s="1672"/>
      <c r="X86" s="1672"/>
      <c r="Y86" s="1672"/>
      <c r="Z86" s="1672"/>
      <c r="AA86" s="2144"/>
      <c r="AB86" s="1078"/>
      <c r="AC86" s="1078"/>
      <c r="AD86" s="1078"/>
      <c r="AE86" s="1078"/>
      <c r="AF86" s="2153">
        <v>11</v>
      </c>
    </row>
    <row s="47496" customFormat="1" customHeight="1" ht="11.549999999999999">
      <c r="A87" s="1499"/>
      <c r="B87" s="2148"/>
      <c r="C87" s="2148"/>
      <c r="D87" s="863"/>
      <c r="K87" s="1672"/>
      <c r="L87" s="2148"/>
      <c r="M87" s="2148"/>
      <c r="N87" s="1672"/>
      <c r="O87" s="1672"/>
      <c r="P87" s="1672"/>
      <c r="Q87" s="1672"/>
      <c r="R87" s="2148"/>
      <c r="S87" s="1672"/>
      <c r="T87" s="1672"/>
      <c r="U87" s="1056"/>
      <c r="V87" s="1672"/>
      <c r="W87" s="1672"/>
      <c r="X87" s="1672"/>
      <c r="Y87" s="1672"/>
      <c r="Z87" s="1672"/>
      <c r="AA87" s="2144"/>
      <c r="AB87" s="1078"/>
      <c r="AC87" s="1078"/>
      <c r="AD87" s="1078"/>
      <c r="AE87" s="1078"/>
      <c r="AF87" s="2153">
        <v>11</v>
      </c>
    </row>
    <row s="47496" customFormat="1" customHeight="1" ht="11.549999999999999">
      <c r="A88" s="1499"/>
      <c r="B88" s="2148"/>
      <c r="C88" s="2148"/>
      <c r="D88" s="863"/>
      <c r="K88" s="1672"/>
      <c r="L88" s="2148"/>
      <c r="M88" s="2148"/>
      <c r="N88" s="1672"/>
      <c r="O88" s="1672"/>
      <c r="P88" s="1672"/>
      <c r="Q88" s="1672"/>
      <c r="R88" s="2148"/>
      <c r="S88" s="1672"/>
      <c r="T88" s="1672"/>
      <c r="U88" s="1056"/>
      <c r="V88" s="1672"/>
      <c r="W88" s="1672"/>
      <c r="X88" s="1672"/>
      <c r="Y88" s="1672"/>
      <c r="Z88" s="1672"/>
      <c r="AA88" s="2144"/>
      <c r="AB88" s="1078"/>
      <c r="AC88" s="1078"/>
      <c r="AD88" s="1078"/>
      <c r="AE88" s="1078"/>
      <c r="AF88" s="2153">
        <v>11</v>
      </c>
    </row>
    <row s="47496" customFormat="1" customHeight="1" ht="11.549999999999999">
      <c r="A89" s="1499"/>
      <c r="B89" s="2148"/>
      <c r="C89" s="2148"/>
      <c r="D89" s="863"/>
      <c r="K89" s="1672"/>
      <c r="L89" s="2148"/>
      <c r="M89" s="2148"/>
      <c r="N89" s="1672"/>
      <c r="O89" s="1672"/>
      <c r="P89" s="1672"/>
      <c r="Q89" s="1672"/>
      <c r="R89" s="2148"/>
      <c r="S89" s="1672"/>
      <c r="T89" s="1672"/>
      <c r="U89" s="1056"/>
      <c r="V89" s="1672"/>
      <c r="W89" s="1672"/>
      <c r="X89" s="1672"/>
      <c r="Y89" s="1672"/>
      <c r="Z89" s="1672"/>
      <c r="AA89" s="2144"/>
      <c r="AB89" s="1078"/>
      <c r="AC89" s="1078"/>
      <c r="AD89" s="1078"/>
      <c r="AE89" s="1078"/>
      <c r="AF89" s="2153">
        <v>11</v>
      </c>
    </row>
    <row s="47496" customFormat="1" customHeight="1" ht="11.549999999999999">
      <c r="A90" s="1499"/>
      <c r="B90" s="2148"/>
      <c r="C90" s="2148"/>
      <c r="D90" s="863"/>
      <c r="K90" s="1672"/>
      <c r="L90" s="2148"/>
      <c r="M90" s="2148"/>
      <c r="N90" s="1672"/>
      <c r="O90" s="1672"/>
      <c r="P90" s="1672"/>
      <c r="Q90" s="1672"/>
      <c r="R90" s="2148"/>
      <c r="S90" s="1672"/>
      <c r="T90" s="1672"/>
      <c r="U90" s="1056"/>
      <c r="V90" s="1672"/>
      <c r="W90" s="1672"/>
      <c r="X90" s="1672"/>
      <c r="Y90" s="1672"/>
      <c r="Z90" s="1672"/>
      <c r="AA90" s="2144"/>
      <c r="AB90" s="1078"/>
      <c r="AC90" s="1078"/>
      <c r="AD90" s="1078"/>
      <c r="AE90" s="1078"/>
      <c r="AF90" s="2153">
        <v>11</v>
      </c>
    </row>
    <row s="47496" customFormat="1" customHeight="1" ht="11.549999999999999">
      <c r="A91" s="1499"/>
      <c r="B91" s="2148"/>
      <c r="C91" s="2148"/>
      <c r="D91" s="863"/>
      <c r="K91" s="1672"/>
      <c r="L91" s="2148"/>
      <c r="M91" s="2148"/>
      <c r="N91" s="1672"/>
      <c r="O91" s="1672"/>
      <c r="P91" s="1672"/>
      <c r="Q91" s="1672"/>
      <c r="R91" s="2148"/>
      <c r="S91" s="1672"/>
      <c r="T91" s="1672"/>
      <c r="U91" s="1056"/>
      <c r="V91" s="1672"/>
      <c r="W91" s="1672"/>
      <c r="X91" s="1672"/>
      <c r="Y91" s="1672"/>
      <c r="Z91" s="1672"/>
      <c r="AA91" s="2144"/>
      <c r="AB91" s="1078"/>
      <c r="AC91" s="1078"/>
      <c r="AD91" s="1078"/>
      <c r="AE91" s="1078"/>
      <c r="AF91" s="2153">
        <v>11</v>
      </c>
    </row>
    <row s="47496" customFormat="1" customHeight="1" ht="11.549999999999999">
      <c r="A92" s="1499"/>
      <c r="B92" s="2148"/>
      <c r="C92" s="2148"/>
      <c r="D92" s="863"/>
      <c r="K92" s="1672"/>
      <c r="L92" s="2148"/>
      <c r="M92" s="2148"/>
      <c r="N92" s="1672"/>
      <c r="O92" s="1672"/>
      <c r="P92" s="1672"/>
      <c r="Q92" s="1672"/>
      <c r="R92" s="2148"/>
      <c r="S92" s="1672"/>
      <c r="T92" s="1672"/>
      <c r="U92" s="1056"/>
      <c r="V92" s="1672"/>
      <c r="W92" s="1672"/>
      <c r="X92" s="1672"/>
      <c r="Y92" s="1672"/>
      <c r="Z92" s="1672"/>
      <c r="AA92" s="2144"/>
      <c r="AB92" s="1078"/>
      <c r="AC92" s="1078"/>
      <c r="AD92" s="1078"/>
      <c r="AE92" s="1078"/>
      <c r="AF92" s="2153">
        <v>11</v>
      </c>
    </row>
    <row s="47496" customFormat="1" customHeight="1" ht="11.549999999999999">
      <c r="A93" s="1499"/>
      <c r="B93" s="2148"/>
      <c r="C93" s="2148"/>
      <c r="D93" s="863"/>
      <c r="K93" s="1672"/>
      <c r="L93" s="2148"/>
      <c r="M93" s="2148"/>
      <c r="N93" s="1672"/>
      <c r="O93" s="1672"/>
      <c r="P93" s="1672"/>
      <c r="Q93" s="1672"/>
      <c r="R93" s="2148"/>
      <c r="S93" s="1672"/>
      <c r="T93" s="1672"/>
      <c r="U93" s="1056"/>
      <c r="V93" s="1672"/>
      <c r="W93" s="1672"/>
      <c r="X93" s="1672"/>
      <c r="Y93" s="1672"/>
      <c r="Z93" s="1672"/>
      <c r="AA93" s="2144"/>
      <c r="AB93" s="1078"/>
      <c r="AC93" s="1078"/>
      <c r="AD93" s="1078"/>
      <c r="AE93" s="1078"/>
      <c r="AF93" s="2153">
        <v>11</v>
      </c>
    </row>
    <row s="47496" customFormat="1" customHeight="1" ht="11.549999999999999">
      <c r="A94" s="1499"/>
      <c r="B94" s="2148"/>
      <c r="C94" s="2148"/>
      <c r="D94" s="863"/>
      <c r="K94" s="1672"/>
      <c r="L94" s="2148"/>
      <c r="M94" s="2148"/>
      <c r="N94" s="1672"/>
      <c r="O94" s="1672"/>
      <c r="P94" s="1672"/>
      <c r="Q94" s="1672"/>
      <c r="R94" s="2148"/>
      <c r="S94" s="1672"/>
      <c r="T94" s="1672"/>
      <c r="U94" s="1056"/>
      <c r="V94" s="1672"/>
      <c r="W94" s="1672"/>
      <c r="X94" s="1672"/>
      <c r="Y94" s="1672"/>
      <c r="Z94" s="1672"/>
      <c r="AA94" s="2144"/>
      <c r="AB94" s="1078"/>
      <c r="AC94" s="1078"/>
      <c r="AD94" s="1078"/>
      <c r="AE94" s="1078"/>
      <c r="AF94" s="2153">
        <v>11</v>
      </c>
    </row>
    <row s="47496" customFormat="1" customHeight="1" ht="11.549999999999999">
      <c r="A95" s="1499"/>
      <c r="B95" s="2148"/>
      <c r="C95" s="2148"/>
      <c r="D95" s="863"/>
      <c r="K95" s="1672"/>
      <c r="L95" s="2148"/>
      <c r="M95" s="2148"/>
      <c r="N95" s="1672"/>
      <c r="O95" s="1672"/>
      <c r="P95" s="1672"/>
      <c r="Q95" s="1672"/>
      <c r="R95" s="2148"/>
      <c r="S95" s="1672"/>
      <c r="T95" s="1672"/>
      <c r="U95" s="1056"/>
      <c r="V95" s="1672"/>
      <c r="W95" s="1672"/>
      <c r="X95" s="1672"/>
      <c r="Y95" s="1672"/>
      <c r="Z95" s="1672"/>
      <c r="AA95" s="2144"/>
      <c r="AB95" s="1078"/>
      <c r="AC95" s="1078"/>
      <c r="AD95" s="1078"/>
      <c r="AE95" s="1078"/>
      <c r="AF95" s="2153">
        <v>11</v>
      </c>
    </row>
    <row s="47496" customFormat="1" customHeight="1" ht="11.549999999999999">
      <c r="A96" s="1499"/>
      <c r="B96" s="2148"/>
      <c r="C96" s="2148"/>
      <c r="D96" s="863"/>
      <c r="K96" s="1672"/>
      <c r="L96" s="2148"/>
      <c r="M96" s="2148"/>
      <c r="N96" s="1672"/>
      <c r="O96" s="1672"/>
      <c r="P96" s="1672"/>
      <c r="Q96" s="1672"/>
      <c r="R96" s="2148"/>
      <c r="S96" s="1672"/>
      <c r="T96" s="1672"/>
      <c r="U96" s="1056"/>
      <c r="V96" s="1672"/>
      <c r="W96" s="1672"/>
      <c r="X96" s="1672"/>
      <c r="Y96" s="1672"/>
      <c r="Z96" s="1672"/>
      <c r="AA96" s="2144"/>
      <c r="AB96" s="1078"/>
      <c r="AC96" s="1078"/>
      <c r="AD96" s="1078"/>
      <c r="AE96" s="1078"/>
      <c r="AF96" s="2153">
        <v>11</v>
      </c>
    </row>
    <row s="47496" customFormat="1" customHeight="1" ht="11.549999999999999">
      <c r="A97" s="1499"/>
      <c r="B97" s="2148"/>
      <c r="C97" s="2148"/>
      <c r="D97" s="863"/>
      <c r="K97" s="1672"/>
      <c r="L97" s="2148"/>
      <c r="M97" s="2148"/>
      <c r="N97" s="1672"/>
      <c r="O97" s="1672"/>
      <c r="P97" s="1672"/>
      <c r="Q97" s="1672"/>
      <c r="R97" s="2148"/>
      <c r="S97" s="1672"/>
      <c r="T97" s="1672"/>
      <c r="U97" s="1056"/>
      <c r="V97" s="1672"/>
      <c r="W97" s="1672"/>
      <c r="X97" s="1672"/>
      <c r="Y97" s="1672"/>
      <c r="Z97" s="1672"/>
      <c r="AA97" s="2144"/>
      <c r="AB97" s="1078"/>
      <c r="AC97" s="1078"/>
      <c r="AD97" s="1078"/>
      <c r="AE97" s="1078"/>
      <c r="AF97" s="2153">
        <v>11</v>
      </c>
    </row>
    <row s="47496" customFormat="1" customHeight="1" ht="11.549999999999999">
      <c r="A98" s="1499"/>
      <c r="B98" s="2148"/>
      <c r="C98" s="2148"/>
      <c r="D98" s="863"/>
      <c r="K98" s="1672"/>
      <c r="L98" s="2148"/>
      <c r="M98" s="2148"/>
      <c r="N98" s="1672"/>
      <c r="O98" s="1672"/>
      <c r="P98" s="1672"/>
      <c r="Q98" s="1672"/>
      <c r="R98" s="2148"/>
      <c r="S98" s="1672"/>
      <c r="T98" s="1672"/>
      <c r="U98" s="1056"/>
      <c r="V98" s="1672"/>
      <c r="W98" s="1672"/>
      <c r="X98" s="1672"/>
      <c r="Y98" s="1672"/>
      <c r="Z98" s="1672"/>
      <c r="AA98" s="2144"/>
      <c r="AB98" s="1078"/>
      <c r="AC98" s="1078"/>
      <c r="AD98" s="1078"/>
      <c r="AE98" s="1078"/>
      <c r="AF98" s="2153">
        <v>11</v>
      </c>
    </row>
    <row s="47496" customFormat="1" customHeight="1" ht="11.549999999999999">
      <c r="A99" s="1499"/>
      <c r="B99" s="2148"/>
      <c r="C99" s="2148"/>
      <c r="D99" s="863"/>
      <c r="K99" s="1672"/>
      <c r="L99" s="2148"/>
      <c r="M99" s="2148"/>
      <c r="N99" s="1672"/>
      <c r="O99" s="1672"/>
      <c r="P99" s="1672"/>
      <c r="Q99" s="1672"/>
      <c r="R99" s="2148"/>
      <c r="S99" s="1672"/>
      <c r="T99" s="1672"/>
      <c r="U99" s="1056"/>
      <c r="V99" s="1672"/>
      <c r="W99" s="1672"/>
      <c r="X99" s="1672"/>
      <c r="Y99" s="1672"/>
      <c r="Z99" s="1672"/>
      <c r="AA99" s="2144"/>
      <c r="AB99" s="1078"/>
      <c r="AC99" s="1078"/>
      <c r="AD99" s="1078"/>
      <c r="AE99" s="1078"/>
      <c r="AF99" s="2153">
        <v>11</v>
      </c>
    </row>
    <row s="47496" customFormat="1" customHeight="1" ht="11.549999999999999">
      <c r="A100" s="1499"/>
      <c r="B100" s="2148"/>
      <c r="C100" s="2148"/>
      <c r="D100" s="863"/>
      <c r="K100" s="1672"/>
      <c r="L100" s="2148"/>
      <c r="M100" s="2148"/>
      <c r="N100" s="1672"/>
      <c r="O100" s="1672"/>
      <c r="P100" s="1672"/>
      <c r="Q100" s="1672"/>
      <c r="R100" s="2148"/>
      <c r="S100" s="1672"/>
      <c r="T100" s="1672"/>
      <c r="U100" s="1056"/>
      <c r="V100" s="1672"/>
      <c r="W100" s="1672"/>
      <c r="X100" s="1672"/>
      <c r="Y100" s="1672"/>
      <c r="Z100" s="1672"/>
      <c r="AA100" s="2144"/>
      <c r="AB100" s="1078"/>
      <c r="AC100" s="1078"/>
      <c r="AD100" s="1078"/>
      <c r="AE100" s="1078"/>
      <c r="AF100" s="2153">
        <v>11</v>
      </c>
    </row>
    <row s="47496" customFormat="1" customHeight="1" ht="11.549999999999999">
      <c r="A101" s="1499"/>
      <c r="B101" s="2148"/>
      <c r="C101" s="2148"/>
      <c r="D101" s="863"/>
      <c r="K101" s="1672"/>
      <c r="L101" s="2148"/>
      <c r="M101" s="2148"/>
      <c r="N101" s="1672"/>
      <c r="O101" s="1672"/>
      <c r="P101" s="1672"/>
      <c r="Q101" s="1672"/>
      <c r="R101" s="2148"/>
      <c r="S101" s="1672"/>
      <c r="T101" s="1672"/>
      <c r="U101" s="1056"/>
      <c r="V101" s="1672"/>
      <c r="W101" s="1672"/>
      <c r="X101" s="1672"/>
      <c r="Y101" s="1672"/>
      <c r="Z101" s="1672"/>
      <c r="AA101" s="2144"/>
      <c r="AB101" s="1078"/>
      <c r="AC101" s="1078"/>
      <c r="AD101" s="1078"/>
      <c r="AE101" s="1078"/>
      <c r="AF101" s="2153">
        <v>11</v>
      </c>
    </row>
    <row s="47496" customFormat="1" customHeight="1" ht="11.549999999999999">
      <c r="A102" s="1499"/>
      <c r="B102" s="2148"/>
      <c r="C102" s="2148"/>
      <c r="D102" s="863"/>
      <c r="K102" s="1672"/>
      <c r="L102" s="2148"/>
      <c r="M102" s="2148"/>
      <c r="N102" s="1672"/>
      <c r="O102" s="1672"/>
      <c r="P102" s="1672"/>
      <c r="Q102" s="1672"/>
      <c r="R102" s="2148"/>
      <c r="S102" s="1672"/>
      <c r="T102" s="1672"/>
      <c r="U102" s="1056"/>
      <c r="V102" s="1672"/>
      <c r="W102" s="1672"/>
      <c r="X102" s="1672"/>
      <c r="Y102" s="1672"/>
      <c r="Z102" s="1672"/>
      <c r="AA102" s="2144"/>
      <c r="AB102" s="1078"/>
      <c r="AC102" s="1078"/>
      <c r="AD102" s="1078"/>
      <c r="AE102" s="1078"/>
      <c r="AF102" s="2153">
        <v>11</v>
      </c>
    </row>
    <row s="47496" customFormat="1" customHeight="1" ht="11.549999999999999">
      <c r="A103" s="1499"/>
      <c r="B103" s="2148"/>
      <c r="C103" s="2148"/>
      <c r="D103" s="863"/>
      <c r="K103" s="1672"/>
      <c r="L103" s="2148"/>
      <c r="M103" s="2148"/>
      <c r="N103" s="1672"/>
      <c r="O103" s="1672"/>
      <c r="P103" s="1672"/>
      <c r="Q103" s="1672"/>
      <c r="R103" s="2148"/>
      <c r="S103" s="1672"/>
      <c r="T103" s="1672"/>
      <c r="U103" s="1056"/>
      <c r="V103" s="1672"/>
      <c r="W103" s="1672"/>
      <c r="X103" s="1672"/>
      <c r="Y103" s="1672"/>
      <c r="Z103" s="1672"/>
      <c r="AA103" s="2144"/>
      <c r="AB103" s="1078"/>
      <c r="AC103" s="1078"/>
      <c r="AD103" s="1078"/>
      <c r="AE103" s="1078"/>
      <c r="AF103" s="2153">
        <v>11</v>
      </c>
    </row>
    <row s="47496" customFormat="1" customHeight="1" ht="11.549999999999999">
      <c r="A104" s="1499"/>
      <c r="B104" s="2148"/>
      <c r="C104" s="2148"/>
      <c r="D104" s="863"/>
      <c r="K104" s="1672"/>
      <c r="L104" s="2148"/>
      <c r="M104" s="2148"/>
      <c r="N104" s="1672"/>
      <c r="O104" s="1672"/>
      <c r="P104" s="1672"/>
      <c r="Q104" s="1672"/>
      <c r="R104" s="2148"/>
      <c r="S104" s="1672"/>
      <c r="T104" s="1672"/>
      <c r="U104" s="1056"/>
      <c r="V104" s="1672"/>
      <c r="W104" s="1672"/>
      <c r="X104" s="1672"/>
      <c r="Y104" s="1672"/>
      <c r="Z104" s="1672"/>
      <c r="AA104" s="2144"/>
      <c r="AB104" s="1078"/>
      <c r="AC104" s="1078"/>
      <c r="AD104" s="1078"/>
      <c r="AE104" s="1078"/>
      <c r="AF104" s="2153">
        <v>11</v>
      </c>
    </row>
    <row s="47496" customFormat="1" customHeight="1" ht="11.549999999999999">
      <c r="A105" s="1499"/>
      <c r="B105" s="2148"/>
      <c r="C105" s="2148"/>
      <c r="D105" s="863"/>
      <c r="K105" s="1672"/>
      <c r="L105" s="2148"/>
      <c r="M105" s="2148"/>
      <c r="N105" s="1672"/>
      <c r="O105" s="1672"/>
      <c r="P105" s="1672"/>
      <c r="Q105" s="1672"/>
      <c r="R105" s="2148"/>
      <c r="S105" s="1672"/>
      <c r="T105" s="1672"/>
      <c r="U105" s="1056"/>
      <c r="V105" s="1672"/>
      <c r="W105" s="1672"/>
      <c r="X105" s="1672"/>
      <c r="Y105" s="1672"/>
      <c r="Z105" s="1672"/>
      <c r="AA105" s="2144"/>
      <c r="AB105" s="1078"/>
      <c r="AC105" s="1078"/>
      <c r="AD105" s="1078"/>
      <c r="AE105" s="1078"/>
      <c r="AF105" s="2153">
        <v>11</v>
      </c>
    </row>
    <row s="47496" customFormat="1" customHeight="1" ht="11.549999999999999">
      <c r="A106" s="1499"/>
      <c r="B106" s="2148"/>
      <c r="C106" s="2148"/>
      <c r="D106" s="863"/>
      <c r="K106" s="1672"/>
      <c r="L106" s="2148"/>
      <c r="M106" s="2148"/>
      <c r="N106" s="1672"/>
      <c r="O106" s="1672"/>
      <c r="P106" s="1672"/>
      <c r="Q106" s="1672"/>
      <c r="R106" s="2148"/>
      <c r="S106" s="1672"/>
      <c r="T106" s="1672"/>
      <c r="U106" s="1056"/>
      <c r="V106" s="1672"/>
      <c r="W106" s="1672"/>
      <c r="X106" s="1672"/>
      <c r="Y106" s="1672"/>
      <c r="Z106" s="1672"/>
      <c r="AA106" s="2144"/>
      <c r="AB106" s="1078"/>
      <c r="AC106" s="1078"/>
      <c r="AD106" s="1078"/>
      <c r="AE106" s="1078"/>
      <c r="AF106" s="2153">
        <v>11</v>
      </c>
    </row>
    <row s="47496" customFormat="1" customHeight="1" ht="11.549999999999999">
      <c r="A107" s="1499"/>
      <c r="B107" s="2148"/>
      <c r="C107" s="2148"/>
      <c r="D107" s="863"/>
      <c r="K107" s="1672"/>
      <c r="L107" s="2148"/>
      <c r="M107" s="2148"/>
      <c r="N107" s="1672"/>
      <c r="O107" s="1672"/>
      <c r="P107" s="1672"/>
      <c r="Q107" s="1672"/>
      <c r="R107" s="2148"/>
      <c r="S107" s="1672"/>
      <c r="T107" s="1672"/>
      <c r="U107" s="1056"/>
      <c r="V107" s="1672"/>
      <c r="W107" s="1672"/>
      <c r="X107" s="1672"/>
      <c r="Y107" s="1672"/>
      <c r="Z107" s="1672"/>
      <c r="AA107" s="2144"/>
      <c r="AB107" s="1078"/>
      <c r="AC107" s="1078"/>
      <c r="AD107" s="1078"/>
      <c r="AE107" s="1078"/>
      <c r="AF107" s="2153">
        <v>11</v>
      </c>
    </row>
    <row s="47496" customFormat="1" customHeight="1" ht="11.549999999999999">
      <c r="A108" s="1499"/>
      <c r="B108" s="2148"/>
      <c r="C108" s="2148"/>
      <c r="D108" s="863"/>
      <c r="K108" s="1672"/>
      <c r="L108" s="2148"/>
      <c r="M108" s="2148"/>
      <c r="N108" s="1672"/>
      <c r="O108" s="1672"/>
      <c r="P108" s="1672"/>
      <c r="Q108" s="1672"/>
      <c r="R108" s="2148"/>
      <c r="S108" s="1672"/>
      <c r="T108" s="1672"/>
      <c r="U108" s="1056"/>
      <c r="V108" s="1672"/>
      <c r="W108" s="1672"/>
      <c r="X108" s="1672"/>
      <c r="Y108" s="1672"/>
      <c r="Z108" s="1672"/>
      <c r="AA108" s="2144"/>
      <c r="AB108" s="1078"/>
      <c r="AC108" s="1078"/>
      <c r="AD108" s="1078"/>
      <c r="AE108" s="1078"/>
      <c r="AF108" s="2153">
        <v>11</v>
      </c>
    </row>
    <row s="47496" customFormat="1" customHeight="1" ht="11.549999999999999">
      <c r="A109" s="1499"/>
      <c r="B109" s="2148"/>
      <c r="C109" s="2148"/>
      <c r="D109" s="863"/>
      <c r="K109" s="1672"/>
      <c r="L109" s="2148"/>
      <c r="M109" s="2148"/>
      <c r="N109" s="1672"/>
      <c r="O109" s="1672"/>
      <c r="P109" s="1672"/>
      <c r="Q109" s="1672"/>
      <c r="R109" s="2148"/>
      <c r="S109" s="1672"/>
      <c r="T109" s="1672"/>
      <c r="U109" s="1056"/>
      <c r="V109" s="1672"/>
      <c r="W109" s="1672"/>
      <c r="X109" s="1672"/>
      <c r="Y109" s="1672"/>
      <c r="Z109" s="1672"/>
      <c r="AA109" s="2144"/>
      <c r="AB109" s="1078"/>
      <c r="AC109" s="1078"/>
      <c r="AD109" s="1078"/>
      <c r="AE109" s="1078"/>
      <c r="AF109" s="2153">
        <v>11</v>
      </c>
    </row>
    <row s="47496" customFormat="1" customHeight="1" ht="11.549999999999999">
      <c r="A110" s="1499"/>
      <c r="B110" s="2148"/>
      <c r="C110" s="2148"/>
      <c r="D110" s="863"/>
      <c r="K110" s="1672"/>
      <c r="L110" s="2148"/>
      <c r="M110" s="2148"/>
      <c r="N110" s="1672"/>
      <c r="O110" s="1672"/>
      <c r="P110" s="1672"/>
      <c r="Q110" s="1672"/>
      <c r="R110" s="2148"/>
      <c r="S110" s="1672"/>
      <c r="T110" s="1672"/>
      <c r="U110" s="1056"/>
      <c r="V110" s="1672"/>
      <c r="W110" s="1672"/>
      <c r="X110" s="1672"/>
      <c r="Y110" s="1672"/>
      <c r="Z110" s="1672"/>
      <c r="AA110" s="2144"/>
      <c r="AB110" s="1078"/>
      <c r="AC110" s="1078"/>
      <c r="AD110" s="1078"/>
      <c r="AE110" s="1078"/>
      <c r="AF110" s="2153">
        <v>11</v>
      </c>
    </row>
    <row s="47496" customFormat="1" customHeight="1" ht="11.549999999999999">
      <c r="A111" s="1499"/>
      <c r="B111" s="2148"/>
      <c r="C111" s="2148"/>
      <c r="D111" s="863"/>
      <c r="K111" s="1672"/>
      <c r="L111" s="2148"/>
      <c r="M111" s="2148"/>
      <c r="N111" s="1672"/>
      <c r="O111" s="1672"/>
      <c r="P111" s="1672"/>
      <c r="Q111" s="1672"/>
      <c r="R111" s="2148"/>
      <c r="S111" s="1672"/>
      <c r="T111" s="1672"/>
      <c r="U111" s="1056"/>
      <c r="V111" s="1672"/>
      <c r="W111" s="1672"/>
      <c r="X111" s="1672"/>
      <c r="Y111" s="1672"/>
      <c r="Z111" s="1672"/>
      <c r="AA111" s="2144"/>
      <c r="AB111" s="1078"/>
      <c r="AC111" s="1078"/>
      <c r="AD111" s="1078"/>
      <c r="AE111" s="1078"/>
      <c r="AF111" s="2153">
        <v>11</v>
      </c>
    </row>
    <row s="47496" customFormat="1" customHeight="1" ht="11.549999999999999">
      <c r="A112" s="1499"/>
      <c r="B112" s="2148"/>
      <c r="C112" s="2148"/>
      <c r="D112" s="863"/>
      <c r="K112" s="1672"/>
      <c r="L112" s="2148"/>
      <c r="M112" s="2148"/>
      <c r="N112" s="1672"/>
      <c r="O112" s="1672"/>
      <c r="P112" s="1672"/>
      <c r="Q112" s="1672"/>
      <c r="R112" s="2148"/>
      <c r="S112" s="1672"/>
      <c r="T112" s="1672"/>
      <c r="U112" s="1056"/>
      <c r="V112" s="1672"/>
      <c r="W112" s="1672"/>
      <c r="X112" s="1672"/>
      <c r="Y112" s="1672"/>
      <c r="Z112" s="1672"/>
      <c r="AA112" s="2144"/>
      <c r="AB112" s="1078"/>
      <c r="AC112" s="1078"/>
      <c r="AD112" s="1078"/>
      <c r="AE112" s="1078"/>
      <c r="AF112" s="2153">
        <v>11</v>
      </c>
    </row>
    <row s="47496" customFormat="1" customHeight="1" ht="11.549999999999999">
      <c r="A113" s="1499"/>
      <c r="B113" s="2148"/>
      <c r="C113" s="2148"/>
      <c r="D113" s="863"/>
      <c r="K113" s="1672"/>
      <c r="L113" s="2148"/>
      <c r="M113" s="2148"/>
      <c r="N113" s="1672"/>
      <c r="O113" s="1672"/>
      <c r="P113" s="1672"/>
      <c r="Q113" s="1672"/>
      <c r="R113" s="2148"/>
      <c r="S113" s="1672"/>
      <c r="T113" s="1672"/>
      <c r="U113" s="1056"/>
      <c r="V113" s="1672"/>
      <c r="W113" s="1672"/>
      <c r="X113" s="1672"/>
      <c r="Y113" s="1672"/>
      <c r="Z113" s="1672"/>
      <c r="AA113" s="2144"/>
      <c r="AB113" s="1078"/>
      <c r="AC113" s="1078"/>
      <c r="AD113" s="1078"/>
      <c r="AE113" s="1078"/>
      <c r="AF113" s="2153">
        <v>11</v>
      </c>
    </row>
    <row s="47496" customFormat="1" customHeight="1" ht="11.549999999999999">
      <c r="A114" s="1499"/>
      <c r="B114" s="2148"/>
      <c r="C114" s="2148"/>
      <c r="D114" s="863"/>
      <c r="K114" s="1672"/>
      <c r="L114" s="2148"/>
      <c r="M114" s="2148"/>
      <c r="N114" s="1672"/>
      <c r="O114" s="1672"/>
      <c r="P114" s="1672"/>
      <c r="Q114" s="1672"/>
      <c r="R114" s="2148"/>
      <c r="S114" s="1672"/>
      <c r="T114" s="1672"/>
      <c r="U114" s="1056"/>
      <c r="V114" s="1672"/>
      <c r="W114" s="1672"/>
      <c r="X114" s="1672"/>
      <c r="Y114" s="1672"/>
      <c r="Z114" s="1672"/>
      <c r="AA114" s="2144"/>
      <c r="AB114" s="1078"/>
      <c r="AC114" s="1078"/>
      <c r="AD114" s="1078"/>
      <c r="AE114" s="1078"/>
      <c r="AF114" s="2153">
        <v>11</v>
      </c>
    </row>
    <row s="47496" customFormat="1" customHeight="1" ht="11.549999999999999">
      <c r="A115" s="1499"/>
      <c r="B115" s="2148"/>
      <c r="C115" s="2148"/>
      <c r="D115" s="863"/>
      <c r="K115" s="1672"/>
      <c r="L115" s="2148"/>
      <c r="M115" s="2148"/>
      <c r="N115" s="1672"/>
      <c r="O115" s="1672"/>
      <c r="P115" s="1672"/>
      <c r="Q115" s="1672"/>
      <c r="R115" s="2148"/>
      <c r="S115" s="1672"/>
      <c r="T115" s="1672"/>
      <c r="U115" s="1056"/>
      <c r="V115" s="1672"/>
      <c r="W115" s="1672"/>
      <c r="X115" s="1672"/>
      <c r="Y115" s="1672"/>
      <c r="Z115" s="1672"/>
      <c r="AA115" s="2144"/>
      <c r="AB115" s="1078"/>
      <c r="AC115" s="1078"/>
      <c r="AD115" s="1078"/>
      <c r="AE115" s="1078"/>
      <c r="AF115" s="2153">
        <v>11</v>
      </c>
    </row>
    <row s="47496" customFormat="1" customHeight="1" ht="11.549999999999999">
      <c r="A116" s="1499"/>
      <c r="B116" s="2148"/>
      <c r="C116" s="2148"/>
      <c r="D116" s="863"/>
      <c r="K116" s="1672"/>
      <c r="L116" s="2148"/>
      <c r="M116" s="2148"/>
      <c r="N116" s="1672"/>
      <c r="O116" s="1672"/>
      <c r="P116" s="1672"/>
      <c r="Q116" s="1672"/>
      <c r="R116" s="2148"/>
      <c r="S116" s="1672"/>
      <c r="T116" s="1672"/>
      <c r="U116" s="1056"/>
      <c r="V116" s="1672"/>
      <c r="W116" s="1672"/>
      <c r="X116" s="1672"/>
      <c r="Y116" s="1672"/>
      <c r="Z116" s="1672"/>
      <c r="AA116" s="2144"/>
      <c r="AB116" s="1078"/>
      <c r="AC116" s="1078"/>
      <c r="AD116" s="1078"/>
      <c r="AE116" s="1078"/>
      <c r="AF116" s="2153">
        <v>11</v>
      </c>
    </row>
    <row s="47496" customFormat="1" customHeight="1" ht="11.549999999999999">
      <c r="A117" s="1499"/>
      <c r="B117" s="2148"/>
      <c r="C117" s="2148"/>
      <c r="D117" s="863"/>
      <c r="K117" s="1672"/>
      <c r="L117" s="2148"/>
      <c r="M117" s="2148"/>
      <c r="N117" s="1672"/>
      <c r="O117" s="1672"/>
      <c r="P117" s="1672"/>
      <c r="Q117" s="1672"/>
      <c r="R117" s="2148"/>
      <c r="S117" s="1672"/>
      <c r="T117" s="1672"/>
      <c r="U117" s="1056"/>
      <c r="V117" s="1672"/>
      <c r="W117" s="1672"/>
      <c r="X117" s="1672"/>
      <c r="Y117" s="1672"/>
      <c r="Z117" s="1672"/>
      <c r="AA117" s="2144"/>
      <c r="AB117" s="1078"/>
      <c r="AC117" s="1078"/>
      <c r="AD117" s="1078"/>
      <c r="AE117" s="1078"/>
      <c r="AF117" s="2153">
        <v>11</v>
      </c>
    </row>
    <row s="47496" customFormat="1" customHeight="1" ht="11.549999999999999">
      <c r="A118" s="1499"/>
      <c r="B118" s="2148"/>
      <c r="C118" s="2148"/>
      <c r="D118" s="863"/>
      <c r="K118" s="1672"/>
      <c r="L118" s="2148"/>
      <c r="M118" s="2148"/>
      <c r="N118" s="1672"/>
      <c r="O118" s="1672"/>
      <c r="P118" s="1672"/>
      <c r="Q118" s="1672"/>
      <c r="R118" s="2148"/>
      <c r="S118" s="1672"/>
      <c r="T118" s="1672"/>
      <c r="U118" s="1056"/>
      <c r="V118" s="1672"/>
      <c r="W118" s="1672"/>
      <c r="X118" s="1672"/>
      <c r="Y118" s="1672"/>
      <c r="Z118" s="1672"/>
      <c r="AA118" s="2144"/>
      <c r="AB118" s="1078"/>
      <c r="AC118" s="1078"/>
      <c r="AD118" s="1078"/>
      <c r="AE118" s="1078"/>
      <c r="AF118" s="2153">
        <v>11</v>
      </c>
    </row>
    <row s="47496" customFormat="1" customHeight="1" ht="11.549999999999999">
      <c r="A119" s="1499"/>
      <c r="B119" s="2148"/>
      <c r="C119" s="2148"/>
      <c r="D119" s="863"/>
      <c r="K119" s="1672"/>
      <c r="L119" s="2148"/>
      <c r="M119" s="2148"/>
      <c r="N119" s="1672"/>
      <c r="O119" s="1672"/>
      <c r="P119" s="1672"/>
      <c r="Q119" s="1672"/>
      <c r="R119" s="2148"/>
      <c r="S119" s="1672"/>
      <c r="T119" s="1672"/>
      <c r="U119" s="1056"/>
      <c r="V119" s="1672"/>
      <c r="W119" s="1672"/>
      <c r="X119" s="1672"/>
      <c r="Y119" s="1672"/>
      <c r="Z119" s="1672"/>
      <c r="AA119" s="2144"/>
      <c r="AB119" s="1078"/>
      <c r="AC119" s="1078"/>
      <c r="AD119" s="1078"/>
      <c r="AE119" s="1078"/>
      <c r="AF119" s="2153">
        <v>11</v>
      </c>
    </row>
    <row s="47496" customFormat="1" customHeight="1" ht="11.549999999999999">
      <c r="A120" s="1499"/>
      <c r="B120" s="2148"/>
      <c r="C120" s="2148"/>
      <c r="D120" s="863"/>
      <c r="K120" s="1672"/>
      <c r="L120" s="2148"/>
      <c r="M120" s="2148"/>
      <c r="N120" s="1672"/>
      <c r="O120" s="1672"/>
      <c r="P120" s="1672"/>
      <c r="Q120" s="1672"/>
      <c r="R120" s="2148"/>
      <c r="S120" s="1672"/>
      <c r="T120" s="1672"/>
      <c r="U120" s="1056"/>
      <c r="V120" s="1672"/>
      <c r="W120" s="1672"/>
      <c r="X120" s="1672"/>
      <c r="Y120" s="1672"/>
      <c r="Z120" s="1672"/>
      <c r="AA120" s="2144"/>
      <c r="AB120" s="1078"/>
      <c r="AC120" s="1078"/>
      <c r="AD120" s="1078"/>
      <c r="AE120" s="1078"/>
      <c r="AF120" s="2153">
        <v>11</v>
      </c>
    </row>
    <row s="47496" customFormat="1" customHeight="1" ht="11.549999999999999">
      <c r="A121" s="1499"/>
      <c r="B121" s="2148"/>
      <c r="C121" s="2148"/>
      <c r="D121" s="863"/>
      <c r="K121" s="1672"/>
      <c r="L121" s="2148"/>
      <c r="M121" s="2148"/>
      <c r="N121" s="1672"/>
      <c r="O121" s="1672"/>
      <c r="P121" s="1672"/>
      <c r="Q121" s="1672"/>
      <c r="R121" s="2148"/>
      <c r="S121" s="1672"/>
      <c r="T121" s="1672"/>
      <c r="U121" s="1056"/>
      <c r="V121" s="1672"/>
      <c r="W121" s="1672"/>
      <c r="X121" s="1672"/>
      <c r="Y121" s="1672"/>
      <c r="Z121" s="1672"/>
      <c r="AA121" s="2144"/>
      <c r="AB121" s="1078"/>
      <c r="AC121" s="1078"/>
      <c r="AD121" s="1078"/>
      <c r="AE121" s="1078"/>
      <c r="AF121" s="2153">
        <v>11</v>
      </c>
    </row>
    <row s="47496" customFormat="1" customHeight="1" ht="11.549999999999999">
      <c r="A122" s="1499"/>
      <c r="B122" s="2148"/>
      <c r="C122" s="2148"/>
      <c r="D122" s="863"/>
      <c r="K122" s="1672"/>
      <c r="L122" s="2148"/>
      <c r="M122" s="2148"/>
      <c r="N122" s="1672"/>
      <c r="O122" s="1672"/>
      <c r="P122" s="1672"/>
      <c r="Q122" s="1672"/>
      <c r="R122" s="2148"/>
      <c r="S122" s="1672"/>
      <c r="T122" s="1672"/>
      <c r="U122" s="1056"/>
      <c r="V122" s="1672"/>
      <c r="W122" s="1672"/>
      <c r="X122" s="1672"/>
      <c r="Y122" s="1672"/>
      <c r="Z122" s="1672"/>
      <c r="AA122" s="2144"/>
      <c r="AB122" s="1078"/>
      <c r="AC122" s="1078"/>
      <c r="AD122" s="1078"/>
      <c r="AE122" s="1078"/>
      <c r="AF122" s="2153">
        <v>11</v>
      </c>
    </row>
    <row s="47496" customFormat="1" customHeight="1" ht="11.549999999999999">
      <c r="A123" s="1499"/>
      <c r="B123" s="2148"/>
      <c r="C123" s="2148"/>
      <c r="D123" s="863"/>
      <c r="K123" s="1672"/>
      <c r="L123" s="2148"/>
      <c r="M123" s="2148"/>
      <c r="N123" s="1672"/>
      <c r="O123" s="1672"/>
      <c r="P123" s="1672"/>
      <c r="Q123" s="1672"/>
      <c r="R123" s="2148"/>
      <c r="S123" s="1672"/>
      <c r="T123" s="1672"/>
      <c r="U123" s="1056"/>
      <c r="V123" s="1672"/>
      <c r="W123" s="1672"/>
      <c r="X123" s="1672"/>
      <c r="Y123" s="1672"/>
      <c r="Z123" s="1672"/>
      <c r="AA123" s="2144"/>
      <c r="AB123" s="1078"/>
      <c r="AC123" s="1078"/>
      <c r="AD123" s="1078"/>
      <c r="AE123" s="1078"/>
      <c r="AF123" s="2153">
        <v>11</v>
      </c>
    </row>
    <row s="47496" customFormat="1" customHeight="1" ht="11.549999999999999">
      <c r="A124" s="1499"/>
      <c r="B124" s="2148"/>
      <c r="C124" s="2148"/>
      <c r="D124" s="863"/>
      <c r="K124" s="1672"/>
      <c r="L124" s="2148"/>
      <c r="M124" s="2148"/>
      <c r="N124" s="1672"/>
      <c r="O124" s="1672"/>
      <c r="P124" s="1672"/>
      <c r="Q124" s="1672"/>
      <c r="R124" s="2148"/>
      <c r="S124" s="1672"/>
      <c r="T124" s="1672"/>
      <c r="U124" s="1056"/>
      <c r="V124" s="1672"/>
      <c r="W124" s="1672"/>
      <c r="X124" s="1672"/>
      <c r="Y124" s="1672"/>
      <c r="Z124" s="1672"/>
      <c r="AA124" s="2144"/>
      <c r="AB124" s="1078"/>
      <c r="AC124" s="1078"/>
      <c r="AD124" s="1078"/>
      <c r="AE124" s="1078"/>
      <c r="AF124" s="2153">
        <v>11</v>
      </c>
    </row>
    <row s="47496" customFormat="1" customHeight="1" ht="11.549999999999999">
      <c r="A125" s="1499"/>
      <c r="B125" s="2148"/>
      <c r="C125" s="2148"/>
      <c r="D125" s="863"/>
      <c r="K125" s="1672"/>
      <c r="L125" s="2148"/>
      <c r="M125" s="2148"/>
      <c r="N125" s="1672"/>
      <c r="O125" s="1672"/>
      <c r="P125" s="1672"/>
      <c r="Q125" s="1672"/>
      <c r="R125" s="2148"/>
      <c r="S125" s="1672"/>
      <c r="T125" s="1672"/>
      <c r="U125" s="1056"/>
      <c r="V125" s="1672"/>
      <c r="W125" s="1672"/>
      <c r="X125" s="1672"/>
      <c r="Y125" s="1672"/>
      <c r="Z125" s="1672"/>
      <c r="AA125" s="2144"/>
      <c r="AB125" s="1078"/>
      <c r="AC125" s="1078"/>
      <c r="AD125" s="1078"/>
      <c r="AE125" s="1078"/>
      <c r="AF125" s="2153">
        <v>11</v>
      </c>
    </row>
    <row s="47496" customFormat="1" customHeight="1" ht="11.549999999999999">
      <c r="A126" s="1499"/>
      <c r="B126" s="2148"/>
      <c r="C126" s="2148"/>
      <c r="D126" s="863"/>
      <c r="K126" s="1672"/>
      <c r="L126" s="2148"/>
      <c r="M126" s="2148"/>
      <c r="N126" s="1672"/>
      <c r="O126" s="1672"/>
      <c r="P126" s="1672"/>
      <c r="Q126" s="1672"/>
      <c r="R126" s="2148"/>
      <c r="S126" s="1672"/>
      <c r="T126" s="1672"/>
      <c r="U126" s="1056"/>
      <c r="V126" s="1672"/>
      <c r="W126" s="1672"/>
      <c r="X126" s="1672"/>
      <c r="Y126" s="1672"/>
      <c r="Z126" s="1672"/>
      <c r="AA126" s="2144"/>
      <c r="AB126" s="1078"/>
      <c r="AC126" s="1078"/>
      <c r="AD126" s="1078"/>
      <c r="AE126" s="1078"/>
      <c r="AF126" s="2153">
        <v>11</v>
      </c>
    </row>
    <row s="47496" customFormat="1" customHeight="1" ht="11.549999999999999">
      <c r="A127" s="1499"/>
      <c r="B127" s="2148"/>
      <c r="C127" s="2148"/>
      <c r="D127" s="863"/>
      <c r="K127" s="1672"/>
      <c r="L127" s="2148"/>
      <c r="M127" s="2148"/>
      <c r="N127" s="1672"/>
      <c r="O127" s="1672"/>
      <c r="P127" s="1672"/>
      <c r="Q127" s="1672"/>
      <c r="R127" s="2148"/>
      <c r="S127" s="1672"/>
      <c r="T127" s="1672"/>
      <c r="U127" s="1056"/>
      <c r="V127" s="1672"/>
      <c r="W127" s="1672"/>
      <c r="X127" s="1672"/>
      <c r="Y127" s="1672"/>
      <c r="Z127" s="1672"/>
      <c r="AA127" s="2144"/>
      <c r="AB127" s="1078"/>
      <c r="AC127" s="1078"/>
      <c r="AD127" s="1078"/>
      <c r="AE127" s="1078"/>
      <c r="AF127" s="2153">
        <v>11</v>
      </c>
    </row>
    <row s="47496" customFormat="1" customHeight="1" ht="11.549999999999999">
      <c r="A128" s="1499"/>
      <c r="B128" s="2148"/>
      <c r="C128" s="2148"/>
      <c r="D128" s="863"/>
      <c r="K128" s="1672"/>
      <c r="L128" s="2148"/>
      <c r="M128" s="2148"/>
      <c r="N128" s="1672"/>
      <c r="O128" s="1672"/>
      <c r="P128" s="1672"/>
      <c r="Q128" s="1672"/>
      <c r="R128" s="2148"/>
      <c r="S128" s="1672"/>
      <c r="T128" s="1672"/>
      <c r="U128" s="1056"/>
      <c r="V128" s="1672"/>
      <c r="W128" s="1672"/>
      <c r="X128" s="1672"/>
      <c r="Y128" s="1672"/>
      <c r="Z128" s="1672"/>
      <c r="AA128" s="2144"/>
      <c r="AB128" s="1078"/>
      <c r="AC128" s="1078"/>
      <c r="AD128" s="1078"/>
      <c r="AE128" s="1078"/>
      <c r="AF128" s="2153">
        <v>11</v>
      </c>
    </row>
    <row s="47496" customFormat="1" customHeight="1" ht="11.549999999999999">
      <c r="A129" s="1499"/>
      <c r="B129" s="2148"/>
      <c r="C129" s="2148"/>
      <c r="D129" s="863"/>
      <c r="K129" s="1672"/>
      <c r="L129" s="2148"/>
      <c r="M129" s="2148"/>
      <c r="N129" s="1672"/>
      <c r="O129" s="1672"/>
      <c r="P129" s="1672"/>
      <c r="Q129" s="1672"/>
      <c r="R129" s="2148"/>
      <c r="S129" s="1672"/>
      <c r="T129" s="1672"/>
      <c r="U129" s="1056"/>
      <c r="V129" s="1672"/>
      <c r="W129" s="1672"/>
      <c r="X129" s="1672"/>
      <c r="Y129" s="1672"/>
      <c r="Z129" s="1672"/>
      <c r="AA129" s="2144"/>
      <c r="AB129" s="1078"/>
      <c r="AC129" s="1078"/>
      <c r="AD129" s="1078"/>
      <c r="AE129" s="1078"/>
      <c r="AF129" s="2153">
        <v>11</v>
      </c>
    </row>
    <row s="47496" customFormat="1" customHeight="1" ht="11.549999999999999">
      <c r="A130" s="1499"/>
      <c r="B130" s="2148"/>
      <c r="C130" s="2148"/>
      <c r="D130" s="863"/>
      <c r="K130" s="1672"/>
      <c r="L130" s="2148"/>
      <c r="M130" s="2148"/>
      <c r="N130" s="1672"/>
      <c r="O130" s="1672"/>
      <c r="P130" s="1672"/>
      <c r="Q130" s="1672"/>
      <c r="R130" s="2148"/>
      <c r="S130" s="1672"/>
      <c r="T130" s="1672"/>
      <c r="U130" s="1056"/>
      <c r="V130" s="1672"/>
      <c r="W130" s="1672"/>
      <c r="X130" s="1672"/>
      <c r="Y130" s="1672"/>
      <c r="Z130" s="1672"/>
      <c r="AA130" s="2144"/>
      <c r="AB130" s="1078"/>
      <c r="AC130" s="1078"/>
      <c r="AD130" s="1078"/>
      <c r="AE130" s="1078"/>
      <c r="AF130" s="2153">
        <v>11</v>
      </c>
    </row>
    <row s="47496" customFormat="1" customHeight="1" ht="11.549999999999999">
      <c r="A131" s="1499"/>
      <c r="B131" s="2148"/>
      <c r="C131" s="2148"/>
      <c r="D131" s="863"/>
      <c r="K131" s="1672"/>
      <c r="L131" s="2148"/>
      <c r="M131" s="2148"/>
      <c r="N131" s="1672"/>
      <c r="O131" s="1672"/>
      <c r="P131" s="1672"/>
      <c r="Q131" s="1672"/>
      <c r="R131" s="2148"/>
      <c r="S131" s="1672"/>
      <c r="T131" s="1672"/>
      <c r="U131" s="1056"/>
      <c r="V131" s="1672"/>
      <c r="W131" s="1672"/>
      <c r="X131" s="1672"/>
      <c r="Y131" s="1672"/>
      <c r="Z131" s="1672"/>
      <c r="AA131" s="2144"/>
      <c r="AB131" s="1078"/>
      <c r="AC131" s="1078"/>
      <c r="AD131" s="1078"/>
      <c r="AE131" s="1078"/>
      <c r="AF131" s="2153">
        <v>11</v>
      </c>
    </row>
    <row s="47496" customFormat="1" customHeight="1" ht="11.549999999999999">
      <c r="A132" s="1499"/>
      <c r="B132" s="2148"/>
      <c r="C132" s="2148"/>
      <c r="D132" s="863"/>
      <c r="K132" s="1672"/>
      <c r="L132" s="2148"/>
      <c r="M132" s="2148"/>
      <c r="N132" s="1672"/>
      <c r="O132" s="1672"/>
      <c r="P132" s="1672"/>
      <c r="Q132" s="1672"/>
      <c r="R132" s="2148"/>
      <c r="S132" s="1672"/>
      <c r="T132" s="1672"/>
      <c r="U132" s="1056"/>
      <c r="V132" s="1672"/>
      <c r="W132" s="1672"/>
      <c r="X132" s="1672"/>
      <c r="Y132" s="1672"/>
      <c r="Z132" s="1672"/>
      <c r="AA132" s="2144"/>
      <c r="AB132" s="1078"/>
      <c r="AC132" s="1078"/>
      <c r="AD132" s="1078"/>
      <c r="AE132" s="1078"/>
      <c r="AF132" s="2153">
        <v>11</v>
      </c>
    </row>
    <row s="47496" customFormat="1" customHeight="1" ht="11.549999999999999">
      <c r="A133" s="1499"/>
      <c r="B133" s="2148"/>
      <c r="C133" s="2148"/>
      <c r="D133" s="863"/>
      <c r="K133" s="1672"/>
      <c r="L133" s="2148"/>
      <c r="M133" s="2148"/>
      <c r="N133" s="1672"/>
      <c r="O133" s="1672"/>
      <c r="P133" s="1672"/>
      <c r="Q133" s="1672"/>
      <c r="R133" s="2148"/>
      <c r="S133" s="1672"/>
      <c r="T133" s="1672"/>
      <c r="U133" s="1056"/>
      <c r="V133" s="1672"/>
      <c r="W133" s="1672"/>
      <c r="X133" s="1672"/>
      <c r="Y133" s="1672"/>
      <c r="Z133" s="1672"/>
      <c r="AA133" s="2144"/>
      <c r="AB133" s="1078"/>
      <c r="AC133" s="1078"/>
      <c r="AD133" s="1078"/>
      <c r="AE133" s="1078"/>
      <c r="AF133" s="2153">
        <v>11</v>
      </c>
    </row>
    <row s="47496" customFormat="1" customHeight="1" ht="11.549999999999999">
      <c r="A134" s="1499"/>
      <c r="B134" s="2148"/>
      <c r="C134" s="2148"/>
      <c r="D134" s="863"/>
      <c r="K134" s="1672"/>
      <c r="L134" s="2148"/>
      <c r="M134" s="2148"/>
      <c r="N134" s="1672"/>
      <c r="O134" s="1672"/>
      <c r="P134" s="1672"/>
      <c r="Q134" s="1672"/>
      <c r="R134" s="2148"/>
      <c r="S134" s="1672"/>
      <c r="T134" s="1672"/>
      <c r="U134" s="1056"/>
      <c r="V134" s="1672"/>
      <c r="W134" s="1672"/>
      <c r="X134" s="1672"/>
      <c r="Y134" s="1672"/>
      <c r="Z134" s="1672"/>
      <c r="AA134" s="2144"/>
      <c r="AB134" s="1078"/>
      <c r="AC134" s="1078"/>
      <c r="AD134" s="1078"/>
      <c r="AE134" s="1078"/>
      <c r="AF134" s="2153">
        <v>11</v>
      </c>
    </row>
    <row s="47496" customFormat="1" customHeight="1" ht="11.549999999999999">
      <c r="A135" s="1499"/>
      <c r="B135" s="2148"/>
      <c r="C135" s="2148"/>
      <c r="D135" s="863"/>
      <c r="K135" s="1672"/>
      <c r="L135" s="2148"/>
      <c r="M135" s="2148"/>
      <c r="N135" s="1672"/>
      <c r="O135" s="1672"/>
      <c r="P135" s="1672"/>
      <c r="Q135" s="1672"/>
      <c r="R135" s="2148"/>
      <c r="S135" s="1672"/>
      <c r="T135" s="1672"/>
      <c r="U135" s="1056"/>
      <c r="V135" s="1672"/>
      <c r="W135" s="1672"/>
      <c r="X135" s="1672"/>
      <c r="Y135" s="1672"/>
      <c r="Z135" s="1672"/>
      <c r="AA135" s="2144"/>
      <c r="AB135" s="1078"/>
      <c r="AC135" s="1078"/>
      <c r="AD135" s="1078"/>
      <c r="AE135" s="1078"/>
      <c r="AF135" s="2153">
        <v>11</v>
      </c>
    </row>
    <row s="47496" customFormat="1" customHeight="1" ht="11.549999999999999">
      <c r="A136" s="1499"/>
      <c r="B136" s="2148"/>
      <c r="C136" s="2148"/>
      <c r="D136" s="863"/>
      <c r="K136" s="1672"/>
      <c r="L136" s="2148"/>
      <c r="M136" s="2148"/>
      <c r="N136" s="1672"/>
      <c r="O136" s="1672"/>
      <c r="P136" s="1672"/>
      <c r="Q136" s="1672"/>
      <c r="R136" s="2148"/>
      <c r="S136" s="1672"/>
      <c r="T136" s="1672"/>
      <c r="U136" s="1056"/>
      <c r="V136" s="1672"/>
      <c r="W136" s="1672"/>
      <c r="X136" s="1672"/>
      <c r="Y136" s="1672"/>
      <c r="Z136" s="1672"/>
      <c r="AA136" s="2144"/>
      <c r="AB136" s="1078"/>
      <c r="AC136" s="1078"/>
      <c r="AD136" s="1078"/>
      <c r="AE136" s="1078"/>
      <c r="AF136" s="2153">
        <v>11</v>
      </c>
    </row>
    <row s="47496" customFormat="1" customHeight="1" ht="11.549999999999999">
      <c r="A137" s="1499"/>
      <c r="B137" s="2148"/>
      <c r="C137" s="2148"/>
      <c r="D137" s="863"/>
      <c r="K137" s="1672"/>
      <c r="L137" s="2148"/>
      <c r="M137" s="2148"/>
      <c r="N137" s="1672"/>
      <c r="O137" s="1672"/>
      <c r="P137" s="1672"/>
      <c r="Q137" s="1672"/>
      <c r="R137" s="2148"/>
      <c r="S137" s="1672"/>
      <c r="T137" s="1672"/>
      <c r="U137" s="1056"/>
      <c r="V137" s="1672"/>
      <c r="W137" s="1672"/>
      <c r="X137" s="1672"/>
      <c r="Y137" s="1672"/>
      <c r="Z137" s="1672"/>
      <c r="AA137" s="2144"/>
      <c r="AB137" s="1078"/>
      <c r="AC137" s="1078"/>
      <c r="AD137" s="1078"/>
      <c r="AE137" s="1078"/>
      <c r="AF137" s="2153">
        <v>11</v>
      </c>
    </row>
    <row s="47496" customFormat="1" customHeight="1" ht="11.549999999999999">
      <c r="A138" s="1499"/>
      <c r="B138" s="2148"/>
      <c r="C138" s="2148"/>
      <c r="D138" s="863"/>
      <c r="K138" s="1672"/>
      <c r="L138" s="2148"/>
      <c r="M138" s="2148"/>
      <c r="N138" s="1672"/>
      <c r="O138" s="1672"/>
      <c r="P138" s="1672"/>
      <c r="Q138" s="1672"/>
      <c r="R138" s="2148"/>
      <c r="S138" s="1672"/>
      <c r="T138" s="1672"/>
      <c r="U138" s="1056"/>
      <c r="V138" s="1672"/>
      <c r="W138" s="1672"/>
      <c r="X138" s="1672"/>
      <c r="Y138" s="1672"/>
      <c r="Z138" s="1672"/>
      <c r="AA138" s="2144"/>
      <c r="AB138" s="1078"/>
      <c r="AC138" s="1078"/>
      <c r="AD138" s="1078"/>
      <c r="AE138" s="1078"/>
      <c r="AF138" s="2153">
        <v>11</v>
      </c>
    </row>
    <row s="47496" customFormat="1" customHeight="1" ht="11.549999999999999">
      <c r="A139" s="1499"/>
      <c r="B139" s="2148"/>
      <c r="C139" s="2148"/>
      <c r="D139" s="863"/>
      <c r="K139" s="1672"/>
      <c r="L139" s="2148"/>
      <c r="M139" s="2148"/>
      <c r="N139" s="1672"/>
      <c r="O139" s="1672"/>
      <c r="P139" s="1672"/>
      <c r="Q139" s="1672"/>
      <c r="R139" s="2148"/>
      <c r="S139" s="1672"/>
      <c r="T139" s="1672"/>
      <c r="U139" s="1056"/>
      <c r="V139" s="1672"/>
      <c r="W139" s="1672"/>
      <c r="X139" s="1672"/>
      <c r="Y139" s="1672"/>
      <c r="Z139" s="1672"/>
      <c r="AA139" s="2144"/>
      <c r="AB139" s="1078"/>
      <c r="AC139" s="1078"/>
      <c r="AD139" s="1078"/>
      <c r="AE139" s="1078"/>
      <c r="AF139" s="2153">
        <v>11</v>
      </c>
    </row>
    <row s="47496" customFormat="1" customHeight="1" ht="11.549999999999999">
      <c r="A140" s="1499"/>
      <c r="B140" s="2148"/>
      <c r="C140" s="2148"/>
      <c r="D140" s="863"/>
      <c r="K140" s="1672"/>
      <c r="L140" s="2148"/>
      <c r="M140" s="2148"/>
      <c r="N140" s="1672"/>
      <c r="O140" s="1672"/>
      <c r="P140" s="1672"/>
      <c r="Q140" s="1672"/>
      <c r="R140" s="2148"/>
      <c r="S140" s="1672"/>
      <c r="T140" s="1672"/>
      <c r="U140" s="1056"/>
      <c r="V140" s="1672"/>
      <c r="W140" s="1672"/>
      <c r="X140" s="1672"/>
      <c r="Y140" s="1672"/>
      <c r="Z140" s="1672"/>
      <c r="AA140" s="2144"/>
      <c r="AB140" s="1078"/>
      <c r="AC140" s="1078"/>
      <c r="AD140" s="1078"/>
      <c r="AE140" s="1078"/>
      <c r="AF140" s="2153">
        <v>11</v>
      </c>
    </row>
    <row s="47496" customFormat="1" customHeight="1" ht="11.549999999999999">
      <c r="A141" s="1499"/>
      <c r="B141" s="2148"/>
      <c r="C141" s="2148"/>
      <c r="D141" s="863"/>
      <c r="K141" s="1672"/>
      <c r="L141" s="2148"/>
      <c r="M141" s="2148"/>
      <c r="N141" s="1672"/>
      <c r="O141" s="1672"/>
      <c r="P141" s="1672"/>
      <c r="Q141" s="1672"/>
      <c r="R141" s="2148"/>
      <c r="S141" s="1672"/>
      <c r="T141" s="1672"/>
      <c r="U141" s="1056"/>
      <c r="V141" s="1672"/>
      <c r="W141" s="1672"/>
      <c r="X141" s="1672"/>
      <c r="Y141" s="1672"/>
      <c r="Z141" s="1672"/>
      <c r="AA141" s="2144"/>
      <c r="AB141" s="1078"/>
      <c r="AC141" s="1078"/>
      <c r="AD141" s="1078"/>
      <c r="AE141" s="1078"/>
      <c r="AF141" s="2153">
        <v>11</v>
      </c>
    </row>
    <row s="47496" customFormat="1" customHeight="1" ht="11.549999999999999">
      <c r="A142" s="1499"/>
      <c r="B142" s="2148"/>
      <c r="C142" s="2148"/>
      <c r="D142" s="863"/>
      <c r="K142" s="1672"/>
      <c r="L142" s="2148"/>
      <c r="M142" s="2148"/>
      <c r="N142" s="1672"/>
      <c r="O142" s="1672"/>
      <c r="P142" s="1672"/>
      <c r="Q142" s="1672"/>
      <c r="R142" s="2148"/>
      <c r="S142" s="1672"/>
      <c r="T142" s="1672"/>
      <c r="U142" s="1056"/>
      <c r="V142" s="1672"/>
      <c r="W142" s="1672"/>
      <c r="X142" s="1672"/>
      <c r="Y142" s="1672"/>
      <c r="Z142" s="1672"/>
      <c r="AA142" s="2144"/>
      <c r="AB142" s="1078"/>
      <c r="AC142" s="1078"/>
      <c r="AD142" s="1078"/>
      <c r="AE142" s="1078"/>
      <c r="AF142" s="2153">
        <v>11</v>
      </c>
    </row>
    <row s="47496" customFormat="1" customHeight="1" ht="11.549999999999999">
      <c r="A143" s="1499"/>
      <c r="B143" s="2148"/>
      <c r="C143" s="2148"/>
      <c r="D143" s="863"/>
      <c r="K143" s="1672"/>
      <c r="L143" s="2148"/>
      <c r="M143" s="2148"/>
      <c r="N143" s="1672"/>
      <c r="O143" s="1672"/>
      <c r="P143" s="1672"/>
      <c r="Q143" s="1672"/>
      <c r="R143" s="2148"/>
      <c r="S143" s="1672"/>
      <c r="T143" s="1672"/>
      <c r="U143" s="1056"/>
      <c r="V143" s="1672"/>
      <c r="W143" s="1672"/>
      <c r="X143" s="1672"/>
      <c r="Y143" s="1672"/>
      <c r="Z143" s="1672"/>
      <c r="AA143" s="2144"/>
      <c r="AB143" s="1078"/>
      <c r="AC143" s="1078"/>
      <c r="AD143" s="1078"/>
      <c r="AE143" s="1078"/>
      <c r="AF143" s="2153">
        <v>11</v>
      </c>
    </row>
    <row s="47496" customFormat="1" customHeight="1" ht="11.549999999999999">
      <c r="A144" s="1499"/>
      <c r="B144" s="2148"/>
      <c r="C144" s="2148"/>
      <c r="D144" s="863"/>
      <c r="K144" s="1672"/>
      <c r="L144" s="2148"/>
      <c r="M144" s="2148"/>
      <c r="N144" s="1672"/>
      <c r="O144" s="1672"/>
      <c r="P144" s="1672"/>
      <c r="Q144" s="1672"/>
      <c r="R144" s="2148"/>
      <c r="S144" s="1672"/>
      <c r="T144" s="1672"/>
      <c r="U144" s="1056"/>
      <c r="V144" s="1672"/>
      <c r="W144" s="1672"/>
      <c r="X144" s="1672"/>
      <c r="Y144" s="1672"/>
      <c r="Z144" s="1672"/>
      <c r="AA144" s="2144"/>
      <c r="AB144" s="1078"/>
      <c r="AC144" s="1078"/>
      <c r="AD144" s="1078"/>
      <c r="AE144" s="1078"/>
      <c r="AF144" s="2153">
        <v>11</v>
      </c>
    </row>
    <row s="47496" customFormat="1" customHeight="1" ht="11.549999999999999">
      <c r="A145" s="1499"/>
      <c r="B145" s="2148"/>
      <c r="C145" s="2148"/>
      <c r="D145" s="863"/>
      <c r="K145" s="1672"/>
      <c r="L145" s="2148"/>
      <c r="M145" s="2148"/>
      <c r="N145" s="1672"/>
      <c r="O145" s="1672"/>
      <c r="P145" s="1672"/>
      <c r="Q145" s="1672"/>
      <c r="R145" s="2148"/>
      <c r="S145" s="1672"/>
      <c r="T145" s="1672"/>
      <c r="U145" s="1056"/>
      <c r="V145" s="1672"/>
      <c r="W145" s="1672"/>
      <c r="X145" s="1672"/>
      <c r="Y145" s="1672"/>
      <c r="Z145" s="1672"/>
      <c r="AA145" s="2144"/>
      <c r="AB145" s="1078"/>
      <c r="AC145" s="1078"/>
      <c r="AD145" s="1078"/>
      <c r="AE145" s="1078"/>
      <c r="AF145" s="2153">
        <v>11</v>
      </c>
    </row>
    <row s="47496" customFormat="1" customHeight="1" ht="11.549999999999999">
      <c r="A146" s="1499"/>
      <c r="B146" s="2148"/>
      <c r="C146" s="2148"/>
      <c r="D146" s="863"/>
      <c r="K146" s="1672"/>
      <c r="L146" s="2148"/>
      <c r="M146" s="2148"/>
      <c r="N146" s="1672"/>
      <c r="O146" s="1672"/>
      <c r="P146" s="1672"/>
      <c r="Q146" s="1672"/>
      <c r="R146" s="2148"/>
      <c r="S146" s="1672"/>
      <c r="T146" s="1672"/>
      <c r="U146" s="1056"/>
      <c r="V146" s="1672"/>
      <c r="W146" s="1672"/>
      <c r="X146" s="1672"/>
      <c r="Y146" s="1672"/>
      <c r="Z146" s="1672"/>
      <c r="AA146" s="2144"/>
      <c r="AB146" s="1078"/>
      <c r="AC146" s="1078"/>
      <c r="AD146" s="1078"/>
      <c r="AE146" s="1078"/>
      <c r="AF146" s="2153">
        <v>11</v>
      </c>
    </row>
    <row s="47496" customFormat="1" customHeight="1" ht="11.549999999999999">
      <c r="A147" s="1499"/>
      <c r="B147" s="2148"/>
      <c r="C147" s="2148"/>
      <c r="D147" s="863"/>
      <c r="K147" s="1672"/>
      <c r="L147" s="2148"/>
      <c r="M147" s="2148"/>
      <c r="N147" s="1672"/>
      <c r="O147" s="1672"/>
      <c r="P147" s="1672"/>
      <c r="Q147" s="1672"/>
      <c r="R147" s="2148"/>
      <c r="S147" s="1672"/>
      <c r="T147" s="1672"/>
      <c r="U147" s="1056"/>
      <c r="V147" s="1672"/>
      <c r="W147" s="1672"/>
      <c r="X147" s="1672"/>
      <c r="Y147" s="1672"/>
      <c r="Z147" s="1672"/>
      <c r="AA147" s="2144"/>
      <c r="AB147" s="1078"/>
      <c r="AC147" s="1078"/>
      <c r="AD147" s="1078"/>
      <c r="AE147" s="1078"/>
      <c r="AF147" s="2153">
        <v>11</v>
      </c>
    </row>
    <row s="47496" customFormat="1" customHeight="1" ht="11.549999999999999">
      <c r="A148" s="1499"/>
      <c r="B148" s="2148"/>
      <c r="C148" s="2148"/>
      <c r="D148" s="863"/>
      <c r="K148" s="1672"/>
      <c r="L148" s="2148"/>
      <c r="M148" s="2148"/>
      <c r="N148" s="1672"/>
      <c r="O148" s="1672"/>
      <c r="P148" s="1672"/>
      <c r="Q148" s="1672"/>
      <c r="R148" s="2148"/>
      <c r="S148" s="1672"/>
      <c r="T148" s="1672"/>
      <c r="U148" s="1056"/>
      <c r="V148" s="1672"/>
      <c r="W148" s="1672"/>
      <c r="X148" s="1672"/>
      <c r="Y148" s="1672"/>
      <c r="Z148" s="1672"/>
      <c r="AA148" s="2144"/>
      <c r="AB148" s="1078"/>
      <c r="AC148" s="1078"/>
      <c r="AD148" s="1078"/>
      <c r="AE148" s="1078"/>
      <c r="AF148" s="2153">
        <v>11</v>
      </c>
    </row>
    <row s="47496" customFormat="1" customHeight="1" ht="11.549999999999999">
      <c r="A149" s="1499"/>
      <c r="B149" s="2148"/>
      <c r="C149" s="2148"/>
      <c r="D149" s="863"/>
      <c r="K149" s="1672"/>
      <c r="L149" s="2148"/>
      <c r="M149" s="2148"/>
      <c r="N149" s="1672"/>
      <c r="O149" s="1672"/>
      <c r="P149" s="1672"/>
      <c r="Q149" s="1672"/>
      <c r="R149" s="2148"/>
      <c r="S149" s="1672"/>
      <c r="T149" s="1672"/>
      <c r="U149" s="1056"/>
      <c r="V149" s="1672"/>
      <c r="W149" s="1672"/>
      <c r="X149" s="1672"/>
      <c r="Y149" s="1672"/>
      <c r="Z149" s="1672"/>
      <c r="AA149" s="2144"/>
      <c r="AB149" s="1078"/>
      <c r="AC149" s="1078"/>
      <c r="AD149" s="1078"/>
      <c r="AE149" s="1078"/>
      <c r="AF149" s="2153">
        <v>11</v>
      </c>
    </row>
    <row s="47496" customFormat="1" customHeight="1" ht="11.549999999999999">
      <c r="A150" s="1499"/>
      <c r="B150" s="2148"/>
      <c r="C150" s="2148"/>
      <c r="D150" s="863"/>
      <c r="K150" s="1672"/>
      <c r="L150" s="2148"/>
      <c r="M150" s="2148"/>
      <c r="N150" s="1672"/>
      <c r="O150" s="1672"/>
      <c r="P150" s="1672"/>
      <c r="Q150" s="1672"/>
      <c r="R150" s="2148"/>
      <c r="S150" s="1672"/>
      <c r="T150" s="1672"/>
      <c r="U150" s="1056"/>
      <c r="V150" s="1672"/>
      <c r="W150" s="1672"/>
      <c r="X150" s="1672"/>
      <c r="Y150" s="1672"/>
      <c r="Z150" s="1672"/>
      <c r="AA150" s="2144"/>
      <c r="AB150" s="1078"/>
      <c r="AC150" s="1078"/>
      <c r="AD150" s="1078"/>
      <c r="AE150" s="1078"/>
      <c r="AF150" s="2153">
        <v>11</v>
      </c>
    </row>
    <row s="47496" customFormat="1" customHeight="1" ht="11.549999999999999">
      <c r="A151" s="1499"/>
      <c r="B151" s="2148"/>
      <c r="C151" s="2148"/>
      <c r="D151" s="863"/>
      <c r="K151" s="1672"/>
      <c r="L151" s="2148"/>
      <c r="M151" s="2148"/>
      <c r="N151" s="1672"/>
      <c r="O151" s="1672"/>
      <c r="P151" s="1672"/>
      <c r="Q151" s="1672"/>
      <c r="R151" s="2148"/>
      <c r="S151" s="1672"/>
      <c r="T151" s="1672"/>
      <c r="U151" s="1056"/>
      <c r="V151" s="1672"/>
      <c r="W151" s="1672"/>
      <c r="X151" s="1672"/>
      <c r="Y151" s="1672"/>
      <c r="Z151" s="1672"/>
      <c r="AA151" s="2144"/>
      <c r="AB151" s="1078"/>
      <c r="AC151" s="1078"/>
      <c r="AD151" s="1078"/>
      <c r="AE151" s="1078"/>
      <c r="AF151" s="2153">
        <v>11</v>
      </c>
    </row>
    <row s="47496" customFormat="1" customHeight="1" ht="11.549999999999999">
      <c r="A152" s="1499"/>
      <c r="B152" s="2148"/>
      <c r="C152" s="2148"/>
      <c r="D152" s="863"/>
      <c r="K152" s="1672"/>
      <c r="L152" s="2148"/>
      <c r="M152" s="2148"/>
      <c r="N152" s="1672"/>
      <c r="O152" s="1672"/>
      <c r="P152" s="1672"/>
      <c r="Q152" s="1672"/>
      <c r="R152" s="2148"/>
      <c r="S152" s="1672"/>
      <c r="T152" s="1672"/>
      <c r="U152" s="1056"/>
      <c r="V152" s="1672"/>
      <c r="W152" s="1672"/>
      <c r="X152" s="1672"/>
      <c r="Y152" s="1672"/>
      <c r="Z152" s="1672"/>
      <c r="AA152" s="2144"/>
      <c r="AB152" s="1078"/>
      <c r="AC152" s="1078"/>
      <c r="AD152" s="1078"/>
      <c r="AE152" s="1078"/>
      <c r="AF152" s="2153">
        <v>11</v>
      </c>
    </row>
    <row s="47496" customFormat="1" customHeight="1" ht="11.549999999999999">
      <c r="A153" s="1499"/>
      <c r="B153" s="2148"/>
      <c r="C153" s="2148"/>
      <c r="D153" s="863"/>
      <c r="K153" s="1672"/>
      <c r="L153" s="2148"/>
      <c r="M153" s="2148"/>
      <c r="N153" s="1672"/>
      <c r="O153" s="1672"/>
      <c r="P153" s="1672"/>
      <c r="Q153" s="1672"/>
      <c r="R153" s="2148"/>
      <c r="S153" s="1672"/>
      <c r="T153" s="1672"/>
      <c r="U153" s="1056"/>
      <c r="V153" s="1672"/>
      <c r="W153" s="1672"/>
      <c r="X153" s="1672"/>
      <c r="Y153" s="1672"/>
      <c r="Z153" s="1672"/>
      <c r="AA153" s="2144"/>
      <c r="AB153" s="1078"/>
      <c r="AC153" s="1078"/>
      <c r="AD153" s="1078"/>
      <c r="AE153" s="1078"/>
      <c r="AF153" s="2153">
        <v>11</v>
      </c>
    </row>
    <row s="47496" customFormat="1" customHeight="1" ht="11.549999999999999">
      <c r="A154" s="1499"/>
      <c r="B154" s="2148"/>
      <c r="C154" s="2148"/>
      <c r="D154" s="863"/>
      <c r="K154" s="1672"/>
      <c r="L154" s="2148"/>
      <c r="M154" s="2148"/>
      <c r="N154" s="1672"/>
      <c r="O154" s="1672"/>
      <c r="P154" s="1672"/>
      <c r="Q154" s="1672"/>
      <c r="R154" s="2148"/>
      <c r="S154" s="1672"/>
      <c r="T154" s="1672"/>
      <c r="U154" s="1056"/>
      <c r="V154" s="1672"/>
      <c r="W154" s="1672"/>
      <c r="X154" s="1672"/>
      <c r="Y154" s="1672"/>
      <c r="Z154" s="1672"/>
      <c r="AA154" s="2144"/>
      <c r="AB154" s="1078"/>
      <c r="AC154" s="1078"/>
      <c r="AD154" s="1078"/>
      <c r="AE154" s="1078"/>
      <c r="AF154" s="2153">
        <v>11</v>
      </c>
    </row>
    <row s="47496" customFormat="1" customHeight="1" ht="11.549999999999999">
      <c r="A155" s="1499"/>
      <c r="B155" s="2148"/>
      <c r="C155" s="2148"/>
      <c r="D155" s="863"/>
      <c r="K155" s="1672"/>
      <c r="L155" s="2148"/>
      <c r="M155" s="2148"/>
      <c r="N155" s="1672"/>
      <c r="O155" s="1672"/>
      <c r="P155" s="1672"/>
      <c r="Q155" s="1672"/>
      <c r="R155" s="2148"/>
      <c r="S155" s="1672"/>
      <c r="T155" s="1672"/>
      <c r="U155" s="1056"/>
      <c r="V155" s="1672"/>
      <c r="W155" s="1672"/>
      <c r="X155" s="1672"/>
      <c r="Y155" s="1672"/>
      <c r="Z155" s="1672"/>
      <c r="AA155" s="2144"/>
      <c r="AB155" s="1078"/>
      <c r="AC155" s="1078"/>
      <c r="AD155" s="1078"/>
      <c r="AE155" s="1078"/>
      <c r="AF155" s="2153">
        <v>11</v>
      </c>
    </row>
    <row s="47496" customFormat="1" customHeight="1" ht="11.549999999999999">
      <c r="A156" s="1499"/>
      <c r="B156" s="2148"/>
      <c r="C156" s="2148"/>
      <c r="D156" s="863"/>
      <c r="K156" s="1672"/>
      <c r="L156" s="2148"/>
      <c r="M156" s="2148"/>
      <c r="N156" s="1672"/>
      <c r="O156" s="1672"/>
      <c r="P156" s="1672"/>
      <c r="Q156" s="1672"/>
      <c r="R156" s="2148"/>
      <c r="S156" s="1672"/>
      <c r="T156" s="1672"/>
      <c r="U156" s="1056"/>
      <c r="V156" s="1672"/>
      <c r="W156" s="1672"/>
      <c r="X156" s="1672"/>
      <c r="Y156" s="1672"/>
      <c r="Z156" s="1672"/>
      <c r="AA156" s="2144"/>
      <c r="AB156" s="1078"/>
      <c r="AC156" s="1078"/>
      <c r="AD156" s="1078"/>
      <c r="AE156" s="1078"/>
      <c r="AF156" s="2153">
        <v>11</v>
      </c>
    </row>
    <row s="47496" customFormat="1" customHeight="1" ht="11.549999999999999">
      <c r="A157" s="1499"/>
      <c r="B157" s="2148"/>
      <c r="C157" s="2148"/>
      <c r="D157" s="863"/>
      <c r="K157" s="1672"/>
      <c r="L157" s="2148"/>
      <c r="M157" s="2148"/>
      <c r="N157" s="1672"/>
      <c r="O157" s="1672"/>
      <c r="P157" s="1672"/>
      <c r="Q157" s="1672"/>
      <c r="R157" s="2148"/>
      <c r="S157" s="1672"/>
      <c r="T157" s="1672"/>
      <c r="U157" s="1056"/>
      <c r="V157" s="1672"/>
      <c r="W157" s="1672"/>
      <c r="X157" s="1672"/>
      <c r="Y157" s="1672"/>
      <c r="Z157" s="1672"/>
      <c r="AA157" s="2144"/>
      <c r="AB157" s="1078"/>
      <c r="AC157" s="1078"/>
      <c r="AD157" s="1078"/>
      <c r="AE157" s="1078"/>
      <c r="AF157" s="2153">
        <v>11</v>
      </c>
    </row>
    <row s="47496" customFormat="1" customHeight="1" ht="11.549999999999999">
      <c r="A158" s="1499"/>
      <c r="B158" s="2148"/>
      <c r="C158" s="2148"/>
      <c r="D158" s="863"/>
      <c r="K158" s="1672"/>
      <c r="L158" s="2148"/>
      <c r="M158" s="2148"/>
      <c r="N158" s="1672"/>
      <c r="O158" s="1672"/>
      <c r="P158" s="1672"/>
      <c r="Q158" s="1672"/>
      <c r="R158" s="2148"/>
      <c r="S158" s="1672"/>
      <c r="T158" s="1672"/>
      <c r="U158" s="1056"/>
      <c r="V158" s="1672"/>
      <c r="W158" s="1672"/>
      <c r="X158" s="1672"/>
      <c r="Y158" s="1672"/>
      <c r="Z158" s="1672"/>
      <c r="AA158" s="2144"/>
      <c r="AB158" s="1078"/>
      <c r="AC158" s="1078"/>
      <c r="AD158" s="1078"/>
      <c r="AE158" s="1078"/>
      <c r="AF158" s="2153">
        <v>11</v>
      </c>
    </row>
    <row s="47496" customFormat="1" customHeight="1" ht="11.549999999999999">
      <c r="A159" s="1499"/>
      <c r="B159" s="2148"/>
      <c r="C159" s="2148"/>
      <c r="D159" s="863"/>
      <c r="K159" s="1672"/>
      <c r="L159" s="2148"/>
      <c r="M159" s="2148"/>
      <c r="N159" s="1672"/>
      <c r="O159" s="1672"/>
      <c r="P159" s="1672"/>
      <c r="Q159" s="1672"/>
      <c r="R159" s="2148"/>
      <c r="S159" s="1672"/>
      <c r="T159" s="1672"/>
      <c r="U159" s="1056"/>
      <c r="V159" s="1672"/>
      <c r="W159" s="1672"/>
      <c r="X159" s="1672"/>
      <c r="Y159" s="1672"/>
      <c r="Z159" s="1672"/>
      <c r="AA159" s="2144"/>
      <c r="AB159" s="1078"/>
      <c r="AC159" s="1078"/>
      <c r="AD159" s="1078"/>
      <c r="AE159" s="1078"/>
      <c r="AF159" s="2153">
        <v>11</v>
      </c>
    </row>
    <row s="47496" customFormat="1" customHeight="1" ht="11.549999999999999">
      <c r="A160" s="1499"/>
      <c r="B160" s="2148"/>
      <c r="C160" s="2148"/>
      <c r="D160" s="863"/>
      <c r="K160" s="1672"/>
      <c r="L160" s="2148"/>
      <c r="M160" s="2148"/>
      <c r="N160" s="1672"/>
      <c r="O160" s="1672"/>
      <c r="P160" s="1672"/>
      <c r="Q160" s="1672"/>
      <c r="R160" s="2148"/>
      <c r="S160" s="1672"/>
      <c r="T160" s="1672"/>
      <c r="U160" s="1056"/>
      <c r="V160" s="1672"/>
      <c r="W160" s="1672"/>
      <c r="X160" s="1672"/>
      <c r="Y160" s="1672"/>
      <c r="Z160" s="1672"/>
      <c r="AA160" s="2144"/>
      <c r="AB160" s="1078"/>
      <c r="AC160" s="1078"/>
      <c r="AD160" s="1078"/>
      <c r="AE160" s="1078"/>
      <c r="AF160" s="2153">
        <v>11</v>
      </c>
    </row>
    <row s="47496" customFormat="1" customHeight="1" ht="11.549999999999999">
      <c r="A161" s="1499"/>
      <c r="B161" s="2148"/>
      <c r="C161" s="2148"/>
      <c r="D161" s="863"/>
      <c r="K161" s="1672"/>
      <c r="L161" s="2148"/>
      <c r="M161" s="2148"/>
      <c r="N161" s="1672"/>
      <c r="O161" s="1672"/>
      <c r="P161" s="1672"/>
      <c r="Q161" s="1672"/>
      <c r="R161" s="2148"/>
      <c r="S161" s="1672"/>
      <c r="T161" s="1672"/>
      <c r="U161" s="1056"/>
      <c r="V161" s="1672"/>
      <c r="W161" s="1672"/>
      <c r="X161" s="1672"/>
      <c r="Y161" s="1672"/>
      <c r="Z161" s="1672"/>
      <c r="AA161" s="2144"/>
      <c r="AB161" s="1078"/>
      <c r="AC161" s="1078"/>
      <c r="AD161" s="1078"/>
      <c r="AE161" s="1078"/>
      <c r="AF161" s="2153">
        <v>11</v>
      </c>
    </row>
    <row s="47496" customFormat="1" customHeight="1" ht="11.549999999999999">
      <c r="A162" s="1499"/>
      <c r="B162" s="2148"/>
      <c r="C162" s="2148"/>
      <c r="D162" s="863"/>
      <c r="K162" s="1672"/>
      <c r="L162" s="2148"/>
      <c r="M162" s="2148"/>
      <c r="N162" s="1672"/>
      <c r="O162" s="1672"/>
      <c r="P162" s="1672"/>
      <c r="Q162" s="1672"/>
      <c r="R162" s="2148"/>
      <c r="S162" s="1672"/>
      <c r="T162" s="1672"/>
      <c r="U162" s="1056"/>
      <c r="V162" s="1672"/>
      <c r="W162" s="1672"/>
      <c r="X162" s="1672"/>
      <c r="Y162" s="1672"/>
      <c r="Z162" s="1672"/>
      <c r="AA162" s="2144"/>
      <c r="AB162" s="1078"/>
      <c r="AC162" s="1078"/>
      <c r="AD162" s="1078"/>
      <c r="AE162" s="1078"/>
      <c r="AF162" s="2153">
        <v>11</v>
      </c>
    </row>
    <row s="47496" customFormat="1" customHeight="1" ht="11.549999999999999">
      <c r="A163" s="1499"/>
      <c r="B163" s="2148"/>
      <c r="C163" s="2148"/>
      <c r="D163" s="863"/>
      <c r="K163" s="1672"/>
      <c r="L163" s="2148"/>
      <c r="M163" s="2148"/>
      <c r="N163" s="1672"/>
      <c r="O163" s="1672"/>
      <c r="P163" s="1672"/>
      <c r="Q163" s="1672"/>
      <c r="R163" s="2148"/>
      <c r="S163" s="1672"/>
      <c r="T163" s="1672"/>
      <c r="U163" s="1056"/>
      <c r="V163" s="1672"/>
      <c r="W163" s="1672"/>
      <c r="X163" s="1672"/>
      <c r="Y163" s="1672"/>
      <c r="Z163" s="1672"/>
      <c r="AA163" s="2144"/>
      <c r="AB163" s="1078"/>
      <c r="AC163" s="1078"/>
      <c r="AD163" s="1078"/>
      <c r="AE163" s="1078"/>
      <c r="AF163" s="2153">
        <v>11</v>
      </c>
    </row>
    <row s="47496" customFormat="1" customHeight="1" ht="11.549999999999999">
      <c r="A164" s="1499"/>
      <c r="B164" s="2148"/>
      <c r="C164" s="2148"/>
      <c r="D164" s="863"/>
      <c r="K164" s="1672"/>
      <c r="L164" s="2148"/>
      <c r="M164" s="2148"/>
      <c r="N164" s="1672"/>
      <c r="O164" s="1672"/>
      <c r="P164" s="1672"/>
      <c r="Q164" s="1672"/>
      <c r="R164" s="2148"/>
      <c r="S164" s="1672"/>
      <c r="T164" s="1672"/>
      <c r="U164" s="1056"/>
      <c r="V164" s="1672"/>
      <c r="W164" s="1672"/>
      <c r="X164" s="1672"/>
      <c r="Y164" s="1672"/>
      <c r="Z164" s="1672"/>
      <c r="AA164" s="2144"/>
      <c r="AB164" s="1078"/>
      <c r="AC164" s="1078"/>
      <c r="AD164" s="1078"/>
      <c r="AE164" s="1078"/>
      <c r="AF164" s="2153">
        <v>11</v>
      </c>
    </row>
    <row s="47496" customFormat="1" customHeight="1" ht="11.549999999999999">
      <c r="A165" s="1499"/>
      <c r="B165" s="2148"/>
      <c r="C165" s="2148"/>
      <c r="D165" s="863"/>
      <c r="K165" s="1672"/>
      <c r="L165" s="2148"/>
      <c r="M165" s="2148"/>
      <c r="N165" s="1672"/>
      <c r="O165" s="1672"/>
      <c r="P165" s="1672"/>
      <c r="Q165" s="1672"/>
      <c r="R165" s="2148"/>
      <c r="S165" s="1672"/>
      <c r="T165" s="1672"/>
      <c r="U165" s="1056"/>
      <c r="V165" s="1672"/>
      <c r="W165" s="1672"/>
      <c r="X165" s="1672"/>
      <c r="Y165" s="1672"/>
      <c r="Z165" s="1672"/>
      <c r="AA165" s="2144"/>
      <c r="AB165" s="1078"/>
      <c r="AC165" s="1078"/>
      <c r="AD165" s="1078"/>
      <c r="AE165" s="1078"/>
      <c r="AF165" s="2153">
        <v>11</v>
      </c>
    </row>
    <row s="47496" customFormat="1" customHeight="1" ht="11.549999999999999">
      <c r="A166" s="1499"/>
      <c r="B166" s="2148"/>
      <c r="C166" s="2148"/>
      <c r="D166" s="863"/>
      <c r="K166" s="1672"/>
      <c r="L166" s="2148"/>
      <c r="M166" s="2148"/>
      <c r="N166" s="1672"/>
      <c r="O166" s="1672"/>
      <c r="P166" s="1672"/>
      <c r="Q166" s="1672"/>
      <c r="R166" s="2148"/>
      <c r="S166" s="1672"/>
      <c r="T166" s="1672"/>
      <c r="U166" s="1056"/>
      <c r="V166" s="1672"/>
      <c r="W166" s="1672"/>
      <c r="X166" s="1672"/>
      <c r="Y166" s="1672"/>
      <c r="Z166" s="1672"/>
      <c r="AA166" s="2144"/>
      <c r="AB166" s="1078"/>
      <c r="AC166" s="1078"/>
      <c r="AD166" s="1078"/>
      <c r="AE166" s="1078"/>
      <c r="AF166" s="2153">
        <v>11</v>
      </c>
    </row>
    <row s="47496" customFormat="1" customHeight="1" ht="11.549999999999999">
      <c r="A167" s="1499"/>
      <c r="B167" s="2148"/>
      <c r="C167" s="2148"/>
      <c r="D167" s="863"/>
      <c r="K167" s="1672"/>
      <c r="L167" s="2148"/>
      <c r="M167" s="2148"/>
      <c r="N167" s="1672"/>
      <c r="O167" s="1672"/>
      <c r="P167" s="1672"/>
      <c r="Q167" s="1672"/>
      <c r="R167" s="2148"/>
      <c r="S167" s="1672"/>
      <c r="T167" s="1672"/>
      <c r="U167" s="1056"/>
      <c r="V167" s="1672"/>
      <c r="W167" s="1672"/>
      <c r="X167" s="1672"/>
      <c r="Y167" s="1672"/>
      <c r="Z167" s="1672"/>
      <c r="AA167" s="2144"/>
      <c r="AB167" s="1078"/>
      <c r="AC167" s="1078"/>
      <c r="AD167" s="1078"/>
      <c r="AE167" s="1078"/>
      <c r="AF167" s="2153">
        <v>11</v>
      </c>
    </row>
    <row s="47496" customFormat="1" customHeight="1" ht="11.549999999999999">
      <c r="A168" s="1499"/>
      <c r="B168" s="2148"/>
      <c r="C168" s="2148"/>
      <c r="D168" s="863"/>
      <c r="K168" s="1672"/>
      <c r="L168" s="2148"/>
      <c r="M168" s="2148"/>
      <c r="N168" s="1672"/>
      <c r="O168" s="1672"/>
      <c r="P168" s="1672"/>
      <c r="Q168" s="1672"/>
      <c r="R168" s="2148"/>
      <c r="S168" s="1672"/>
      <c r="T168" s="1672"/>
      <c r="U168" s="1056"/>
      <c r="V168" s="1672"/>
      <c r="W168" s="1672"/>
      <c r="X168" s="1672"/>
      <c r="Y168" s="1672"/>
      <c r="Z168" s="1672"/>
      <c r="AA168" s="2144"/>
      <c r="AB168" s="1078"/>
      <c r="AC168" s="1078"/>
      <c r="AD168" s="1078"/>
      <c r="AE168" s="1078"/>
      <c r="AF168" s="2153">
        <v>11</v>
      </c>
    </row>
    <row s="47496" customFormat="1" customHeight="1" ht="11.549999999999999">
      <c r="A169" s="1499"/>
      <c r="B169" s="2148"/>
      <c r="C169" s="2148"/>
      <c r="D169" s="863"/>
      <c r="K169" s="1672"/>
      <c r="L169" s="2148"/>
      <c r="M169" s="2148"/>
      <c r="N169" s="1672"/>
      <c r="O169" s="1672"/>
      <c r="P169" s="1672"/>
      <c r="Q169" s="1672"/>
      <c r="R169" s="2148"/>
      <c r="S169" s="1672"/>
      <c r="T169" s="1672"/>
      <c r="U169" s="1056"/>
      <c r="V169" s="1672"/>
      <c r="W169" s="1672"/>
      <c r="X169" s="1672"/>
      <c r="Y169" s="1672"/>
      <c r="Z169" s="1672"/>
      <c r="AA169" s="2144"/>
      <c r="AB169" s="1078"/>
      <c r="AC169" s="1078"/>
      <c r="AD169" s="1078"/>
      <c r="AE169" s="1078"/>
      <c r="AF169" s="2153">
        <v>11</v>
      </c>
    </row>
    <row s="47496" customFormat="1" customHeight="1" ht="11.549999999999999">
      <c r="A170" s="1499"/>
      <c r="B170" s="2148"/>
      <c r="C170" s="2148"/>
      <c r="D170" s="863"/>
      <c r="K170" s="1672"/>
      <c r="L170" s="2148"/>
      <c r="M170" s="2148"/>
      <c r="N170" s="1672"/>
      <c r="O170" s="1672"/>
      <c r="P170" s="1672"/>
      <c r="Q170" s="1672"/>
      <c r="R170" s="2148"/>
      <c r="S170" s="1672"/>
      <c r="T170" s="1672"/>
      <c r="U170" s="1056"/>
      <c r="V170" s="1672"/>
      <c r="W170" s="1672"/>
      <c r="X170" s="1672"/>
      <c r="Y170" s="1672"/>
      <c r="Z170" s="1672"/>
      <c r="AA170" s="2144"/>
      <c r="AB170" s="1078"/>
      <c r="AC170" s="1078"/>
      <c r="AD170" s="1078"/>
      <c r="AE170" s="1078"/>
      <c r="AF170" s="2153">
        <v>11</v>
      </c>
    </row>
    <row s="47496" customFormat="1" customHeight="1" ht="11.549999999999999">
      <c r="A171" s="1499"/>
      <c r="B171" s="2148"/>
      <c r="C171" s="2148"/>
      <c r="D171" s="863"/>
      <c r="K171" s="1672"/>
      <c r="L171" s="2148"/>
      <c r="M171" s="2148"/>
      <c r="N171" s="1672"/>
      <c r="O171" s="1672"/>
      <c r="P171" s="1672"/>
      <c r="Q171" s="1672"/>
      <c r="R171" s="2148"/>
      <c r="S171" s="1672"/>
      <c r="T171" s="1672"/>
      <c r="U171" s="1056"/>
      <c r="V171" s="1672"/>
      <c r="W171" s="1672"/>
      <c r="X171" s="1672"/>
      <c r="Y171" s="1672"/>
      <c r="Z171" s="1672"/>
      <c r="AA171" s="2144"/>
      <c r="AB171" s="1078"/>
      <c r="AC171" s="1078"/>
      <c r="AD171" s="1078"/>
      <c r="AE171" s="1078"/>
      <c r="AF171" s="2153">
        <v>11</v>
      </c>
    </row>
    <row s="47496" customFormat="1" customHeight="1" ht="11.549999999999999">
      <c r="A172" s="1499"/>
      <c r="B172" s="2148"/>
      <c r="C172" s="2148"/>
      <c r="D172" s="863"/>
      <c r="K172" s="1672"/>
      <c r="L172" s="2148"/>
      <c r="M172" s="2148"/>
      <c r="N172" s="1672"/>
      <c r="O172" s="1672"/>
      <c r="P172" s="1672"/>
      <c r="Q172" s="1672"/>
      <c r="R172" s="2148"/>
      <c r="S172" s="1672"/>
      <c r="T172" s="1672"/>
      <c r="U172" s="1056"/>
      <c r="V172" s="1672"/>
      <c r="W172" s="1672"/>
      <c r="X172" s="1672"/>
      <c r="Y172" s="1672"/>
      <c r="Z172" s="1672"/>
      <c r="AA172" s="2144"/>
      <c r="AB172" s="1078"/>
      <c r="AC172" s="1078"/>
      <c r="AD172" s="1078"/>
      <c r="AE172" s="1078"/>
      <c r="AF172" s="2153">
        <v>11</v>
      </c>
    </row>
    <row s="47496" customFormat="1" customHeight="1" ht="11.549999999999999">
      <c r="A173" s="1499"/>
      <c r="B173" s="2148"/>
      <c r="C173" s="2148"/>
      <c r="D173" s="863"/>
      <c r="K173" s="1672"/>
      <c r="L173" s="2148"/>
      <c r="M173" s="2148"/>
      <c r="N173" s="1672"/>
      <c r="O173" s="1672"/>
      <c r="P173" s="1672"/>
      <c r="Q173" s="1672"/>
      <c r="R173" s="2148"/>
      <c r="S173" s="1672"/>
      <c r="T173" s="1672"/>
      <c r="U173" s="1056"/>
      <c r="V173" s="1672"/>
      <c r="W173" s="1672"/>
      <c r="X173" s="1672"/>
      <c r="Y173" s="1672"/>
      <c r="Z173" s="1672"/>
      <c r="AA173" s="2144"/>
      <c r="AB173" s="1078"/>
      <c r="AC173" s="1078"/>
      <c r="AD173" s="1078"/>
      <c r="AE173" s="1078"/>
      <c r="AF173" s="2153">
        <v>11</v>
      </c>
    </row>
    <row s="47496" customFormat="1" customHeight="1" ht="11.549999999999999">
      <c r="A174" s="1499"/>
      <c r="B174" s="2148"/>
      <c r="C174" s="2148"/>
      <c r="D174" s="863"/>
      <c r="K174" s="1672"/>
      <c r="L174" s="2148"/>
      <c r="M174" s="2148"/>
      <c r="N174" s="1672"/>
      <c r="O174" s="1672"/>
      <c r="P174" s="1672"/>
      <c r="Q174" s="1672"/>
      <c r="R174" s="2148"/>
      <c r="S174" s="1672"/>
      <c r="T174" s="1672"/>
      <c r="U174" s="1056"/>
      <c r="V174" s="1672"/>
      <c r="W174" s="1672"/>
      <c r="X174" s="1672"/>
      <c r="Y174" s="1672"/>
      <c r="Z174" s="1672"/>
      <c r="AA174" s="2144"/>
      <c r="AB174" s="1078"/>
      <c r="AC174" s="1078"/>
      <c r="AD174" s="1078"/>
      <c r="AE174" s="1078"/>
      <c r="AF174" s="2153">
        <v>11</v>
      </c>
    </row>
    <row s="47496" customFormat="1" customHeight="1" ht="11.549999999999999">
      <c r="A175" s="1499"/>
      <c r="B175" s="2148"/>
      <c r="C175" s="2148"/>
      <c r="D175" s="863"/>
      <c r="K175" s="1672"/>
      <c r="L175" s="2148"/>
      <c r="M175" s="2148"/>
      <c r="N175" s="1672"/>
      <c r="O175" s="1672"/>
      <c r="P175" s="1672"/>
      <c r="Q175" s="1672"/>
      <c r="R175" s="2148"/>
      <c r="S175" s="1672"/>
      <c r="T175" s="1672"/>
      <c r="U175" s="1056"/>
      <c r="V175" s="1672"/>
      <c r="W175" s="1672"/>
      <c r="X175" s="1672"/>
      <c r="Y175" s="1672"/>
      <c r="Z175" s="1672"/>
      <c r="AA175" s="2144"/>
      <c r="AB175" s="1078"/>
      <c r="AC175" s="1078"/>
      <c r="AD175" s="1078"/>
      <c r="AE175" s="1078"/>
      <c r="AF175" s="2153">
        <v>11</v>
      </c>
    </row>
    <row s="47496" customFormat="1" customHeight="1" ht="11.549999999999999">
      <c r="A176" s="1499"/>
      <c r="B176" s="2148"/>
      <c r="C176" s="2148"/>
      <c r="D176" s="863"/>
      <c r="K176" s="1672"/>
      <c r="L176" s="2148"/>
      <c r="M176" s="2148"/>
      <c r="N176" s="1672"/>
      <c r="O176" s="1672"/>
      <c r="P176" s="1672"/>
      <c r="Q176" s="1672"/>
      <c r="R176" s="2148"/>
      <c r="S176" s="1672"/>
      <c r="T176" s="1672"/>
      <c r="U176" s="1056"/>
      <c r="V176" s="1672"/>
      <c r="W176" s="1672"/>
      <c r="X176" s="1672"/>
      <c r="Y176" s="1672"/>
      <c r="Z176" s="1672"/>
      <c r="AA176" s="2144"/>
      <c r="AB176" s="1078"/>
      <c r="AC176" s="1078"/>
      <c r="AD176" s="1078"/>
      <c r="AE176" s="1078"/>
      <c r="AF176" s="2153">
        <v>11</v>
      </c>
    </row>
    <row s="47496" customFormat="1" customHeight="1" ht="11.549999999999999">
      <c r="A177" s="1499"/>
      <c r="B177" s="2148"/>
      <c r="C177" s="2148"/>
      <c r="D177" s="863"/>
      <c r="K177" s="1672"/>
      <c r="L177" s="2148"/>
      <c r="M177" s="2148"/>
      <c r="N177" s="1672"/>
      <c r="O177" s="1672"/>
      <c r="P177" s="1672"/>
      <c r="Q177" s="1672"/>
      <c r="R177" s="2148"/>
      <c r="S177" s="1672"/>
      <c r="T177" s="1672"/>
      <c r="U177" s="1056"/>
      <c r="V177" s="1672"/>
      <c r="W177" s="1672"/>
      <c r="X177" s="1672"/>
      <c r="Y177" s="1672"/>
      <c r="Z177" s="1672"/>
      <c r="AA177" s="2144"/>
      <c r="AB177" s="1078"/>
      <c r="AC177" s="1078"/>
      <c r="AD177" s="1078"/>
      <c r="AE177" s="1078"/>
      <c r="AF177" s="2153">
        <v>11</v>
      </c>
    </row>
    <row s="47496" customFormat="1" customHeight="1" ht="11.549999999999999">
      <c r="A178" s="1499"/>
      <c r="B178" s="2148"/>
      <c r="C178" s="2148"/>
      <c r="D178" s="863"/>
      <c r="K178" s="1672"/>
      <c r="L178" s="2148"/>
      <c r="M178" s="2148"/>
      <c r="N178" s="1672"/>
      <c r="O178" s="1672"/>
      <c r="P178" s="1672"/>
      <c r="Q178" s="1672"/>
      <c r="R178" s="2148"/>
      <c r="S178" s="1672"/>
      <c r="T178" s="1672"/>
      <c r="U178" s="1056"/>
      <c r="V178" s="1672"/>
      <c r="W178" s="1672"/>
      <c r="X178" s="1672"/>
      <c r="Y178" s="1672"/>
      <c r="Z178" s="1672"/>
      <c r="AA178" s="2144"/>
      <c r="AB178" s="1078"/>
      <c r="AC178" s="1078"/>
      <c r="AD178" s="1078"/>
      <c r="AE178" s="1078"/>
      <c r="AF178" s="2153">
        <v>11</v>
      </c>
    </row>
    <row s="47496" customFormat="1" customHeight="1" ht="11.549999999999999">
      <c r="A179" s="1499"/>
      <c r="B179" s="2148"/>
      <c r="C179" s="2148"/>
      <c r="D179" s="863"/>
      <c r="K179" s="1672"/>
      <c r="L179" s="2148"/>
      <c r="M179" s="2148"/>
      <c r="N179" s="1672"/>
      <c r="O179" s="1672"/>
      <c r="P179" s="1672"/>
      <c r="Q179" s="1672"/>
      <c r="R179" s="2148"/>
      <c r="S179" s="1672"/>
      <c r="T179" s="1672"/>
      <c r="U179" s="1056"/>
      <c r="V179" s="1672"/>
      <c r="W179" s="1672"/>
      <c r="X179" s="1672"/>
      <c r="Y179" s="1672"/>
      <c r="Z179" s="1672"/>
      <c r="AA179" s="2144"/>
      <c r="AB179" s="1078"/>
      <c r="AC179" s="1078"/>
      <c r="AD179" s="1078"/>
      <c r="AE179" s="1078"/>
      <c r="AF179" s="2153">
        <v>11</v>
      </c>
    </row>
    <row s="47496" customFormat="1" customHeight="1" ht="11.549999999999999">
      <c r="A180" s="1499"/>
      <c r="B180" s="2148"/>
      <c r="C180" s="2148"/>
      <c r="D180" s="863"/>
      <c r="K180" s="1672"/>
      <c r="L180" s="2148"/>
      <c r="M180" s="2148"/>
      <c r="N180" s="1672"/>
      <c r="O180" s="1672"/>
      <c r="P180" s="1672"/>
      <c r="Q180" s="1672"/>
      <c r="R180" s="2148"/>
      <c r="S180" s="1672"/>
      <c r="T180" s="1672"/>
      <c r="U180" s="1056"/>
      <c r="V180" s="1672"/>
      <c r="W180" s="1672"/>
      <c r="X180" s="1672"/>
      <c r="Y180" s="1672"/>
      <c r="Z180" s="1672"/>
      <c r="AA180" s="2144"/>
      <c r="AB180" s="1078"/>
      <c r="AC180" s="1078"/>
      <c r="AD180" s="1078"/>
      <c r="AE180" s="1078"/>
      <c r="AF180" s="2153">
        <v>11</v>
      </c>
    </row>
    <row s="47496" customFormat="1" customHeight="1" ht="11.549999999999999">
      <c r="A181" s="1499"/>
      <c r="B181" s="2148"/>
      <c r="C181" s="2148"/>
      <c r="D181" s="863"/>
      <c r="K181" s="1672"/>
      <c r="L181" s="2148"/>
      <c r="M181" s="2148"/>
      <c r="N181" s="1672"/>
      <c r="O181" s="1672"/>
      <c r="P181" s="1672"/>
      <c r="Q181" s="1672"/>
      <c r="R181" s="2148"/>
      <c r="S181" s="1672"/>
      <c r="T181" s="1672"/>
      <c r="U181" s="1056"/>
      <c r="V181" s="1672"/>
      <c r="W181" s="1672"/>
      <c r="X181" s="1672"/>
      <c r="Y181" s="1672"/>
      <c r="Z181" s="1672"/>
      <c r="AA181" s="2144"/>
      <c r="AB181" s="1078"/>
      <c r="AC181" s="1078"/>
      <c r="AD181" s="1078"/>
      <c r="AE181" s="1078"/>
      <c r="AF181" s="2153">
        <v>11</v>
      </c>
    </row>
    <row s="47496" customFormat="1" customHeight="1" ht="11.549999999999999">
      <c r="A182" s="1499"/>
      <c r="B182" s="2148"/>
      <c r="C182" s="2148"/>
      <c r="D182" s="863"/>
      <c r="K182" s="1672"/>
      <c r="L182" s="2148"/>
      <c r="M182" s="2148"/>
      <c r="N182" s="1672"/>
      <c r="O182" s="1672"/>
      <c r="P182" s="1672"/>
      <c r="Q182" s="1672"/>
      <c r="R182" s="2148"/>
      <c r="S182" s="1672"/>
      <c r="T182" s="1672"/>
      <c r="U182" s="1056"/>
      <c r="V182" s="1672"/>
      <c r="W182" s="1672"/>
      <c r="X182" s="1672"/>
      <c r="Y182" s="1672"/>
      <c r="Z182" s="1672"/>
      <c r="AA182" s="2144"/>
      <c r="AB182" s="1078"/>
      <c r="AC182" s="1078"/>
      <c r="AD182" s="1078"/>
      <c r="AE182" s="1078"/>
      <c r="AF182" s="2153">
        <v>11</v>
      </c>
    </row>
    <row s="47496" customFormat="1" customHeight="1" ht="11.549999999999999">
      <c r="A183" s="1499"/>
      <c r="B183" s="2148"/>
      <c r="C183" s="2148"/>
      <c r="D183" s="863"/>
      <c r="K183" s="1672"/>
      <c r="L183" s="2148"/>
      <c r="M183" s="2148"/>
      <c r="N183" s="1672"/>
      <c r="O183" s="1672"/>
      <c r="P183" s="1672"/>
      <c r="Q183" s="1672"/>
      <c r="R183" s="2148"/>
      <c r="S183" s="1672"/>
      <c r="T183" s="1672"/>
      <c r="U183" s="1056"/>
      <c r="V183" s="1672"/>
      <c r="W183" s="1672"/>
      <c r="X183" s="1672"/>
      <c r="Y183" s="1672"/>
      <c r="Z183" s="1672"/>
      <c r="AA183" s="2144"/>
      <c r="AB183" s="1078"/>
      <c r="AC183" s="1078"/>
      <c r="AD183" s="1078"/>
      <c r="AE183" s="1078"/>
      <c r="AF183" s="2153">
        <v>11</v>
      </c>
    </row>
    <row s="47496" customFormat="1" customHeight="1" ht="11.549999999999999">
      <c r="A184" s="1499"/>
      <c r="B184" s="2148"/>
      <c r="C184" s="2148"/>
      <c r="D184" s="863"/>
      <c r="K184" s="1672"/>
      <c r="L184" s="2148"/>
      <c r="M184" s="2148"/>
      <c r="N184" s="1672"/>
      <c r="O184" s="1672"/>
      <c r="P184" s="1672"/>
      <c r="Q184" s="1672"/>
      <c r="R184" s="2148"/>
      <c r="S184" s="1672"/>
      <c r="T184" s="1672"/>
      <c r="U184" s="1056"/>
      <c r="V184" s="1672"/>
      <c r="W184" s="1672"/>
      <c r="X184" s="1672"/>
      <c r="Y184" s="1672"/>
      <c r="Z184" s="1672"/>
      <c r="AA184" s="2144"/>
      <c r="AB184" s="1078"/>
      <c r="AC184" s="1078"/>
      <c r="AD184" s="1078"/>
      <c r="AE184" s="1078"/>
      <c r="AF184" s="2153">
        <v>11</v>
      </c>
    </row>
    <row s="47496" customFormat="1" customHeight="1" ht="11.549999999999999">
      <c r="A185" s="1499"/>
      <c r="B185" s="2148"/>
      <c r="C185" s="2148"/>
      <c r="D185" s="863"/>
      <c r="K185" s="1672"/>
      <c r="L185" s="2148"/>
      <c r="M185" s="2148"/>
      <c r="N185" s="1672"/>
      <c r="O185" s="1672"/>
      <c r="P185" s="1672"/>
      <c r="Q185" s="1672"/>
      <c r="R185" s="2148"/>
      <c r="S185" s="1672"/>
      <c r="T185" s="1672"/>
      <c r="U185" s="1056"/>
      <c r="V185" s="1672"/>
      <c r="W185" s="1672"/>
      <c r="X185" s="1672"/>
      <c r="Y185" s="1672"/>
      <c r="Z185" s="1672"/>
      <c r="AA185" s="2144"/>
      <c r="AB185" s="1078"/>
      <c r="AC185" s="1078"/>
      <c r="AD185" s="1078"/>
      <c r="AE185" s="1078"/>
      <c r="AF185" s="2153">
        <v>11</v>
      </c>
    </row>
    <row s="47496" customFormat="1" customHeight="1" ht="11.549999999999999">
      <c r="A186" s="1499"/>
      <c r="B186" s="2148"/>
      <c r="C186" s="2148"/>
      <c r="D186" s="863"/>
      <c r="K186" s="1672"/>
      <c r="L186" s="2148"/>
      <c r="M186" s="2148"/>
      <c r="N186" s="1672"/>
      <c r="O186" s="1672"/>
      <c r="P186" s="1672"/>
      <c r="Q186" s="1672"/>
      <c r="R186" s="2148"/>
      <c r="S186" s="1672"/>
      <c r="T186" s="1672"/>
      <c r="U186" s="1056"/>
      <c r="V186" s="1672"/>
      <c r="W186" s="1672"/>
      <c r="X186" s="1672"/>
      <c r="Y186" s="1672"/>
      <c r="Z186" s="1672"/>
      <c r="AA186" s="2144"/>
      <c r="AB186" s="1078"/>
      <c r="AC186" s="1078"/>
      <c r="AD186" s="1078"/>
      <c r="AE186" s="1078"/>
      <c r="AF186" s="2153">
        <v>11</v>
      </c>
    </row>
    <row s="47496" customFormat="1" customHeight="1" ht="11.549999999999999">
      <c r="A187" s="1499"/>
      <c r="B187" s="2148"/>
      <c r="C187" s="2148"/>
      <c r="D187" s="863"/>
      <c r="K187" s="1672"/>
      <c r="L187" s="2148"/>
      <c r="M187" s="2148"/>
      <c r="N187" s="1672"/>
      <c r="O187" s="1672"/>
      <c r="P187" s="1672"/>
      <c r="Q187" s="1672"/>
      <c r="R187" s="2148"/>
      <c r="S187" s="1672"/>
      <c r="T187" s="1672"/>
      <c r="U187" s="1056"/>
      <c r="V187" s="1672"/>
      <c r="W187" s="1672"/>
      <c r="X187" s="1672"/>
      <c r="Y187" s="1672"/>
      <c r="Z187" s="1672"/>
      <c r="AA187" s="2144"/>
      <c r="AB187" s="1078"/>
      <c r="AC187" s="1078"/>
      <c r="AD187" s="1078"/>
      <c r="AE187" s="1078"/>
      <c r="AF187" s="2153">
        <v>11</v>
      </c>
    </row>
    <row s="47496" customFormat="1" customHeight="1" ht="11.549999999999999">
      <c r="A188" s="1499"/>
      <c r="B188" s="2148"/>
      <c r="C188" s="2148"/>
      <c r="D188" s="863"/>
      <c r="K188" s="1672"/>
      <c r="L188" s="2148"/>
      <c r="M188" s="2148"/>
      <c r="N188" s="1672"/>
      <c r="O188" s="1672"/>
      <c r="P188" s="1672"/>
      <c r="Q188" s="1672"/>
      <c r="R188" s="2148"/>
      <c r="S188" s="1672"/>
      <c r="T188" s="1672"/>
      <c r="U188" s="1056"/>
      <c r="V188" s="1672"/>
      <c r="W188" s="1672"/>
      <c r="X188" s="1672"/>
      <c r="Y188" s="1672"/>
      <c r="Z188" s="1672"/>
      <c r="AA188" s="2144"/>
      <c r="AB188" s="1078"/>
      <c r="AC188" s="1078"/>
      <c r="AD188" s="1078"/>
      <c r="AE188" s="1078"/>
      <c r="AF188" s="2153">
        <v>11</v>
      </c>
    </row>
    <row s="47496" customFormat="1" customHeight="1" ht="11.549999999999999">
      <c r="A189" s="1499"/>
      <c r="B189" s="2148"/>
      <c r="C189" s="2148"/>
      <c r="D189" s="863"/>
      <c r="K189" s="1672"/>
      <c r="L189" s="2148"/>
      <c r="M189" s="2148"/>
      <c r="N189" s="1672"/>
      <c r="O189" s="1672"/>
      <c r="P189" s="1672"/>
      <c r="Q189" s="1672"/>
      <c r="R189" s="2148"/>
      <c r="S189" s="1672"/>
      <c r="T189" s="1672"/>
      <c r="U189" s="1056"/>
      <c r="V189" s="1672"/>
      <c r="W189" s="1672"/>
      <c r="X189" s="1672"/>
      <c r="Y189" s="1672"/>
      <c r="Z189" s="1672"/>
      <c r="AA189" s="2144"/>
      <c r="AB189" s="1078"/>
      <c r="AC189" s="1078"/>
      <c r="AD189" s="1078"/>
      <c r="AE189" s="1078"/>
      <c r="AF189" s="2153">
        <v>11</v>
      </c>
    </row>
    <row s="47496" customFormat="1" customHeight="1" ht="11.549999999999999">
      <c r="A190" s="1499"/>
      <c r="B190" s="2148"/>
      <c r="C190" s="2148"/>
      <c r="D190" s="863"/>
      <c r="K190" s="1672"/>
      <c r="L190" s="2148"/>
      <c r="M190" s="2148"/>
      <c r="N190" s="1672"/>
      <c r="O190" s="1672"/>
      <c r="P190" s="1672"/>
      <c r="Q190" s="1672"/>
      <c r="R190" s="2148"/>
      <c r="S190" s="1672"/>
      <c r="T190" s="1672"/>
      <c r="U190" s="1056"/>
      <c r="V190" s="1672"/>
      <c r="W190" s="1672"/>
      <c r="X190" s="1672"/>
      <c r="Y190" s="1672"/>
      <c r="Z190" s="1672"/>
      <c r="AA190" s="2144"/>
      <c r="AB190" s="1078"/>
      <c r="AC190" s="1078"/>
      <c r="AD190" s="1078"/>
      <c r="AE190" s="1078"/>
      <c r="AF190" s="2153">
        <v>11</v>
      </c>
    </row>
    <row s="47496" customFormat="1" customHeight="1" ht="11.549999999999999">
      <c r="A191" s="1499"/>
      <c r="B191" s="2148"/>
      <c r="C191" s="2148"/>
      <c r="D191" s="863"/>
      <c r="K191" s="1672"/>
      <c r="L191" s="2148"/>
      <c r="M191" s="2148"/>
      <c r="N191" s="1672"/>
      <c r="O191" s="1672"/>
      <c r="P191" s="1672"/>
      <c r="Q191" s="1672"/>
      <c r="R191" s="2148"/>
      <c r="S191" s="1672"/>
      <c r="T191" s="1672"/>
      <c r="U191" s="1056"/>
      <c r="V191" s="1672"/>
      <c r="W191" s="1672"/>
      <c r="X191" s="1672"/>
      <c r="Y191" s="1672"/>
      <c r="Z191" s="1672"/>
      <c r="AA191" s="2144"/>
      <c r="AB191" s="1078"/>
      <c r="AC191" s="1078"/>
      <c r="AD191" s="1078"/>
      <c r="AE191" s="1078"/>
      <c r="AF191" s="2153">
        <v>11</v>
      </c>
    </row>
    <row s="47496" customFormat="1" customHeight="1" ht="11.549999999999999">
      <c r="A192" s="1499"/>
      <c r="B192" s="2148"/>
      <c r="C192" s="2148"/>
      <c r="D192" s="863"/>
      <c r="K192" s="1672"/>
      <c r="L192" s="2148"/>
      <c r="M192" s="2148"/>
      <c r="N192" s="1672"/>
      <c r="O192" s="1672"/>
      <c r="P192" s="1672"/>
      <c r="Q192" s="1672"/>
      <c r="R192" s="2148"/>
      <c r="S192" s="1672"/>
      <c r="T192" s="1672"/>
      <c r="U192" s="1056"/>
      <c r="V192" s="1672"/>
      <c r="W192" s="1672"/>
      <c r="X192" s="1672"/>
      <c r="Y192" s="1672"/>
      <c r="Z192" s="1672"/>
      <c r="AA192" s="2144"/>
      <c r="AB192" s="1078"/>
      <c r="AC192" s="1078"/>
      <c r="AD192" s="1078"/>
      <c r="AE192" s="1078"/>
      <c r="AF192" s="2153">
        <v>11</v>
      </c>
    </row>
    <row s="47496" customFormat="1" customHeight="1" ht="11.549999999999999">
      <c r="A193" s="1499"/>
      <c r="B193" s="2148"/>
      <c r="C193" s="2148"/>
      <c r="D193" s="863"/>
      <c r="K193" s="1672"/>
      <c r="L193" s="2148"/>
      <c r="M193" s="2148"/>
      <c r="N193" s="1672"/>
      <c r="O193" s="1672"/>
      <c r="P193" s="1672"/>
      <c r="Q193" s="1672"/>
      <c r="R193" s="2148"/>
      <c r="S193" s="1672"/>
      <c r="T193" s="1672"/>
      <c r="U193" s="1056"/>
      <c r="V193" s="1672"/>
      <c r="W193" s="1672"/>
      <c r="X193" s="1672"/>
      <c r="Y193" s="1672"/>
      <c r="Z193" s="1672"/>
      <c r="AA193" s="2144"/>
      <c r="AB193" s="1078"/>
      <c r="AC193" s="1078"/>
      <c r="AD193" s="1078"/>
      <c r="AE193" s="1078"/>
      <c r="AF193" s="2153">
        <v>11</v>
      </c>
    </row>
    <row s="47496" customFormat="1" customHeight="1" ht="11.549999999999999">
      <c r="A194" s="1499"/>
      <c r="B194" s="2148"/>
      <c r="C194" s="2148"/>
      <c r="D194" s="863"/>
      <c r="K194" s="1672"/>
      <c r="L194" s="2148"/>
      <c r="M194" s="2148"/>
      <c r="N194" s="1672"/>
      <c r="O194" s="1672"/>
      <c r="P194" s="1672"/>
      <c r="Q194" s="1672"/>
      <c r="R194" s="2148"/>
      <c r="S194" s="1672"/>
      <c r="T194" s="1672"/>
      <c r="U194" s="1056"/>
      <c r="V194" s="1672"/>
      <c r="W194" s="1672"/>
      <c r="X194" s="1672"/>
      <c r="Y194" s="1672"/>
      <c r="Z194" s="1672"/>
      <c r="AA194" s="2144"/>
      <c r="AB194" s="1078"/>
      <c r="AC194" s="1078"/>
      <c r="AD194" s="1078"/>
      <c r="AE194" s="1078"/>
      <c r="AF194" s="2153">
        <v>11</v>
      </c>
    </row>
    <row s="47496" customFormat="1" customHeight="1" ht="11.549999999999999">
      <c r="A195" s="1499"/>
      <c r="B195" s="2148"/>
      <c r="C195" s="2148"/>
      <c r="D195" s="863"/>
      <c r="K195" s="1672"/>
      <c r="L195" s="2148"/>
      <c r="M195" s="2148"/>
      <c r="N195" s="1672"/>
      <c r="O195" s="1672"/>
      <c r="P195" s="1672"/>
      <c r="Q195" s="1672"/>
      <c r="R195" s="2148"/>
      <c r="S195" s="1672"/>
      <c r="T195" s="1672"/>
      <c r="U195" s="1056"/>
      <c r="V195" s="1672"/>
      <c r="W195" s="1672"/>
      <c r="X195" s="1672"/>
      <c r="Y195" s="1672"/>
      <c r="Z195" s="1672"/>
      <c r="AA195" s="2144"/>
      <c r="AB195" s="1078"/>
      <c r="AC195" s="1078"/>
      <c r="AD195" s="1078"/>
      <c r="AE195" s="1078"/>
      <c r="AF195" s="2153">
        <v>11</v>
      </c>
    </row>
    <row customHeight="1" ht="11.549999999999999">
      <c r="AF196" s="2143">
        <v>11</v>
      </c>
    </row>
    <row customHeight="1" ht="11.549999999999999">
      <c r="AF197" s="2143">
        <v>11</v>
      </c>
    </row>
    <row customHeight="1" ht="11.549999999999999">
      <c r="AF198" s="2143">
        <v>11</v>
      </c>
    </row>
    <row customHeight="1" ht="11.549999999999999">
      <c r="A199" s="1502"/>
      <c r="B199" s="2143"/>
      <c r="D199" s="2143"/>
      <c r="K199" s="2143"/>
      <c r="N199" s="2143"/>
      <c r="O199" s="2143"/>
      <c r="P199" s="2143"/>
      <c r="Q199" s="2143"/>
      <c r="S199" s="2143"/>
      <c r="T199" s="2143"/>
      <c r="U199" s="2143"/>
      <c r="V199" s="2143"/>
      <c r="W199" s="2143"/>
      <c r="X199" s="2143"/>
      <c r="Y199" s="2143"/>
      <c r="Z199" s="2143"/>
      <c r="AA199" s="2143"/>
      <c r="AB199" s="2143"/>
      <c r="AC199" s="2143"/>
      <c r="AD199" s="2143"/>
      <c r="AE199" s="2143"/>
      <c r="AF199" s="2143">
        <v>11</v>
      </c>
    </row>
    <row customHeight="1" ht="11.549999999999999">
      <c r="A200" s="1502"/>
      <c r="B200" s="2143"/>
      <c r="D200" s="2143"/>
      <c r="K200" s="2143"/>
      <c r="N200" s="2143"/>
      <c r="O200" s="2143"/>
      <c r="P200" s="2143"/>
      <c r="Q200" s="2143"/>
      <c r="S200" s="2143"/>
      <c r="T200" s="2143"/>
      <c r="U200" s="2143"/>
      <c r="V200" s="2143"/>
      <c r="W200" s="2143"/>
      <c r="X200" s="2143"/>
      <c r="Y200" s="2143"/>
      <c r="Z200" s="2143"/>
      <c r="AA200" s="2143"/>
      <c r="AB200" s="2143"/>
      <c r="AC200" s="2143"/>
      <c r="AD200" s="2143"/>
      <c r="AE200" s="2143"/>
      <c r="AF200" s="2143">
        <v>11</v>
      </c>
    </row>
    <row customHeight="1" ht="11.549999999999999">
      <c r="A201" s="1502"/>
      <c r="B201" s="2143"/>
      <c r="D201" s="2143"/>
      <c r="K201" s="2143"/>
      <c r="N201" s="2143"/>
      <c r="O201" s="2143"/>
      <c r="P201" s="2143"/>
      <c r="Q201" s="2143"/>
      <c r="S201" s="2143"/>
      <c r="T201" s="2143"/>
      <c r="U201" s="2143"/>
      <c r="V201" s="2143"/>
      <c r="W201" s="2143"/>
      <c r="X201" s="2143"/>
      <c r="Y201" s="2143"/>
      <c r="Z201" s="2143"/>
      <c r="AA201" s="2143"/>
      <c r="AB201" s="2143"/>
      <c r="AC201" s="2143"/>
      <c r="AD201" s="2143"/>
      <c r="AE201" s="2143"/>
      <c r="AF201" s="2143">
        <v>11</v>
      </c>
    </row>
    <row customHeight="1" ht="11.549999999999999">
      <c r="A202" s="1502"/>
      <c r="B202" s="2143"/>
      <c r="D202" s="2143"/>
      <c r="K202" s="2143"/>
      <c r="N202" s="2143"/>
      <c r="O202" s="2143"/>
      <c r="P202" s="2143"/>
      <c r="Q202" s="2143"/>
      <c r="S202" s="2143"/>
      <c r="T202" s="2143"/>
      <c r="U202" s="2143"/>
      <c r="V202" s="2143"/>
      <c r="W202" s="2143"/>
      <c r="X202" s="2143"/>
      <c r="Y202" s="2143"/>
      <c r="Z202" s="2143"/>
      <c r="AA202" s="2143"/>
      <c r="AB202" s="2143"/>
      <c r="AC202" s="2143"/>
      <c r="AD202" s="2143"/>
      <c r="AE202" s="2143"/>
      <c r="AF202" s="2143">
        <v>11</v>
      </c>
    </row>
    <row customHeight="1" ht="11.549999999999999">
      <c r="A203" s="1502"/>
      <c r="B203" s="2143"/>
      <c r="D203" s="2143"/>
      <c r="K203" s="2143"/>
      <c r="N203" s="2143"/>
      <c r="O203" s="2143"/>
      <c r="P203" s="2143"/>
      <c r="Q203" s="2143"/>
      <c r="S203" s="2143"/>
      <c r="T203" s="2143"/>
      <c r="U203" s="2143"/>
      <c r="V203" s="2143"/>
      <c r="W203" s="2143"/>
      <c r="X203" s="2143"/>
      <c r="Y203" s="2143"/>
      <c r="Z203" s="2143"/>
      <c r="AA203" s="2143"/>
      <c r="AB203" s="2143"/>
      <c r="AC203" s="2143"/>
      <c r="AD203" s="2143"/>
      <c r="AE203" s="2143"/>
      <c r="AF203" s="2143">
        <v>11</v>
      </c>
    </row>
    <row customHeight="1" ht="11.549999999999999">
      <c r="A204" s="1502"/>
      <c r="B204" s="2143"/>
      <c r="D204" s="2143"/>
      <c r="K204" s="2143"/>
      <c r="N204" s="2143"/>
      <c r="O204" s="2143"/>
      <c r="P204" s="2143"/>
      <c r="Q204" s="2143"/>
      <c r="S204" s="2143"/>
      <c r="T204" s="2143"/>
      <c r="U204" s="2143"/>
      <c r="V204" s="2143"/>
      <c r="W204" s="2143"/>
      <c r="X204" s="2143"/>
      <c r="Y204" s="2143"/>
      <c r="Z204" s="2143"/>
      <c r="AA204" s="2143"/>
      <c r="AB204" s="2143"/>
      <c r="AC204" s="2143"/>
      <c r="AD204" s="2143"/>
      <c r="AE204" s="2143"/>
      <c r="AF204" s="2143">
        <v>11</v>
      </c>
    </row>
    <row customHeight="1" ht="11.549999999999999">
      <c r="A205" s="1502"/>
      <c r="B205" s="2143"/>
      <c r="D205" s="2143"/>
      <c r="K205" s="2143"/>
      <c r="N205" s="2143"/>
      <c r="O205" s="2143"/>
      <c r="P205" s="2143"/>
      <c r="Q205" s="2143"/>
      <c r="S205" s="2143"/>
      <c r="T205" s="2143"/>
      <c r="U205" s="2143"/>
      <c r="V205" s="2143"/>
      <c r="W205" s="2143"/>
      <c r="X205" s="2143"/>
      <c r="Y205" s="2143"/>
      <c r="Z205" s="2143"/>
      <c r="AA205" s="2143"/>
      <c r="AB205" s="2143"/>
      <c r="AC205" s="2143"/>
      <c r="AD205" s="2143"/>
      <c r="AE205" s="2143"/>
      <c r="AF205" s="2143">
        <v>11</v>
      </c>
    </row>
    <row customHeight="1" ht="11.549999999999999">
      <c r="A206" s="1502"/>
      <c r="B206" s="2143"/>
      <c r="D206" s="2143"/>
      <c r="K206" s="2143"/>
      <c r="N206" s="2143"/>
      <c r="O206" s="2143"/>
      <c r="P206" s="2143"/>
      <c r="Q206" s="2143"/>
      <c r="S206" s="2143"/>
      <c r="T206" s="2143"/>
      <c r="U206" s="2143"/>
      <c r="V206" s="2143"/>
      <c r="W206" s="2143"/>
      <c r="X206" s="2143"/>
      <c r="Y206" s="2143"/>
      <c r="Z206" s="2143"/>
      <c r="AA206" s="2143"/>
      <c r="AB206" s="2143"/>
      <c r="AC206" s="2143"/>
      <c r="AD206" s="2143"/>
      <c r="AE206" s="2143"/>
      <c r="AF206" s="2143">
        <v>11</v>
      </c>
    </row>
    <row customHeight="1" ht="11.549999999999999">
      <c r="A207" s="1502"/>
      <c r="B207" s="2143"/>
      <c r="D207" s="2143"/>
      <c r="K207" s="2143"/>
      <c r="N207" s="2143"/>
      <c r="O207" s="2143"/>
      <c r="P207" s="2143"/>
      <c r="Q207" s="2143"/>
      <c r="S207" s="2143"/>
      <c r="T207" s="2143"/>
      <c r="U207" s="2143"/>
      <c r="V207" s="2143"/>
      <c r="W207" s="2143"/>
      <c r="X207" s="2143"/>
      <c r="Y207" s="2143"/>
      <c r="Z207" s="2143"/>
      <c r="AA207" s="2143"/>
      <c r="AB207" s="2143"/>
      <c r="AC207" s="2143"/>
      <c r="AD207" s="2143"/>
      <c r="AE207" s="2143"/>
      <c r="AF207" s="2143">
        <v>11</v>
      </c>
    </row>
    <row customHeight="1" ht="11.549999999999999">
      <c r="A208" s="1502"/>
      <c r="B208" s="2143"/>
      <c r="D208" s="2143"/>
      <c r="K208" s="2143"/>
      <c r="N208" s="2143"/>
      <c r="O208" s="2143"/>
      <c r="P208" s="2143"/>
      <c r="Q208" s="2143"/>
      <c r="S208" s="2143"/>
      <c r="T208" s="2143"/>
      <c r="U208" s="2143"/>
      <c r="V208" s="2143"/>
      <c r="W208" s="2143"/>
      <c r="X208" s="2143"/>
      <c r="Y208" s="2143"/>
      <c r="Z208" s="2143"/>
      <c r="AA208" s="2143"/>
      <c r="AB208" s="2143"/>
      <c r="AC208" s="2143"/>
      <c r="AD208" s="2143"/>
      <c r="AE208" s="2143"/>
      <c r="AF208" s="2143">
        <v>11</v>
      </c>
    </row>
    <row customHeight="1" ht="11.549999999999999">
      <c r="A209" s="1502"/>
      <c r="B209" s="2143"/>
      <c r="D209" s="2143"/>
      <c r="K209" s="2143"/>
      <c r="N209" s="2143"/>
      <c r="O209" s="2143"/>
      <c r="P209" s="2143"/>
      <c r="Q209" s="2143"/>
      <c r="S209" s="2143"/>
      <c r="T209" s="2143"/>
      <c r="U209" s="2143"/>
      <c r="V209" s="2143"/>
      <c r="W209" s="2143"/>
      <c r="X209" s="2143"/>
      <c r="Y209" s="2143"/>
      <c r="Z209" s="2143"/>
      <c r="AA209" s="2143"/>
      <c r="AB209" s="2143"/>
      <c r="AC209" s="2143"/>
      <c r="AD209" s="2143"/>
      <c r="AE209" s="2143"/>
      <c r="AF209" s="2143">
        <v>11</v>
      </c>
    </row>
    <row customHeight="1" ht="11.25" hidden="1">
      <c r="A210" s="1499" t="s">
        <v>84</v>
      </c>
      <c r="B210" s="1672">
        <v>0</v>
      </c>
      <c r="C210" s="2148">
        <v>0</v>
      </c>
      <c r="D210" s="2147">
        <v>3</v>
      </c>
      <c r="E210" s="2143">
        <v>7</v>
      </c>
      <c r="F210" s="2143">
        <v>54</v>
      </c>
      <c r="G210" s="2143">
        <v>10</v>
      </c>
      <c r="H210" s="2143">
        <v>0</v>
      </c>
      <c r="I210" s="2143">
        <v>40</v>
      </c>
      <c r="J210" s="2143">
        <v>102</v>
      </c>
      <c r="K210" s="1672">
        <v>9</v>
      </c>
      <c r="L210" s="2148">
        <v>5</v>
      </c>
      <c r="M210" s="2148">
        <v>3</v>
      </c>
      <c r="N210" s="1672">
        <v>3</v>
      </c>
      <c r="O210" s="1672">
        <v>3</v>
      </c>
      <c r="P210" s="1672">
        <v>3</v>
      </c>
      <c r="Q210" s="1672">
        <v>3</v>
      </c>
      <c r="R210" s="2148">
        <v>10</v>
      </c>
      <c r="S210" s="1672">
        <v>34</v>
      </c>
      <c r="T210" s="1672">
        <v>9</v>
      </c>
      <c r="U210" s="1056">
        <v>8</v>
      </c>
      <c r="V210" s="1672">
        <v>8</v>
      </c>
      <c r="W210" s="1672">
        <v>8</v>
      </c>
      <c r="X210" s="1672">
        <v>8</v>
      </c>
      <c r="Y210" s="1672">
        <v>8</v>
      </c>
      <c r="Z210" s="1672">
        <v>8</v>
      </c>
      <c r="AA210" s="2144">
        <v>8</v>
      </c>
      <c r="AB210" s="2144">
        <v>8</v>
      </c>
      <c r="AC210" s="2144">
        <v>8</v>
      </c>
      <c r="AD210" s="2144">
        <v>8</v>
      </c>
      <c r="AE210" s="2144">
        <v>8</v>
      </c>
      <c r="AF210" s="2143">
        <v>11</v>
      </c>
    </row>
  </sheetData>
  <sheetProtection formatColumns="0" formatRows="0" autoFilter="0" sort="0" insertRows="0" insertColumns="1" deleteRows="0" deleteColumns="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13993F7-BFD8-5A5F-FE1F-A5667C03E757}" mc:Ignorable="x14ac xr xr2 xr3">
  <sheetPr>
    <tabColor theme="9" tint="-0.25"/>
  </sheetPr>
  <dimension ref="A1:X102"/>
  <sheetViews>
    <sheetView topLeftCell="A1" showGridLines="0" zoomScale="90" workbookViewId="0">
      <selection activeCell="A1" sqref="A1"/>
    </sheetView>
  </sheetViews>
  <sheetFormatPr defaultColWidth="10.57421875" customHeight="1" defaultRowHeight="11.25"/>
  <cols>
    <col min="1" max="1" style="54907" width="9.140625" hidden="1" customWidth="1"/>
    <col min="2" max="2" style="46890" width="3.57421875" hidden="1" customWidth="1"/>
    <col min="3" max="3" style="46808" width="3.00390625" customWidth="1"/>
    <col min="4" max="4" style="46808" width="7.00390625" customWidth="1"/>
    <col min="5" max="5" style="46808" width="69.00390625" customWidth="1"/>
    <col min="6" max="6" style="46808" width="10.00390625" customWidth="1"/>
    <col min="7" max="8" style="46808" width="44.00390625" hidden="1" customWidth="1"/>
    <col min="9" max="9" style="46808" width="44.00390625" customWidth="1"/>
    <col min="10" max="10" style="46808" width="43.00390625" customWidth="1"/>
    <col min="11" max="11" style="46808" width="73.00390625" customWidth="1"/>
    <col min="12" max="12" style="46808" width="3.00390625" customWidth="1"/>
    <col min="13" max="23" style="46808" width="10.00390625" customWidth="1"/>
    <col min="24" max="24" style="46808" width="10.57421875" hidden="1"/>
  </cols>
  <sheetData>
    <row s="46889" customFormat="1" customHeight="1" ht="22.5" hidden="1">
      <c r="A1" s="1048"/>
      <c r="B1" s="1023"/>
      <c r="G1" s="929">
        <v>4</v>
      </c>
      <c r="I1" s="929">
        <v>4</v>
      </c>
      <c r="K1" s="929">
        <v>5</v>
      </c>
      <c r="X1" s="929" t="s">
        <v>14</v>
      </c>
    </row>
    <row customHeight="1" ht="3">
      <c r="X2" s="1017">
        <v>3</v>
      </c>
    </row>
    <row customHeight="1" ht="78.75">
      <c r="D3" s="2750"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751"/>
      <c r="F3" s="2752"/>
      <c r="X3" s="1017">
        <v>75</v>
      </c>
    </row>
    <row s="46808" customFormat="1" customHeight="1" ht="21">
      <c r="A4" s="1463"/>
      <c r="B4" s="1023"/>
      <c r="D4" s="2726" t="str">
        <f>IF(org=0,"Не определено",org)</f>
        <v>КГУП "Примтеплоэнерго"</v>
      </c>
      <c r="E4" s="2727"/>
      <c r="F4" s="2728"/>
      <c r="X4" s="1270">
        <v>20</v>
      </c>
    </row>
    <row customHeight="1" ht="11.549999999999999">
      <c r="C5" s="1021"/>
      <c r="D5" s="1100"/>
      <c r="E5" s="1100"/>
      <c r="F5" s="1100"/>
      <c r="G5" s="1100"/>
      <c r="H5" s="1264"/>
      <c r="I5" s="1100"/>
      <c r="J5" s="1264"/>
      <c r="K5" s="1100"/>
      <c r="X5" s="1017">
        <v>11</v>
      </c>
    </row>
    <row customHeight="1" ht="1.05">
      <c r="C6" s="1021"/>
      <c r="D6" s="1021"/>
      <c r="E6" s="1034"/>
      <c r="F6" s="1126"/>
      <c r="G6" s="1534"/>
      <c r="H6" s="1534"/>
      <c r="I6" s="1534" t="s">
        <v>173</v>
      </c>
      <c r="J6" s="1534"/>
      <c r="X6" s="1017">
        <v>1</v>
      </c>
    </row>
    <row customHeight="1" ht="11.549999999999999">
      <c r="D7" s="1223"/>
      <c r="E7" s="2879" t="s">
        <v>165</v>
      </c>
      <c r="F7" s="2880"/>
      <c r="G7" s="2905" t="str">
        <f>IF(G6="","",INDEX(DIFFERENTIATION_UNMERGE_VD,MATCH(G6,DIFFERENTIATION_ID_DIFF,0)))</f>
        <v/>
      </c>
      <c r="H7" s="2906"/>
      <c r="I7" s="2905">
        <f>IF(I6="","",INDEX(DIFFERENTIATION_UNMERGE_VD,MATCH(I6,DIFFERENTIATION_ID_DIFF,0)))</f>
        <v>0</v>
      </c>
      <c r="J7" s="2906"/>
      <c r="K7" s="2687"/>
      <c r="L7" s="1021"/>
      <c r="X7" s="1017">
        <v>11</v>
      </c>
    </row>
    <row customHeight="1" ht="11.549999999999999">
      <c r="A8" s="1216"/>
      <c r="D8" s="1223"/>
      <c r="E8" s="2879" t="s">
        <v>681</v>
      </c>
      <c r="F8" s="2880"/>
      <c r="G8" s="2905" t="str">
        <f>IF(G6="","",INDEX(DIFFERENTIATION_UNMERGE_AREA,MATCH(G6,DIFFERENTIATION_ID_DIFF,0)))</f>
        <v/>
      </c>
      <c r="H8" s="2906"/>
      <c r="I8" s="2905" t="str">
        <f>IF(I6="","",INDEX(DIFFERENTIATION_UNMERGE_AREA,MATCH(I6,DIFFERENTIATION_ID_DIFF,0)))</f>
        <v/>
      </c>
      <c r="J8" s="2906"/>
      <c r="K8" s="2711"/>
      <c r="L8" s="1021"/>
      <c r="X8" s="1017">
        <v>11</v>
      </c>
    </row>
    <row customHeight="1" ht="11.549999999999999">
      <c r="A9" s="1216"/>
      <c r="D9" s="1223"/>
      <c r="E9" s="2879" t="s">
        <v>682</v>
      </c>
      <c r="F9" s="2880"/>
      <c r="G9" s="2905" t="str">
        <f>IF(G6="","",INDEX(DIFFERENTIATION_UNMERGE_SYSTEM,MATCH(G6,DIFFERENTIATION_ID_DIFF,0)))</f>
        <v/>
      </c>
      <c r="H9" s="2906"/>
      <c r="I9" s="2905" t="str">
        <f>IF(I6="","",INDEX(DIFFERENTIATION_UNMERGE_SYSTEM,MATCH(I6,DIFFERENTIATION_ID_DIFF,0)))</f>
        <v>без дифференциации</v>
      </c>
      <c r="J9" s="2906"/>
      <c r="K9" s="2711"/>
      <c r="L9" s="1021"/>
      <c r="X9" s="1017">
        <v>11</v>
      </c>
    </row>
    <row s="46808" customFormat="1" customHeight="1" ht="11.549999999999999">
      <c r="A10" s="1533"/>
      <c r="B10" s="1023"/>
      <c r="D10" s="2613" t="s">
        <v>418</v>
      </c>
      <c r="E10" s="2614"/>
      <c r="F10" s="2614"/>
      <c r="G10" s="2614"/>
      <c r="H10" s="2614"/>
      <c r="I10" s="2614"/>
      <c r="J10" s="2615"/>
      <c r="K10" s="2711"/>
      <c r="L10" s="1021"/>
      <c r="X10" s="1270">
        <v>11</v>
      </c>
    </row>
    <row s="46808" customFormat="1" customHeight="1" ht="24">
      <c r="A11" s="2897"/>
      <c r="B11" s="2897"/>
      <c r="C11" s="1169"/>
      <c r="D11" s="1215" t="s">
        <v>90</v>
      </c>
      <c r="E11" s="1217" t="s">
        <v>923</v>
      </c>
      <c r="F11" s="1217" t="s">
        <v>683</v>
      </c>
      <c r="G11" s="977" t="s">
        <v>421</v>
      </c>
      <c r="H11" s="977" t="s">
        <v>508</v>
      </c>
      <c r="I11" s="1319" t="s">
        <v>421</v>
      </c>
      <c r="J11" s="1320" t="s">
        <v>508</v>
      </c>
      <c r="K11" s="2744"/>
      <c r="L11" s="1170"/>
      <c r="X11" s="1021">
        <v>23</v>
      </c>
    </row>
    <row s="46890" customFormat="1" customHeight="1" ht="10.5">
      <c r="A12" s="1464"/>
      <c r="D12" s="1537" t="s">
        <v>101</v>
      </c>
      <c r="E12" s="1537" t="s">
        <v>105</v>
      </c>
      <c r="F12" s="1537" t="s">
        <v>92</v>
      </c>
      <c r="G12" s="1538" t="str">
        <f>G1&amp;".1"</f>
        <v>4.1</v>
      </c>
      <c r="H12" s="1538" t="str">
        <f>G1&amp;".2"</f>
        <v>4.2</v>
      </c>
      <c r="I12" s="1538" t="str">
        <f>I1&amp;".1"</f>
        <v>4.1</v>
      </c>
      <c r="J12" s="1538" t="str">
        <f>I1&amp;".2"</f>
        <v>4.2</v>
      </c>
      <c r="K12" s="1538"/>
      <c r="X12" s="1023">
        <v>10</v>
      </c>
    </row>
    <row customHeight="1" ht="22.5" hidden="1">
      <c r="A13" s="2904" t="s">
        <v>924</v>
      </c>
      <c r="D13" s="1465" t="s">
        <v>101</v>
      </c>
      <c r="E13" s="791" t="s">
        <v>925</v>
      </c>
      <c r="F13" s="1172" t="s">
        <v>926</v>
      </c>
      <c r="G13" s="1069"/>
      <c r="H13" s="1173"/>
      <c r="I13" s="1069"/>
      <c r="J13" s="1173"/>
      <c r="K13" s="801" t="s">
        <v>927</v>
      </c>
      <c r="L13" s="1232"/>
      <c r="X13" s="1017">
        <v>0</v>
      </c>
    </row>
    <row customHeight="1" ht="22.5" hidden="1">
      <c r="A14" s="2904"/>
      <c r="D14" s="1051" t="s">
        <v>105</v>
      </c>
      <c r="E14" s="791" t="s">
        <v>928</v>
      </c>
      <c r="F14" s="1172" t="s">
        <v>929</v>
      </c>
      <c r="G14" s="1069"/>
      <c r="H14" s="1174"/>
      <c r="I14" s="1069"/>
      <c r="J14" s="1174"/>
      <c r="K14" s="801" t="s">
        <v>930</v>
      </c>
      <c r="L14" s="1232"/>
      <c r="X14" s="1017">
        <v>0</v>
      </c>
    </row>
    <row s="46808" customFormat="1" customHeight="1" ht="78.75" hidden="1">
      <c r="A15" s="2904"/>
      <c r="B15" s="1023"/>
      <c r="D15" s="1465" t="s">
        <v>92</v>
      </c>
      <c r="E15" s="1219" t="s">
        <v>931</v>
      </c>
      <c r="F15" s="1462" t="s">
        <v>424</v>
      </c>
      <c r="G15" s="1462" t="s">
        <v>424</v>
      </c>
      <c r="H15" s="618"/>
      <c r="I15" s="1462" t="s">
        <v>424</v>
      </c>
      <c r="J15" s="618"/>
      <c r="K15" s="801" t="s">
        <v>932</v>
      </c>
      <c r="L15" s="1232"/>
      <c r="X15" s="1270">
        <v>0</v>
      </c>
    </row>
    <row s="46808" customFormat="1" customHeight="1" ht="22.5" hidden="1">
      <c r="A16" s="2904"/>
      <c r="B16" s="1023"/>
      <c r="D16" s="1465" t="s">
        <v>442</v>
      </c>
      <c r="E16" s="1466" t="s">
        <v>933</v>
      </c>
      <c r="F16" s="1462" t="s">
        <v>934</v>
      </c>
      <c r="G16" s="1329"/>
      <c r="H16" s="618"/>
      <c r="I16" s="1329"/>
      <c r="J16" s="618"/>
      <c r="K16" s="801"/>
      <c r="L16" s="1232"/>
      <c r="X16" s="1270">
        <v>0</v>
      </c>
    </row>
    <row s="46808" customFormat="1" customHeight="1" ht="22.5" hidden="1">
      <c r="A17" s="2904"/>
      <c r="B17" s="1023"/>
      <c r="D17" s="1465" t="s">
        <v>450</v>
      </c>
      <c r="E17" s="1466" t="s">
        <v>935</v>
      </c>
      <c r="F17" s="1462" t="s">
        <v>936</v>
      </c>
      <c r="G17" s="1329"/>
      <c r="H17" s="618"/>
      <c r="I17" s="1329"/>
      <c r="J17" s="618"/>
      <c r="K17" s="801"/>
      <c r="L17" s="1232"/>
      <c r="X17" s="1270">
        <v>0</v>
      </c>
    </row>
    <row s="46808" customFormat="1" customHeight="1" ht="33.75" hidden="1">
      <c r="A18" s="2904"/>
      <c r="B18" s="1023"/>
      <c r="D18" s="1465" t="s">
        <v>452</v>
      </c>
      <c r="E18" s="1466" t="s">
        <v>937</v>
      </c>
      <c r="F18" s="1462" t="s">
        <v>688</v>
      </c>
      <c r="G18" s="1192"/>
      <c r="H18" s="618"/>
      <c r="I18" s="1192"/>
      <c r="J18" s="618"/>
      <c r="K18" s="801"/>
      <c r="L18" s="1232"/>
      <c r="X18" s="1270">
        <v>0</v>
      </c>
    </row>
    <row customHeight="1" ht="101.25" hidden="1">
      <c r="A19" s="2904"/>
      <c r="D19" s="1465" t="s">
        <v>93</v>
      </c>
      <c r="E19" s="791" t="s">
        <v>938</v>
      </c>
      <c r="F19" s="1172" t="s">
        <v>663</v>
      </c>
      <c r="G19" s="1175"/>
      <c r="H19" s="1174"/>
      <c r="I19" s="1467"/>
      <c r="J19" s="1174"/>
      <c r="K19" s="801" t="s">
        <v>939</v>
      </c>
      <c r="L19" s="1232"/>
      <c r="X19" s="1017">
        <v>0</v>
      </c>
    </row>
    <row s="46808" customFormat="1" customHeight="1" ht="18.75" hidden="1">
      <c r="A20" s="2904"/>
      <c r="C20" s="1468"/>
      <c r="D20" s="1465" t="s">
        <v>870</v>
      </c>
      <c r="E20" s="1466" t="s">
        <v>940</v>
      </c>
      <c r="F20" s="1462" t="s">
        <v>424</v>
      </c>
      <c r="G20" s="1462" t="s">
        <v>424</v>
      </c>
      <c r="H20" s="1461" t="s">
        <v>424</v>
      </c>
      <c r="I20" s="1462" t="s">
        <v>424</v>
      </c>
      <c r="J20" s="1461" t="s">
        <v>424</v>
      </c>
      <c r="K20" s="1460"/>
      <c r="L20" s="1232"/>
      <c r="W20" s="1187"/>
      <c r="X20" s="1270">
        <v>0</v>
      </c>
    </row>
    <row s="46808" customFormat="1" customHeight="1" ht="33.75" hidden="1">
      <c r="A21" s="2904"/>
      <c r="C21" s="1468"/>
      <c r="D21" s="1465" t="s">
        <v>873</v>
      </c>
      <c r="E21" s="1088" t="s">
        <v>941</v>
      </c>
      <c r="F21" s="1462" t="s">
        <v>942</v>
      </c>
      <c r="G21" s="1192"/>
      <c r="H21" s="618"/>
      <c r="I21" s="1192"/>
      <c r="J21" s="618"/>
      <c r="K21" s="1460"/>
      <c r="L21" s="1232"/>
      <c r="W21" s="1187"/>
      <c r="X21" s="1270">
        <v>0</v>
      </c>
    </row>
    <row s="46808" customFormat="1" customHeight="1" ht="33.75" hidden="1">
      <c r="A22" s="2904"/>
      <c r="C22" s="1468"/>
      <c r="D22" s="1465" t="s">
        <v>876</v>
      </c>
      <c r="E22" s="1088" t="s">
        <v>943</v>
      </c>
      <c r="F22" s="1462" t="s">
        <v>944</v>
      </c>
      <c r="G22" s="1192"/>
      <c r="H22" s="618"/>
      <c r="I22" s="1192"/>
      <c r="J22" s="618"/>
      <c r="K22" s="1460"/>
      <c r="L22" s="1232"/>
      <c r="W22" s="1187"/>
      <c r="X22" s="1270">
        <v>0</v>
      </c>
    </row>
    <row s="46808" customFormat="1" customHeight="1" ht="22.5" hidden="1">
      <c r="A23" s="2904"/>
      <c r="C23" s="1468"/>
      <c r="D23" s="1465" t="s">
        <v>912</v>
      </c>
      <c r="E23" s="1466" t="s">
        <v>945</v>
      </c>
      <c r="F23" s="1462" t="s">
        <v>424</v>
      </c>
      <c r="G23" s="1462" t="s">
        <v>424</v>
      </c>
      <c r="H23" s="1461" t="s">
        <v>424</v>
      </c>
      <c r="I23" s="1462" t="s">
        <v>424</v>
      </c>
      <c r="J23" s="1461" t="s">
        <v>424</v>
      </c>
      <c r="K23" s="1460"/>
      <c r="L23" s="1232"/>
      <c r="W23" s="1187"/>
      <c r="X23" s="1270">
        <v>0</v>
      </c>
    </row>
    <row s="46808" customFormat="1" customHeight="1" ht="22.5" hidden="1">
      <c r="A24" s="2904"/>
      <c r="C24" s="1468"/>
      <c r="D24" s="1465" t="s">
        <v>946</v>
      </c>
      <c r="E24" s="1088" t="s">
        <v>947</v>
      </c>
      <c r="F24" s="1462" t="s">
        <v>948</v>
      </c>
      <c r="G24" s="1192"/>
      <c r="H24" s="1198"/>
      <c r="I24" s="1192"/>
      <c r="J24" s="1198"/>
      <c r="K24" s="1460"/>
      <c r="L24" s="1232"/>
      <c r="W24" s="1187"/>
      <c r="X24" s="1270">
        <v>0</v>
      </c>
    </row>
    <row s="46808" customFormat="1" customHeight="1" ht="22.5" hidden="1">
      <c r="A25" s="2904"/>
      <c r="C25" s="1468"/>
      <c r="D25" s="1465" t="s">
        <v>949</v>
      </c>
      <c r="E25" s="1088" t="s">
        <v>950</v>
      </c>
      <c r="F25" s="1462" t="s">
        <v>424</v>
      </c>
      <c r="G25" s="1462" t="s">
        <v>424</v>
      </c>
      <c r="H25" s="1461" t="s">
        <v>424</v>
      </c>
      <c r="I25" s="1462" t="s">
        <v>424</v>
      </c>
      <c r="J25" s="1461" t="s">
        <v>424</v>
      </c>
      <c r="K25" s="1460"/>
      <c r="L25" s="1232"/>
      <c r="W25" s="1187"/>
      <c r="X25" s="1270">
        <v>0</v>
      </c>
    </row>
    <row s="46808" customFormat="1" customHeight="1" ht="18.75" hidden="1">
      <c r="A26" s="2904"/>
      <c r="C26" s="1468"/>
      <c r="D26" s="1465" t="s">
        <v>951</v>
      </c>
      <c r="E26" s="1065" t="s">
        <v>952</v>
      </c>
      <c r="F26" s="1462" t="s">
        <v>953</v>
      </c>
      <c r="G26" s="1192"/>
      <c r="H26" s="1198"/>
      <c r="I26" s="1192"/>
      <c r="J26" s="1198"/>
      <c r="K26" s="1460"/>
      <c r="L26" s="1232"/>
      <c r="W26" s="1187"/>
      <c r="X26" s="1270">
        <v>0</v>
      </c>
    </row>
    <row s="46808" customFormat="1" customHeight="1" ht="18.75" hidden="1">
      <c r="A27" s="2904"/>
      <c r="C27" s="1468"/>
      <c r="D27" s="1465" t="s">
        <v>954</v>
      </c>
      <c r="E27" s="1065" t="s">
        <v>955</v>
      </c>
      <c r="F27" s="1462" t="s">
        <v>956</v>
      </c>
      <c r="G27" s="1192"/>
      <c r="H27" s="1198"/>
      <c r="I27" s="1192"/>
      <c r="J27" s="1198"/>
      <c r="K27" s="1460"/>
      <c r="L27" s="1232"/>
      <c r="W27" s="1187"/>
      <c r="X27" s="1270">
        <v>0</v>
      </c>
    </row>
    <row s="46808" customFormat="1" customHeight="1" ht="18.75" hidden="1">
      <c r="A28" s="2904"/>
      <c r="C28" s="1468"/>
      <c r="D28" s="1465" t="s">
        <v>957</v>
      </c>
      <c r="E28" s="1088" t="s">
        <v>958</v>
      </c>
      <c r="F28" s="1462" t="s">
        <v>424</v>
      </c>
      <c r="G28" s="1462" t="s">
        <v>424</v>
      </c>
      <c r="H28" s="1461" t="s">
        <v>424</v>
      </c>
      <c r="I28" s="1462" t="s">
        <v>424</v>
      </c>
      <c r="J28" s="1461" t="s">
        <v>424</v>
      </c>
      <c r="K28" s="1460"/>
      <c r="L28" s="1232"/>
      <c r="W28" s="1187"/>
      <c r="X28" s="1270">
        <v>0</v>
      </c>
    </row>
    <row s="46808" customFormat="1" customHeight="1" ht="18.75" hidden="1">
      <c r="A29" s="2904"/>
      <c r="C29" s="1468"/>
      <c r="D29" s="1465" t="s">
        <v>959</v>
      </c>
      <c r="E29" s="1065" t="s">
        <v>952</v>
      </c>
      <c r="F29" s="1462" t="s">
        <v>960</v>
      </c>
      <c r="G29" s="1192"/>
      <c r="H29" s="1198"/>
      <c r="I29" s="1192"/>
      <c r="J29" s="1198"/>
      <c r="K29" s="1460"/>
      <c r="L29" s="1232"/>
      <c r="W29" s="1187"/>
      <c r="X29" s="1270">
        <v>0</v>
      </c>
    </row>
    <row s="46808" customFormat="1" customHeight="1" ht="18.75" hidden="1">
      <c r="A30" s="2904"/>
      <c r="C30" s="1468"/>
      <c r="D30" s="1465" t="s">
        <v>961</v>
      </c>
      <c r="E30" s="1065" t="s">
        <v>962</v>
      </c>
      <c r="F30" s="1462" t="s">
        <v>963</v>
      </c>
      <c r="G30" s="1192"/>
      <c r="H30" s="1198"/>
      <c r="I30" s="1192"/>
      <c r="J30" s="1198"/>
      <c r="K30" s="1460"/>
      <c r="L30" s="1232"/>
      <c r="W30" s="1187"/>
      <c r="X30" s="1270">
        <v>0</v>
      </c>
    </row>
    <row customHeight="1" ht="126.75" hidden="1">
      <c r="A31" s="2904"/>
      <c r="D31" s="1465" t="s">
        <v>120</v>
      </c>
      <c r="E31" s="791" t="s">
        <v>964</v>
      </c>
      <c r="F31" s="1172" t="s">
        <v>675</v>
      </c>
      <c r="G31" s="1069"/>
      <c r="H31" s="1174"/>
      <c r="I31" s="1069"/>
      <c r="J31" s="1174"/>
      <c r="K31" s="801" t="s">
        <v>965</v>
      </c>
      <c r="L31" s="1232"/>
      <c r="X31" s="1017">
        <v>0</v>
      </c>
    </row>
    <row customHeight="1" ht="56.25" hidden="1">
      <c r="A32" s="2904"/>
      <c r="D32" s="1465" t="s">
        <v>94</v>
      </c>
      <c r="E32" s="791" t="s">
        <v>966</v>
      </c>
      <c r="F32" s="1051" t="s">
        <v>936</v>
      </c>
      <c r="G32" s="1069"/>
      <c r="H32" s="1174"/>
      <c r="I32" s="1069"/>
      <c r="J32" s="1174"/>
      <c r="K32" s="801" t="s">
        <v>967</v>
      </c>
      <c r="L32" s="1232"/>
      <c r="X32" s="1017">
        <v>0</v>
      </c>
    </row>
    <row customHeight="1" ht="11.25" hidden="1">
      <c r="A33" s="2904"/>
      <c r="E33" s="1176"/>
      <c r="F33" s="693"/>
      <c r="G33" s="693"/>
      <c r="H33" s="693"/>
      <c r="I33" s="693"/>
      <c r="J33" s="693"/>
      <c r="K33" s="693"/>
      <c r="X33" s="1017">
        <v>0</v>
      </c>
    </row>
    <row customHeight="1" ht="12.75" hidden="1">
      <c r="A34" s="2904"/>
      <c r="D34" s="577">
        <v>1</v>
      </c>
      <c r="E34" s="847" t="s">
        <v>968</v>
      </c>
      <c r="X34" s="1017">
        <v>0</v>
      </c>
    </row>
    <row customHeight="1" ht="11.25" hidden="1">
      <c r="A35" s="2904"/>
      <c r="D35" s="881"/>
      <c r="E35" s="847" t="s">
        <v>969</v>
      </c>
      <c r="X35" s="1017">
        <v>0</v>
      </c>
    </row>
    <row s="46808" customFormat="1" customHeight="1" ht="11.549999999999999">
      <c r="A36" s="1545"/>
      <c r="B36" s="1030"/>
      <c r="D36" s="1546"/>
      <c r="E36" s="1547"/>
      <c r="X36" s="1021">
        <v>11</v>
      </c>
    </row>
    <row s="46808" customFormat="1" customHeight="1" ht="22.5" hidden="1">
      <c r="A37" s="2904" t="s">
        <v>970</v>
      </c>
      <c r="B37" s="1023"/>
      <c r="D37" s="1465">
        <v>1</v>
      </c>
      <c r="E37" s="1219" t="s">
        <v>971</v>
      </c>
      <c r="F37" s="1172" t="s">
        <v>926</v>
      </c>
      <c r="G37" s="1069"/>
      <c r="H37" s="1031"/>
      <c r="I37" s="1069"/>
      <c r="J37" s="1031"/>
      <c r="K37" s="801" t="s">
        <v>972</v>
      </c>
      <c r="X37" s="1270">
        <v>0</v>
      </c>
    </row>
    <row s="46808" customFormat="1" customHeight="1" ht="22.5" hidden="1">
      <c r="A38" s="2904"/>
      <c r="B38" s="1023"/>
      <c r="D38" s="1181" t="s">
        <v>105</v>
      </c>
      <c r="E38" s="1544" t="s">
        <v>973</v>
      </c>
      <c r="F38" s="1548" t="s">
        <v>663</v>
      </c>
      <c r="G38" s="1548" t="s">
        <v>663</v>
      </c>
      <c r="H38" s="1542"/>
      <c r="I38" s="1548" t="s">
        <v>663</v>
      </c>
      <c r="J38" s="1542"/>
      <c r="K38" s="1543"/>
      <c r="X38" s="1270">
        <v>0</v>
      </c>
    </row>
    <row s="46808" customFormat="1" customHeight="1" ht="33.75" hidden="1">
      <c r="A39" s="2904"/>
      <c r="B39" s="1023"/>
      <c r="D39" s="1177" t="s">
        <v>828</v>
      </c>
      <c r="E39" s="1235" t="s">
        <v>974</v>
      </c>
      <c r="F39" s="1172" t="s">
        <v>975</v>
      </c>
      <c r="G39" s="1180"/>
      <c r="H39" s="1535"/>
      <c r="I39" s="1180"/>
      <c r="J39" s="1535"/>
      <c r="K39" s="801" t="s">
        <v>976</v>
      </c>
      <c r="X39" s="1270">
        <v>0</v>
      </c>
    </row>
    <row s="46808" customFormat="1" customHeight="1" ht="33.75" hidden="1">
      <c r="A40" s="2904"/>
      <c r="B40" s="1023"/>
      <c r="D40" s="1177" t="s">
        <v>831</v>
      </c>
      <c r="E40" s="1235" t="s">
        <v>977</v>
      </c>
      <c r="F40" s="1539" t="s">
        <v>978</v>
      </c>
      <c r="G40" s="1253"/>
      <c r="H40" s="1535"/>
      <c r="I40" s="1253"/>
      <c r="J40" s="1535"/>
      <c r="K40" s="801" t="s">
        <v>979</v>
      </c>
      <c r="X40" s="1270">
        <v>0</v>
      </c>
    </row>
    <row s="46808" customFormat="1" customHeight="1" ht="22.5" hidden="1">
      <c r="A41" s="2904"/>
      <c r="B41" s="1023"/>
      <c r="D41" s="1177" t="s">
        <v>92</v>
      </c>
      <c r="E41" s="1234" t="s">
        <v>980</v>
      </c>
      <c r="F41" s="1172" t="s">
        <v>663</v>
      </c>
      <c r="G41" s="1172" t="s">
        <v>663</v>
      </c>
      <c r="H41" s="1536"/>
      <c r="I41" s="1172" t="s">
        <v>663</v>
      </c>
      <c r="J41" s="1536"/>
      <c r="K41" s="814"/>
      <c r="X41" s="1270">
        <v>0</v>
      </c>
    </row>
    <row s="46808" customFormat="1" customHeight="1" ht="45" hidden="1">
      <c r="A42" s="2904"/>
      <c r="B42" s="1023"/>
      <c r="D42" s="1177" t="s">
        <v>442</v>
      </c>
      <c r="E42" s="1235" t="s">
        <v>981</v>
      </c>
      <c r="F42" s="1172" t="s">
        <v>675</v>
      </c>
      <c r="G42" s="1069"/>
      <c r="H42" s="1536"/>
      <c r="I42" s="1069"/>
      <c r="J42" s="1536"/>
      <c r="K42" s="814" t="s">
        <v>982</v>
      </c>
      <c r="X42" s="1270">
        <v>0</v>
      </c>
    </row>
    <row s="46808" customFormat="1" customHeight="1" ht="45" hidden="1">
      <c r="A43" s="2904"/>
      <c r="B43" s="1023"/>
      <c r="D43" s="1177" t="s">
        <v>450</v>
      </c>
      <c r="E43" s="1179" t="s">
        <v>983</v>
      </c>
      <c r="F43" s="1540" t="s">
        <v>675</v>
      </c>
      <c r="G43" s="1254"/>
      <c r="H43" s="1535"/>
      <c r="I43" s="1254"/>
      <c r="J43" s="1535"/>
      <c r="K43" s="814" t="s">
        <v>984</v>
      </c>
      <c r="X43" s="1270">
        <v>0</v>
      </c>
    </row>
    <row s="46808" customFormat="1" customHeight="1" ht="11.25" hidden="1">
      <c r="A44" s="2904"/>
      <c r="B44" s="1023"/>
      <c r="D44" s="1177" t="s">
        <v>93</v>
      </c>
      <c r="E44" s="1178" t="s">
        <v>985</v>
      </c>
      <c r="F44" s="1172" t="s">
        <v>975</v>
      </c>
      <c r="G44" s="1180"/>
      <c r="H44" s="1535"/>
      <c r="I44" s="1180"/>
      <c r="J44" s="1535"/>
      <c r="K44" s="801"/>
      <c r="X44" s="1270">
        <v>0</v>
      </c>
    </row>
    <row s="46808" customFormat="1" customHeight="1" ht="11.25" hidden="1">
      <c r="A45" s="2904"/>
      <c r="B45" s="1023"/>
      <c r="D45" s="1177" t="s">
        <v>870</v>
      </c>
      <c r="E45" s="1179" t="s">
        <v>986</v>
      </c>
      <c r="F45" s="1172" t="s">
        <v>975</v>
      </c>
      <c r="G45" s="1180"/>
      <c r="H45" s="1535"/>
      <c r="I45" s="1180"/>
      <c r="J45" s="1535"/>
      <c r="K45" s="801"/>
      <c r="X45" s="1270">
        <v>0</v>
      </c>
    </row>
    <row s="46808" customFormat="1" customHeight="1" ht="11.25" hidden="1">
      <c r="A46" s="2904"/>
      <c r="B46" s="1023"/>
      <c r="D46" s="1177" t="s">
        <v>912</v>
      </c>
      <c r="E46" s="1179" t="s">
        <v>987</v>
      </c>
      <c r="F46" s="1172" t="s">
        <v>975</v>
      </c>
      <c r="G46" s="1180"/>
      <c r="H46" s="1535"/>
      <c r="I46" s="1180"/>
      <c r="J46" s="1535"/>
      <c r="K46" s="801"/>
      <c r="X46" s="1270">
        <v>0</v>
      </c>
    </row>
    <row s="46808" customFormat="1" customHeight="1" ht="11.25" hidden="1">
      <c r="A47" s="2904"/>
      <c r="B47" s="1023"/>
      <c r="D47" s="1177" t="s">
        <v>915</v>
      </c>
      <c r="E47" s="1179" t="s">
        <v>988</v>
      </c>
      <c r="F47" s="1172" t="s">
        <v>975</v>
      </c>
      <c r="G47" s="1180"/>
      <c r="H47" s="1535"/>
      <c r="I47" s="1180"/>
      <c r="J47" s="1535"/>
      <c r="K47" s="801"/>
      <c r="X47" s="1270">
        <v>0</v>
      </c>
    </row>
    <row s="46808" customFormat="1" customHeight="1" ht="11.25" hidden="1">
      <c r="A48" s="2904"/>
      <c r="B48" s="1023"/>
      <c r="D48" s="1177" t="s">
        <v>989</v>
      </c>
      <c r="E48" s="1183" t="s">
        <v>990</v>
      </c>
      <c r="F48" s="1172" t="s">
        <v>975</v>
      </c>
      <c r="G48" s="1180"/>
      <c r="H48" s="1535"/>
      <c r="I48" s="1180"/>
      <c r="J48" s="1535"/>
      <c r="K48" s="801"/>
      <c r="X48" s="1270">
        <v>0</v>
      </c>
    </row>
    <row s="46808" customFormat="1" customHeight="1" ht="11.25" hidden="1">
      <c r="A49" s="2904"/>
      <c r="B49" s="1023"/>
      <c r="D49" s="1177" t="s">
        <v>991</v>
      </c>
      <c r="E49" s="1183" t="s">
        <v>992</v>
      </c>
      <c r="F49" s="1172" t="s">
        <v>975</v>
      </c>
      <c r="G49" s="1180"/>
      <c r="H49" s="1535"/>
      <c r="I49" s="1180"/>
      <c r="J49" s="1535"/>
      <c r="K49" s="801"/>
      <c r="X49" s="1270">
        <v>0</v>
      </c>
    </row>
    <row s="46808" customFormat="1" customHeight="1" ht="11.25" hidden="1">
      <c r="A50" s="2904"/>
      <c r="B50" s="1023"/>
      <c r="D50" s="1177" t="s">
        <v>993</v>
      </c>
      <c r="E50" s="1179" t="s">
        <v>994</v>
      </c>
      <c r="F50" s="1172" t="s">
        <v>975</v>
      </c>
      <c r="G50" s="1180"/>
      <c r="H50" s="1535"/>
      <c r="I50" s="1180"/>
      <c r="J50" s="1535"/>
      <c r="K50" s="801"/>
      <c r="X50" s="1270">
        <v>0</v>
      </c>
    </row>
    <row s="46808" customFormat="1" customHeight="1" ht="11.25" hidden="1">
      <c r="A51" s="2904"/>
      <c r="B51" s="1023"/>
      <c r="D51" s="1177" t="s">
        <v>995</v>
      </c>
      <c r="E51" s="1179" t="s">
        <v>996</v>
      </c>
      <c r="F51" s="1172" t="s">
        <v>975</v>
      </c>
      <c r="G51" s="1180"/>
      <c r="H51" s="1535"/>
      <c r="I51" s="1180"/>
      <c r="J51" s="1535"/>
      <c r="K51" s="801"/>
      <c r="X51" s="1270">
        <v>0</v>
      </c>
    </row>
    <row s="46808" customFormat="1" customHeight="1" ht="45" hidden="1">
      <c r="A52" s="2904"/>
      <c r="B52" s="1023"/>
      <c r="D52" s="1177" t="s">
        <v>120</v>
      </c>
      <c r="E52" s="1178" t="s">
        <v>997</v>
      </c>
      <c r="F52" s="1172" t="s">
        <v>975</v>
      </c>
      <c r="G52" s="1180"/>
      <c r="H52" s="1535"/>
      <c r="I52" s="1180"/>
      <c r="J52" s="1535"/>
      <c r="K52" s="801"/>
      <c r="X52" s="1270">
        <v>0</v>
      </c>
    </row>
    <row s="46808" customFormat="1" customHeight="1" ht="11.25" hidden="1">
      <c r="A53" s="2904"/>
      <c r="B53" s="1023"/>
      <c r="D53" s="1177" t="s">
        <v>431</v>
      </c>
      <c r="E53" s="1179" t="s">
        <v>986</v>
      </c>
      <c r="F53" s="1172" t="s">
        <v>975</v>
      </c>
      <c r="G53" s="1180"/>
      <c r="H53" s="1535"/>
      <c r="I53" s="1180"/>
      <c r="J53" s="1535"/>
      <c r="K53" s="801"/>
      <c r="X53" s="1270">
        <v>0</v>
      </c>
    </row>
    <row s="46808" customFormat="1" customHeight="1" ht="11.25" hidden="1">
      <c r="A54" s="2904"/>
      <c r="B54" s="1023"/>
      <c r="D54" s="1177" t="s">
        <v>998</v>
      </c>
      <c r="E54" s="1179" t="s">
        <v>987</v>
      </c>
      <c r="F54" s="1172" t="s">
        <v>975</v>
      </c>
      <c r="G54" s="1180"/>
      <c r="H54" s="1535"/>
      <c r="I54" s="1180"/>
      <c r="J54" s="1535"/>
      <c r="K54" s="801"/>
      <c r="X54" s="1270">
        <v>0</v>
      </c>
    </row>
    <row s="46808" customFormat="1" customHeight="1" ht="11.25" hidden="1">
      <c r="A55" s="2904"/>
      <c r="B55" s="1023"/>
      <c r="D55" s="1177" t="s">
        <v>999</v>
      </c>
      <c r="E55" s="1179" t="s">
        <v>988</v>
      </c>
      <c r="F55" s="1172" t="s">
        <v>975</v>
      </c>
      <c r="G55" s="1180"/>
      <c r="H55" s="1535"/>
      <c r="I55" s="1180"/>
      <c r="J55" s="1535"/>
      <c r="K55" s="801"/>
      <c r="X55" s="1270">
        <v>0</v>
      </c>
    </row>
    <row s="46808" customFormat="1" customHeight="1" ht="11.25" hidden="1">
      <c r="A56" s="2904"/>
      <c r="B56" s="1023"/>
      <c r="D56" s="1177" t="s">
        <v>1000</v>
      </c>
      <c r="E56" s="1183" t="s">
        <v>990</v>
      </c>
      <c r="F56" s="1172" t="s">
        <v>975</v>
      </c>
      <c r="G56" s="1180"/>
      <c r="H56" s="1535"/>
      <c r="I56" s="1180"/>
      <c r="J56" s="1535"/>
      <c r="K56" s="801"/>
      <c r="X56" s="1270">
        <v>0</v>
      </c>
    </row>
    <row s="46808" customFormat="1" customHeight="1" ht="11.25" hidden="1">
      <c r="A57" s="2904"/>
      <c r="B57" s="1023"/>
      <c r="D57" s="1177" t="s">
        <v>1001</v>
      </c>
      <c r="E57" s="1183" t="s">
        <v>992</v>
      </c>
      <c r="F57" s="1172" t="s">
        <v>975</v>
      </c>
      <c r="G57" s="1180"/>
      <c r="H57" s="1535"/>
      <c r="I57" s="1180"/>
      <c r="J57" s="1535"/>
      <c r="K57" s="801"/>
      <c r="X57" s="1270">
        <v>0</v>
      </c>
    </row>
    <row s="46808" customFormat="1" customHeight="1" ht="11.25" hidden="1">
      <c r="A58" s="2904"/>
      <c r="B58" s="1023"/>
      <c r="D58" s="1177" t="s">
        <v>1002</v>
      </c>
      <c r="E58" s="1179" t="s">
        <v>994</v>
      </c>
      <c r="F58" s="1172" t="s">
        <v>975</v>
      </c>
      <c r="G58" s="1180"/>
      <c r="H58" s="1535"/>
      <c r="I58" s="1180"/>
      <c r="J58" s="1535"/>
      <c r="K58" s="801"/>
      <c r="X58" s="1270">
        <v>0</v>
      </c>
    </row>
    <row s="46808" customFormat="1" customHeight="1" ht="11.25" hidden="1">
      <c r="A59" s="2904"/>
      <c r="B59" s="1023"/>
      <c r="D59" s="1177" t="s">
        <v>1003</v>
      </c>
      <c r="E59" s="1179" t="s">
        <v>996</v>
      </c>
      <c r="F59" s="1172" t="s">
        <v>975</v>
      </c>
      <c r="G59" s="1180"/>
      <c r="H59" s="1535"/>
      <c r="I59" s="1180"/>
      <c r="J59" s="1535"/>
      <c r="K59" s="801"/>
      <c r="X59" s="1270">
        <v>0</v>
      </c>
    </row>
    <row s="46808" customFormat="1" customHeight="1" ht="33.75" hidden="1">
      <c r="A60" s="2904"/>
      <c r="B60" s="1023"/>
      <c r="D60" s="1177" t="s">
        <v>94</v>
      </c>
      <c r="E60" s="1178" t="s">
        <v>1004</v>
      </c>
      <c r="F60" s="1233" t="s">
        <v>675</v>
      </c>
      <c r="G60" s="1254"/>
      <c r="H60" s="1535"/>
      <c r="I60" s="1254"/>
      <c r="J60" s="1535"/>
      <c r="K60" s="814" t="s">
        <v>1005</v>
      </c>
      <c r="X60" s="1270">
        <v>0</v>
      </c>
    </row>
    <row s="46808" customFormat="1" customHeight="1" ht="33.75" hidden="1">
      <c r="A61" s="2904"/>
      <c r="B61" s="1023"/>
      <c r="D61" s="1177" t="s">
        <v>95</v>
      </c>
      <c r="E61" s="1178" t="s">
        <v>1006</v>
      </c>
      <c r="F61" s="1238" t="s">
        <v>936</v>
      </c>
      <c r="G61" s="1180"/>
      <c r="H61" s="1535"/>
      <c r="I61" s="1180"/>
      <c r="J61" s="1535"/>
      <c r="K61" s="801"/>
      <c r="X61" s="1270">
        <v>0</v>
      </c>
    </row>
    <row s="46808" customFormat="1" customHeight="1" ht="22.5" hidden="1">
      <c r="A62" s="2904"/>
      <c r="B62" s="1023" t="s">
        <v>705</v>
      </c>
      <c r="D62" s="1177" t="s">
        <v>134</v>
      </c>
      <c r="E62" s="1178" t="s">
        <v>1007</v>
      </c>
      <c r="F62" s="1238" t="s">
        <v>424</v>
      </c>
      <c r="G62" s="894"/>
      <c r="H62" s="1535"/>
      <c r="I62" s="894"/>
      <c r="J62" s="1535"/>
      <c r="K62" s="801" t="s">
        <v>748</v>
      </c>
      <c r="X62" s="1270">
        <v>0</v>
      </c>
    </row>
    <row s="46808" customFormat="1" customHeight="1" ht="45" hidden="1">
      <c r="A63" s="2904"/>
      <c r="B63" s="1023" t="s">
        <v>705</v>
      </c>
      <c r="D63" s="1177" t="s">
        <v>1008</v>
      </c>
      <c r="E63" s="1179" t="s">
        <v>1009</v>
      </c>
      <c r="F63" s="1233" t="s">
        <v>424</v>
      </c>
      <c r="G63" s="894"/>
      <c r="H63" s="1535"/>
      <c r="I63" s="894"/>
      <c r="J63" s="1535"/>
      <c r="K63" s="801" t="s">
        <v>748</v>
      </c>
      <c r="X63" s="1270">
        <v>0</v>
      </c>
    </row>
    <row s="46808" customFormat="1" customHeight="1" ht="11.549999999999999">
      <c r="A64" s="1545"/>
      <c r="B64" s="1030"/>
      <c r="D64" s="1546"/>
      <c r="E64" s="1547"/>
      <c r="X64" s="1021">
        <v>11</v>
      </c>
    </row>
    <row s="46808" customFormat="1" customHeight="1" ht="22.5" hidden="1">
      <c r="A65" s="2904" t="s">
        <v>1010</v>
      </c>
      <c r="B65" s="1023"/>
      <c r="D65" s="1177">
        <v>1</v>
      </c>
      <c r="E65" s="1256" t="s">
        <v>1011</v>
      </c>
      <c r="F65" s="1252" t="s">
        <v>926</v>
      </c>
      <c r="G65" s="1253"/>
      <c r="H65" s="1541"/>
      <c r="I65" s="1253"/>
      <c r="J65" s="1541"/>
      <c r="K65" s="813" t="s">
        <v>1012</v>
      </c>
      <c r="X65" s="1270">
        <v>0</v>
      </c>
    </row>
    <row s="46808" customFormat="1" customHeight="1" ht="56.25" hidden="1">
      <c r="A66" s="2904"/>
      <c r="B66" s="1023"/>
      <c r="D66" s="1255" t="s">
        <v>105</v>
      </c>
      <c r="E66" s="1219" t="s">
        <v>1013</v>
      </c>
      <c r="F66" s="1172" t="s">
        <v>663</v>
      </c>
      <c r="G66" s="1172" t="s">
        <v>663</v>
      </c>
      <c r="H66" s="1031"/>
      <c r="I66" s="1172" t="s">
        <v>663</v>
      </c>
      <c r="J66" s="1031"/>
      <c r="K66" s="801"/>
      <c r="X66" s="1270">
        <v>0</v>
      </c>
    </row>
    <row s="46808" customFormat="1" customHeight="1" ht="33.75" hidden="1">
      <c r="A67" s="2904"/>
      <c r="B67" s="1023"/>
      <c r="D67" s="1255" t="s">
        <v>825</v>
      </c>
      <c r="E67" s="1466" t="s">
        <v>1014</v>
      </c>
      <c r="F67" s="1172" t="s">
        <v>978</v>
      </c>
      <c r="G67" s="1239"/>
      <c r="H67" s="1031"/>
      <c r="I67" s="1239"/>
      <c r="J67" s="1031"/>
      <c r="K67" s="801"/>
      <c r="X67" s="1270">
        <v>0</v>
      </c>
    </row>
    <row s="46808" customFormat="1" customHeight="1" ht="22.5" hidden="1">
      <c r="A68" s="2904"/>
      <c r="B68" s="1023"/>
      <c r="D68" s="1255" t="s">
        <v>425</v>
      </c>
      <c r="E68" s="1466" t="s">
        <v>1015</v>
      </c>
      <c r="F68" s="1172" t="s">
        <v>978</v>
      </c>
      <c r="G68" s="1239"/>
      <c r="H68" s="1031"/>
      <c r="I68" s="1239"/>
      <c r="J68" s="1031"/>
      <c r="K68" s="801"/>
      <c r="X68" s="1270">
        <v>0</v>
      </c>
    </row>
    <row s="46808" customFormat="1" customHeight="1" ht="22.5" hidden="1">
      <c r="A69" s="2904"/>
      <c r="B69" s="1023"/>
      <c r="D69" s="1255" t="s">
        <v>428</v>
      </c>
      <c r="E69" s="1466" t="s">
        <v>1016</v>
      </c>
      <c r="F69" s="1233" t="s">
        <v>675</v>
      </c>
      <c r="G69" s="1254"/>
      <c r="H69" s="1031"/>
      <c r="I69" s="1254"/>
      <c r="J69" s="1031"/>
      <c r="K69" s="801"/>
      <c r="X69" s="1270">
        <v>0</v>
      </c>
    </row>
    <row s="46808" customFormat="1" customHeight="1" ht="22.5" hidden="1">
      <c r="A70" s="2904"/>
      <c r="B70" s="1023"/>
      <c r="D70" s="1255" t="s">
        <v>845</v>
      </c>
      <c r="E70" s="1466" t="s">
        <v>1017</v>
      </c>
      <c r="F70" s="1233" t="s">
        <v>675</v>
      </c>
      <c r="G70" s="1254"/>
      <c r="H70" s="1031"/>
      <c r="I70" s="1254"/>
      <c r="J70" s="1031"/>
      <c r="K70" s="801"/>
      <c r="X70" s="1270">
        <v>0</v>
      </c>
    </row>
    <row s="46808" customFormat="1" customHeight="1" ht="22.5" hidden="1">
      <c r="A71" s="2904"/>
      <c r="B71" s="1023"/>
      <c r="D71" s="1177" t="s">
        <v>92</v>
      </c>
      <c r="E71" s="1178" t="s">
        <v>1018</v>
      </c>
      <c r="F71" s="1172" t="s">
        <v>978</v>
      </c>
      <c r="G71" s="1069"/>
      <c r="H71" s="1542"/>
      <c r="I71" s="1069"/>
      <c r="J71" s="1542"/>
      <c r="K71" s="814"/>
      <c r="X71" s="1270">
        <v>0</v>
      </c>
    </row>
    <row s="46808" customFormat="1" customHeight="1" ht="56.25" hidden="1">
      <c r="A72" s="2904"/>
      <c r="B72" s="1023"/>
      <c r="D72" s="1177" t="s">
        <v>93</v>
      </c>
      <c r="E72" s="1178" t="s">
        <v>1019</v>
      </c>
      <c r="F72" s="1233" t="s">
        <v>675</v>
      </c>
      <c r="G72" s="1254"/>
      <c r="H72" s="1535"/>
      <c r="I72" s="1254"/>
      <c r="J72" s="1535"/>
      <c r="K72" s="814"/>
      <c r="X72" s="1270">
        <v>0</v>
      </c>
    </row>
    <row s="46808" customFormat="1" customHeight="1" ht="33.75" hidden="1">
      <c r="A73" s="2904"/>
      <c r="B73" s="1023"/>
      <c r="D73" s="1177" t="s">
        <v>120</v>
      </c>
      <c r="E73" s="1178" t="s">
        <v>1020</v>
      </c>
      <c r="F73" s="1238" t="s">
        <v>936</v>
      </c>
      <c r="G73" s="1180"/>
      <c r="H73" s="1535"/>
      <c r="I73" s="1180"/>
      <c r="J73" s="1535"/>
      <c r="K73" s="801"/>
      <c r="X73" s="1270">
        <v>0</v>
      </c>
    </row>
    <row s="46808" customFormat="1" customHeight="1" ht="22.5" hidden="1">
      <c r="A74" s="2904"/>
      <c r="B74" s="1023" t="s">
        <v>705</v>
      </c>
      <c r="D74" s="1177" t="s">
        <v>94</v>
      </c>
      <c r="E74" s="1178" t="s">
        <v>1021</v>
      </c>
      <c r="F74" s="1238" t="s">
        <v>424</v>
      </c>
      <c r="G74" s="894"/>
      <c r="H74" s="1535"/>
      <c r="I74" s="894"/>
      <c r="J74" s="1535"/>
      <c r="K74" s="801" t="s">
        <v>748</v>
      </c>
      <c r="X74" s="1270">
        <v>0</v>
      </c>
    </row>
    <row s="46808" customFormat="1" customHeight="1" ht="45" hidden="1">
      <c r="A75" s="2904"/>
      <c r="B75" s="1023" t="s">
        <v>705</v>
      </c>
      <c r="D75" s="1177" t="s">
        <v>769</v>
      </c>
      <c r="E75" s="1179" t="s">
        <v>1022</v>
      </c>
      <c r="F75" s="1233" t="s">
        <v>424</v>
      </c>
      <c r="G75" s="894"/>
      <c r="H75" s="1535"/>
      <c r="I75" s="894"/>
      <c r="J75" s="1535"/>
      <c r="K75" s="801" t="s">
        <v>748</v>
      </c>
      <c r="X75" s="1270">
        <v>0</v>
      </c>
    </row>
    <row s="46808" customFormat="1" customHeight="1" ht="11.549999999999999">
      <c r="A76" s="1545"/>
      <c r="B76" s="1030"/>
      <c r="D76" s="1546"/>
      <c r="E76" s="1547"/>
      <c r="X76" s="1021">
        <v>11</v>
      </c>
    </row>
    <row s="46808" customFormat="1" customHeight="1" ht="11.25">
      <c r="A77" s="2904" t="s">
        <v>1023</v>
      </c>
      <c r="B77" s="1023"/>
      <c r="D77" s="1177">
        <v>1</v>
      </c>
      <c r="E77" s="1178" t="s">
        <v>1024</v>
      </c>
      <c r="F77" s="1233" t="s">
        <v>926</v>
      </c>
      <c r="G77" s="1236"/>
      <c r="H77" s="1535"/>
      <c r="I77" s="1236"/>
      <c r="J77" s="1535"/>
      <c r="K77" s="801" t="s">
        <v>1025</v>
      </c>
      <c r="X77" s="1270">
        <v>0</v>
      </c>
    </row>
    <row s="46808" customFormat="1" customHeight="1" ht="11.25">
      <c r="A78" s="2904"/>
      <c r="B78" s="1023"/>
      <c r="D78" s="1177" t="s">
        <v>105</v>
      </c>
      <c r="E78" s="1178" t="s">
        <v>1026</v>
      </c>
      <c r="F78" s="1233" t="s">
        <v>926</v>
      </c>
      <c r="G78" s="1236"/>
      <c r="H78" s="1535"/>
      <c r="I78" s="1236"/>
      <c r="J78" s="1535"/>
      <c r="K78" s="801" t="s">
        <v>1027</v>
      </c>
      <c r="X78" s="1270">
        <v>0</v>
      </c>
    </row>
    <row s="46808" customFormat="1" customHeight="1" ht="22.5">
      <c r="A79" s="2904"/>
      <c r="B79" s="1023"/>
      <c r="D79" s="1177" t="s">
        <v>92</v>
      </c>
      <c r="E79" s="1234" t="s">
        <v>1028</v>
      </c>
      <c r="F79" s="1172" t="s">
        <v>975</v>
      </c>
      <c r="G79" s="1236"/>
      <c r="H79" s="1535"/>
      <c r="I79" s="1236"/>
      <c r="J79" s="1535"/>
      <c r="K79" s="801" t="s">
        <v>1029</v>
      </c>
      <c r="X79" s="1270">
        <v>0</v>
      </c>
    </row>
    <row s="46808" customFormat="1" customHeight="1" ht="11.25">
      <c r="A80" s="2904"/>
      <c r="B80" s="1023"/>
      <c r="D80" s="1177" t="s">
        <v>442</v>
      </c>
      <c r="E80" s="1235" t="s">
        <v>1030</v>
      </c>
      <c r="F80" s="1172" t="s">
        <v>975</v>
      </c>
      <c r="G80" s="1236"/>
      <c r="H80" s="1535"/>
      <c r="I80" s="1236"/>
      <c r="J80" s="1535"/>
      <c r="K80" s="801"/>
      <c r="X80" s="1270">
        <v>0</v>
      </c>
    </row>
    <row s="46808" customFormat="1" customHeight="1" ht="11.25">
      <c r="A81" s="2904"/>
      <c r="B81" s="1023"/>
      <c r="D81" s="1177" t="s">
        <v>450</v>
      </c>
      <c r="E81" s="1235" t="s">
        <v>1031</v>
      </c>
      <c r="F81" s="1172" t="s">
        <v>975</v>
      </c>
      <c r="G81" s="1236"/>
      <c r="H81" s="1535"/>
      <c r="I81" s="1236"/>
      <c r="J81" s="1535"/>
      <c r="K81" s="801"/>
      <c r="X81" s="1270">
        <v>0</v>
      </c>
    </row>
    <row s="46808" customFormat="1" customHeight="1" ht="11.25">
      <c r="A82" s="2904"/>
      <c r="B82" s="1023"/>
      <c r="D82" s="1177" t="s">
        <v>452</v>
      </c>
      <c r="E82" s="1235" t="s">
        <v>1032</v>
      </c>
      <c r="F82" s="1172" t="s">
        <v>975</v>
      </c>
      <c r="G82" s="1236"/>
      <c r="H82" s="1535"/>
      <c r="I82" s="1236"/>
      <c r="J82" s="1535"/>
      <c r="K82" s="801"/>
      <c r="X82" s="1270">
        <v>0</v>
      </c>
    </row>
    <row s="46808" customFormat="1" customHeight="1" ht="11.25">
      <c r="A83" s="2904"/>
      <c r="B83" s="1023"/>
      <c r="D83" s="1177" t="s">
        <v>454</v>
      </c>
      <c r="E83" s="1235" t="s">
        <v>1033</v>
      </c>
      <c r="F83" s="1172" t="s">
        <v>975</v>
      </c>
      <c r="G83" s="1236"/>
      <c r="H83" s="1535"/>
      <c r="I83" s="1236"/>
      <c r="J83" s="1535"/>
      <c r="K83" s="801"/>
      <c r="X83" s="1270">
        <v>0</v>
      </c>
    </row>
    <row s="46808" customFormat="1" customHeight="1" ht="11.25">
      <c r="A84" s="2904"/>
      <c r="B84" s="1023"/>
      <c r="D84" s="1177" t="s">
        <v>1034</v>
      </c>
      <c r="E84" s="1235" t="s">
        <v>1035</v>
      </c>
      <c r="F84" s="1172" t="s">
        <v>975</v>
      </c>
      <c r="G84" s="1236"/>
      <c r="H84" s="1535"/>
      <c r="I84" s="1236"/>
      <c r="J84" s="1535"/>
      <c r="K84" s="801"/>
      <c r="X84" s="1270">
        <v>0</v>
      </c>
    </row>
    <row s="46808" customFormat="1" customHeight="1" ht="11.25">
      <c r="A85" s="2904"/>
      <c r="B85" s="1023"/>
      <c r="D85" s="1177" t="s">
        <v>1036</v>
      </c>
      <c r="E85" s="1235" t="s">
        <v>1037</v>
      </c>
      <c r="F85" s="1172" t="s">
        <v>975</v>
      </c>
      <c r="G85" s="1236"/>
      <c r="H85" s="1535"/>
      <c r="I85" s="1236"/>
      <c r="J85" s="1535"/>
      <c r="K85" s="801"/>
      <c r="X85" s="1270">
        <v>0</v>
      </c>
    </row>
    <row s="46808" customFormat="1" customHeight="1" ht="11.25">
      <c r="A86" s="2904"/>
      <c r="B86" s="1023"/>
      <c r="D86" s="1177" t="s">
        <v>1038</v>
      </c>
      <c r="E86" s="1235" t="s">
        <v>1039</v>
      </c>
      <c r="F86" s="1172" t="s">
        <v>975</v>
      </c>
      <c r="G86" s="1236"/>
      <c r="H86" s="1535"/>
      <c r="I86" s="1236"/>
      <c r="J86" s="1535"/>
      <c r="K86" s="801"/>
      <c r="X86" s="1270">
        <v>0</v>
      </c>
    </row>
    <row s="46808" customFormat="1" customHeight="1" ht="45">
      <c r="A87" s="2904"/>
      <c r="B87" s="1023"/>
      <c r="D87" s="1177" t="s">
        <v>93</v>
      </c>
      <c r="E87" s="1178" t="s">
        <v>1040</v>
      </c>
      <c r="F87" s="1172" t="s">
        <v>975</v>
      </c>
      <c r="G87" s="1236"/>
      <c r="H87" s="1535"/>
      <c r="I87" s="1236"/>
      <c r="J87" s="1535"/>
      <c r="K87" s="801" t="s">
        <v>1041</v>
      </c>
      <c r="X87" s="1270">
        <v>0</v>
      </c>
    </row>
    <row s="46808" customFormat="1" customHeight="1" ht="11.25">
      <c r="A88" s="2904"/>
      <c r="B88" s="1023"/>
      <c r="D88" s="1177" t="s">
        <v>870</v>
      </c>
      <c r="E88" s="1235" t="s">
        <v>1030</v>
      </c>
      <c r="F88" s="1172" t="s">
        <v>975</v>
      </c>
      <c r="G88" s="1236"/>
      <c r="H88" s="1535"/>
      <c r="I88" s="1236"/>
      <c r="J88" s="1535"/>
      <c r="K88" s="801"/>
      <c r="X88" s="1270">
        <v>0</v>
      </c>
    </row>
    <row s="46808" customFormat="1" customHeight="1" ht="11.25">
      <c r="A89" s="2904"/>
      <c r="B89" s="1023"/>
      <c r="D89" s="1177" t="s">
        <v>912</v>
      </c>
      <c r="E89" s="1235" t="s">
        <v>1031</v>
      </c>
      <c r="F89" s="1172" t="s">
        <v>975</v>
      </c>
      <c r="G89" s="1236"/>
      <c r="H89" s="1535"/>
      <c r="I89" s="1236"/>
      <c r="J89" s="1535"/>
      <c r="K89" s="801"/>
      <c r="X89" s="1270">
        <v>0</v>
      </c>
    </row>
    <row s="46808" customFormat="1" customHeight="1" ht="11.25">
      <c r="A90" s="2904"/>
      <c r="B90" s="1023"/>
      <c r="D90" s="1177" t="s">
        <v>915</v>
      </c>
      <c r="E90" s="1235" t="s">
        <v>1032</v>
      </c>
      <c r="F90" s="1172" t="s">
        <v>975</v>
      </c>
      <c r="G90" s="1236"/>
      <c r="H90" s="1535"/>
      <c r="I90" s="1236"/>
      <c r="J90" s="1535"/>
      <c r="K90" s="801"/>
      <c r="X90" s="1270">
        <v>0</v>
      </c>
    </row>
    <row s="46808" customFormat="1" customHeight="1" ht="11.25">
      <c r="A91" s="2904"/>
      <c r="B91" s="1023"/>
      <c r="D91" s="1177" t="s">
        <v>993</v>
      </c>
      <c r="E91" s="1235" t="s">
        <v>1033</v>
      </c>
      <c r="F91" s="1172" t="s">
        <v>975</v>
      </c>
      <c r="G91" s="1236"/>
      <c r="H91" s="1535"/>
      <c r="I91" s="1236"/>
      <c r="J91" s="1535"/>
      <c r="K91" s="801"/>
      <c r="X91" s="1270">
        <v>0</v>
      </c>
    </row>
    <row s="46808" customFormat="1" customHeight="1" ht="11.25">
      <c r="A92" s="2904"/>
      <c r="B92" s="1023"/>
      <c r="D92" s="1177" t="s">
        <v>995</v>
      </c>
      <c r="E92" s="1235" t="s">
        <v>1035</v>
      </c>
      <c r="F92" s="1172" t="s">
        <v>975</v>
      </c>
      <c r="G92" s="1236"/>
      <c r="H92" s="1535"/>
      <c r="I92" s="1236"/>
      <c r="J92" s="1535"/>
      <c r="K92" s="801"/>
      <c r="X92" s="1270">
        <v>0</v>
      </c>
    </row>
    <row s="46808" customFormat="1" customHeight="1" ht="11.25">
      <c r="A93" s="2904"/>
      <c r="B93" s="1023"/>
      <c r="D93" s="1177" t="s">
        <v>1042</v>
      </c>
      <c r="E93" s="1235" t="s">
        <v>1037</v>
      </c>
      <c r="F93" s="1172" t="s">
        <v>975</v>
      </c>
      <c r="G93" s="1236"/>
      <c r="H93" s="1535"/>
      <c r="I93" s="1236"/>
      <c r="J93" s="1535"/>
      <c r="K93" s="801"/>
      <c r="X93" s="1270">
        <v>0</v>
      </c>
    </row>
    <row s="46808" customFormat="1" customHeight="1" ht="11.25">
      <c r="A94" s="2904"/>
      <c r="B94" s="1023"/>
      <c r="D94" s="1177" t="s">
        <v>1043</v>
      </c>
      <c r="E94" s="1235" t="s">
        <v>1039</v>
      </c>
      <c r="F94" s="1172" t="s">
        <v>975</v>
      </c>
      <c r="G94" s="1236"/>
      <c r="H94" s="1535"/>
      <c r="I94" s="1236"/>
      <c r="J94" s="1535"/>
      <c r="K94" s="801"/>
      <c r="X94" s="1270">
        <v>0</v>
      </c>
    </row>
    <row s="46808" customFormat="1" customHeight="1" ht="24.75">
      <c r="A95" s="2904"/>
      <c r="B95" s="1023"/>
      <c r="D95" s="1177" t="s">
        <v>120</v>
      </c>
      <c r="E95" s="1178" t="s">
        <v>1044</v>
      </c>
      <c r="F95" s="1237" t="s">
        <v>675</v>
      </c>
      <c r="G95" s="1239"/>
      <c r="H95" s="1535"/>
      <c r="I95" s="1239"/>
      <c r="J95" s="1535"/>
      <c r="K95" s="801" t="s">
        <v>1045</v>
      </c>
      <c r="X95" s="1270">
        <v>0</v>
      </c>
    </row>
    <row s="46808" customFormat="1" customHeight="1" ht="33.75">
      <c r="A96" s="2904"/>
      <c r="B96" s="1023"/>
      <c r="D96" s="1177" t="s">
        <v>94</v>
      </c>
      <c r="E96" s="1178" t="s">
        <v>1046</v>
      </c>
      <c r="F96" s="1238" t="s">
        <v>936</v>
      </c>
      <c r="G96" s="1240"/>
      <c r="H96" s="1535"/>
      <c r="I96" s="1240"/>
      <c r="J96" s="1535"/>
      <c r="K96" s="801"/>
      <c r="X96" s="1270">
        <v>0</v>
      </c>
    </row>
    <row s="46808" customFormat="1" customHeight="1" ht="22.5">
      <c r="A97" s="2904"/>
      <c r="B97" s="1023" t="s">
        <v>705</v>
      </c>
      <c r="D97" s="1177" t="s">
        <v>95</v>
      </c>
      <c r="E97" s="1178" t="s">
        <v>1047</v>
      </c>
      <c r="F97" s="1238" t="s">
        <v>424</v>
      </c>
      <c r="G97" s="897"/>
      <c r="H97" s="1535"/>
      <c r="I97" s="897"/>
      <c r="J97" s="1535"/>
      <c r="K97" s="801" t="s">
        <v>748</v>
      </c>
      <c r="X97" s="1270">
        <v>0</v>
      </c>
    </row>
    <row s="46808" customFormat="1" customHeight="1" ht="45">
      <c r="A98" s="2904"/>
      <c r="B98" s="1023" t="s">
        <v>705</v>
      </c>
      <c r="D98" s="1177" t="s">
        <v>1048</v>
      </c>
      <c r="E98" s="1179" t="s">
        <v>1049</v>
      </c>
      <c r="F98" s="1233" t="s">
        <v>424</v>
      </c>
      <c r="G98" s="897"/>
      <c r="H98" s="1535"/>
      <c r="I98" s="897"/>
      <c r="J98" s="1535"/>
      <c r="K98" s="801" t="s">
        <v>748</v>
      </c>
      <c r="X98" s="1270">
        <v>0</v>
      </c>
    </row>
    <row s="46808" customFormat="1" customHeight="1" ht="95.25">
      <c r="A99" s="2904"/>
      <c r="B99" s="1023" t="s">
        <v>705</v>
      </c>
      <c r="D99" s="1177" t="s">
        <v>134</v>
      </c>
      <c r="E99" s="1178" t="s">
        <v>1050</v>
      </c>
      <c r="F99" s="1233" t="s">
        <v>424</v>
      </c>
      <c r="G99" s="897"/>
      <c r="H99" s="1535"/>
      <c r="I99" s="897"/>
      <c r="J99" s="1535"/>
      <c r="K99" s="801" t="s">
        <v>748</v>
      </c>
      <c r="X99" s="1270">
        <v>0</v>
      </c>
    </row>
    <row s="46808" customFormat="1" customHeight="1" ht="22.5">
      <c r="A100" s="2904"/>
      <c r="B100" s="1023" t="s">
        <v>705</v>
      </c>
      <c r="D100" s="1177" t="s">
        <v>139</v>
      </c>
      <c r="E100" s="1178" t="s">
        <v>1051</v>
      </c>
      <c r="F100" s="1233" t="s">
        <v>424</v>
      </c>
      <c r="G100" s="897"/>
      <c r="H100" s="1535"/>
      <c r="I100" s="897"/>
      <c r="J100" s="1535"/>
      <c r="K100" s="801" t="s">
        <v>748</v>
      </c>
      <c r="X100" s="1270">
        <v>0</v>
      </c>
    </row>
    <row s="46808" customFormat="1" customHeight="1" ht="11.549999999999999">
      <c r="A101" s="1545"/>
      <c r="B101" s="1030"/>
      <c r="D101" s="1546"/>
      <c r="E101" s="1547"/>
      <c r="X101" s="1021">
        <v>11</v>
      </c>
    </row>
    <row customHeight="1" ht="22.5" hidden="1">
      <c r="A102" s="1048" t="s">
        <v>84</v>
      </c>
      <c r="B102" s="1023">
        <v>0</v>
      </c>
      <c r="C102" s="1017">
        <v>3</v>
      </c>
      <c r="D102" s="1017">
        <v>7</v>
      </c>
      <c r="E102" s="1017">
        <v>69</v>
      </c>
      <c r="F102" s="1017">
        <v>10</v>
      </c>
      <c r="G102" s="1017">
        <v>0</v>
      </c>
      <c r="H102" s="1017">
        <v>0</v>
      </c>
      <c r="I102" s="1270">
        <v>43</v>
      </c>
      <c r="J102" s="1270">
        <v>43</v>
      </c>
      <c r="K102" s="1017">
        <v>73</v>
      </c>
      <c r="L102" s="1017">
        <v>3</v>
      </c>
      <c r="M102" s="1017">
        <v>10</v>
      </c>
      <c r="N102" s="1017">
        <v>10</v>
      </c>
      <c r="O102" s="1017">
        <v>10</v>
      </c>
      <c r="P102" s="1017">
        <v>10</v>
      </c>
      <c r="Q102" s="1017">
        <v>10</v>
      </c>
      <c r="R102" s="1017">
        <v>10</v>
      </c>
      <c r="S102" s="1017">
        <v>10</v>
      </c>
      <c r="T102" s="1017">
        <v>10</v>
      </c>
      <c r="U102" s="1017">
        <v>10</v>
      </c>
      <c r="V102" s="1017">
        <v>10</v>
      </c>
      <c r="W102" s="1017">
        <v>10</v>
      </c>
      <c r="X102" s="1017">
        <v>23</v>
      </c>
    </row>
  </sheetData>
  <sheetProtection formatColumns="0" formatRows="0" autoFilter="0" sort="0" insertRows="0" insertColumns="1" deleteRows="0" deleteColumns="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24A93BB-D19F-9D33-0583-601F59028A45}" mc:Ignorable="x14ac xr xr2 xr3">
  <sheetPr>
    <tabColor rgb="FFCCCCFF"/>
  </sheetPr>
  <dimension ref="A1:AM17"/>
  <sheetViews>
    <sheetView topLeftCell="A1" showGridLines="0" zoomScale="90" workbookViewId="0">
      <selection activeCell="A1" sqref="A1"/>
    </sheetView>
  </sheetViews>
  <sheetFormatPr defaultColWidth="9.140625" customHeight="1" defaultRowHeight="11.25"/>
  <cols>
    <col min="1" max="1" style="47026" width="6.421875" hidden="1" customWidth="1"/>
    <col min="2" max="2" style="47026" width="2.00390625" hidden="1" customWidth="1"/>
    <col min="3" max="3" style="47026" width="3.00390625" customWidth="1"/>
    <col min="4" max="4" style="47026" width="4.00390625" customWidth="1"/>
    <col min="5" max="5" style="47026" width="44.00390625" customWidth="1"/>
    <col min="6" max="6" style="47026" width="6.421875" customWidth="1"/>
    <col min="7" max="7" style="47026" width="4.00390625" customWidth="1"/>
    <col min="8" max="8" style="47026" width="5.00390625" customWidth="1"/>
    <col min="9" max="9" style="47026" width="52.00390625" customWidth="1"/>
    <col min="10" max="10" style="47026" width="7.00390625" customWidth="1"/>
    <col min="11" max="11" style="47026" width="3.00390625" customWidth="1"/>
    <col min="12" max="12" style="47026" width="6.00390625" customWidth="1"/>
    <col min="13" max="13" style="47026" width="56.00390625" customWidth="1"/>
    <col min="14" max="14" style="47077" width="8.00390625" customWidth="1"/>
    <col min="15" max="20" style="46989" width="9.140625" hidden="1"/>
    <col min="21" max="24" style="47078" width="9.140625" hidden="1"/>
    <col min="25" max="37" style="47077" width="9.140625" hidden="1"/>
    <col min="38" max="38" style="47077" width="8.00390625" customWidth="1"/>
    <col min="39" max="39" style="47026" width="9.140625" hidden="1"/>
  </cols>
  <sheetData>
    <row customHeight="1" ht="11.25" hidden="1">
      <c r="AM1" s="1095" t="s">
        <v>14</v>
      </c>
    </row>
    <row customHeight="1" ht="11.25" hidden="1">
      <c r="AM2" s="1095">
        <v>0</v>
      </c>
    </row>
    <row customHeight="1" ht="11.549999999999999">
      <c r="AM3" s="1095">
        <v>11</v>
      </c>
    </row>
    <row customHeight="1" ht="35.699999999999996">
      <c r="A4" s="1097"/>
      <c r="B4" s="1097"/>
      <c r="D4" s="2631" t="str">
        <f>Титульный!E5</f>
        <v>Показатели, подлежащие раскрытию в сфере водоотведения (цены и тарифы)</v>
      </c>
      <c r="E4" s="2632"/>
      <c r="F4" s="2632"/>
      <c r="G4" s="2632"/>
      <c r="H4" s="2632"/>
      <c r="I4" s="2633"/>
      <c r="J4" s="1096"/>
      <c r="K4" s="1096"/>
      <c r="L4" s="1096"/>
      <c r="M4" s="1096"/>
      <c r="AM4" s="1095">
        <v>34</v>
      </c>
    </row>
    <row s="46997" customFormat="1" customHeight="1" ht="14.699999999999998">
      <c r="A5" s="1097"/>
      <c r="B5" s="1097"/>
      <c r="C5" s="1097"/>
      <c r="D5" s="2634" t="str">
        <f>IF(org=0,"Не определено",org)</f>
        <v>КГУП "Примтеплоэнерго"</v>
      </c>
      <c r="E5" s="2635"/>
      <c r="F5" s="2635"/>
      <c r="G5" s="2635"/>
      <c r="H5" s="2635"/>
      <c r="I5" s="2636"/>
      <c r="J5" s="1098"/>
      <c r="K5" s="1098"/>
      <c r="L5" s="1098"/>
      <c r="M5" s="1098"/>
      <c r="N5" s="1098"/>
      <c r="O5" s="1382"/>
      <c r="P5" s="1382"/>
      <c r="Q5" s="1382"/>
      <c r="R5" s="1382"/>
      <c r="S5" s="1382"/>
      <c r="T5" s="1382"/>
      <c r="U5" s="1773"/>
      <c r="V5" s="1773"/>
      <c r="W5" s="1773"/>
      <c r="X5" s="1773"/>
      <c r="Y5" s="1098"/>
      <c r="Z5" s="1098"/>
      <c r="AA5" s="1098"/>
      <c r="AB5" s="1098"/>
      <c r="AC5" s="1098"/>
      <c r="AD5" s="1098"/>
      <c r="AE5" s="1098"/>
      <c r="AF5" s="1098"/>
      <c r="AG5" s="1098"/>
      <c r="AH5" s="1098"/>
      <c r="AI5" s="1098"/>
      <c r="AJ5" s="1098"/>
      <c r="AK5" s="1098"/>
      <c r="AL5" s="1098"/>
      <c r="AM5" s="1099">
        <v>14</v>
      </c>
    </row>
    <row s="46997" customFormat="1" customHeight="1" ht="6.3">
      <c r="A6" s="2637"/>
      <c r="B6" s="2637"/>
      <c r="C6" s="2637"/>
      <c r="D6" s="2637"/>
      <c r="E6" s="2637"/>
      <c r="F6" s="2637"/>
      <c r="G6" s="1100"/>
      <c r="H6" s="1100"/>
      <c r="I6" s="1100"/>
      <c r="J6" s="1100"/>
      <c r="K6" s="1100"/>
      <c r="N6" s="1102"/>
      <c r="O6" s="1926"/>
      <c r="P6" s="1926"/>
      <c r="Q6" s="1926"/>
      <c r="R6" s="1926"/>
      <c r="S6" s="1926"/>
      <c r="T6" s="1926"/>
      <c r="U6" s="1776"/>
      <c r="V6" s="1776"/>
      <c r="W6" s="1776"/>
      <c r="X6" s="1776"/>
      <c r="Y6" s="1102"/>
      <c r="Z6" s="1102"/>
      <c r="AA6" s="1102"/>
      <c r="AB6" s="1102"/>
      <c r="AC6" s="1102"/>
      <c r="AD6" s="1102"/>
      <c r="AE6" s="1102"/>
      <c r="AF6" s="1102"/>
      <c r="AG6" s="1102"/>
      <c r="AH6" s="1102"/>
      <c r="AI6" s="1102"/>
      <c r="AJ6" s="1102"/>
      <c r="AK6" s="1102"/>
      <c r="AL6" s="1102"/>
      <c r="AM6" s="1101">
        <v>6</v>
      </c>
    </row>
    <row customHeight="1" ht="45.75" hidden="1">
      <c r="E7" s="2642"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водоотведения для каждой системы водоотведениядолжна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водоотведениябудут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643"/>
      <c r="G7" s="2643"/>
      <c r="H7" s="2643"/>
      <c r="I7" s="2643"/>
      <c r="J7" s="2643"/>
      <c r="K7" s="2643"/>
      <c r="L7" s="2643"/>
      <c r="M7" s="2643"/>
      <c r="AM7" s="1095">
        <v>0</v>
      </c>
    </row>
    <row s="46997" customFormat="1" customHeight="1" ht="6.3">
      <c r="A8" s="1103"/>
      <c r="B8" s="1103"/>
      <c r="C8" s="1103"/>
      <c r="D8" s="1103"/>
      <c r="E8" s="1103"/>
      <c r="F8" s="1103"/>
      <c r="G8" s="1103"/>
      <c r="H8" s="1103"/>
      <c r="I8" s="1103"/>
      <c r="J8" s="1103"/>
      <c r="K8" s="1103"/>
      <c r="L8" s="1103"/>
      <c r="M8" s="1101"/>
      <c r="N8" s="1098"/>
      <c r="O8" s="1382"/>
      <c r="P8" s="1382"/>
      <c r="Q8" s="1382"/>
      <c r="R8" s="1382"/>
      <c r="S8" s="1382"/>
      <c r="T8" s="1382"/>
      <c r="U8" s="1773"/>
      <c r="V8" s="1773"/>
      <c r="W8" s="1773"/>
      <c r="X8" s="1773"/>
      <c r="Y8" s="1098"/>
      <c r="Z8" s="1098"/>
      <c r="AA8" s="1098"/>
      <c r="AB8" s="1098"/>
      <c r="AC8" s="1098"/>
      <c r="AD8" s="1098"/>
      <c r="AE8" s="1098"/>
      <c r="AF8" s="1098"/>
      <c r="AG8" s="1098"/>
      <c r="AH8" s="1098"/>
      <c r="AI8" s="1098"/>
      <c r="AJ8" s="1098"/>
      <c r="AK8" s="1098"/>
      <c r="AL8" s="1098"/>
      <c r="AM8" s="1099">
        <v>6</v>
      </c>
    </row>
    <row customHeight="1" ht="18.75">
      <c r="A9" s="2638"/>
      <c r="B9" s="835"/>
      <c r="C9" s="835"/>
      <c r="D9" s="2639" t="s">
        <v>165</v>
      </c>
      <c r="E9" s="2639"/>
      <c r="F9" s="2640" t="s">
        <v>166</v>
      </c>
      <c r="G9" s="2641"/>
      <c r="H9" s="2641"/>
      <c r="I9" s="2641"/>
      <c r="J9" s="2644" t="s">
        <v>167</v>
      </c>
      <c r="K9" s="2644"/>
      <c r="L9" s="2644"/>
      <c r="M9" s="2644"/>
      <c r="AM9" s="1095">
        <v>18</v>
      </c>
    </row>
    <row customHeight="1" ht="24">
      <c r="A10" s="2638"/>
      <c r="B10" s="1104"/>
      <c r="C10" s="1037"/>
      <c r="D10" s="1035" t="s">
        <v>90</v>
      </c>
      <c r="E10" s="1035" t="s">
        <v>91</v>
      </c>
      <c r="F10" s="1035" t="s">
        <v>168</v>
      </c>
      <c r="G10" s="2645" t="s">
        <v>90</v>
      </c>
      <c r="H10" s="2646"/>
      <c r="I10" s="1035" t="s">
        <v>91</v>
      </c>
      <c r="J10" s="1035" t="s">
        <v>168</v>
      </c>
      <c r="K10" s="2645" t="s">
        <v>90</v>
      </c>
      <c r="L10" s="2646"/>
      <c r="M10" s="1035" t="s">
        <v>91</v>
      </c>
      <c r="N10" s="2139"/>
      <c r="AM10" s="1095">
        <v>23</v>
      </c>
    </row>
    <row s="47026" customFormat="1" customHeight="1" ht="11.25" hidden="1">
      <c r="A11" s="1105"/>
      <c r="B11" s="1105"/>
      <c r="C11" s="1105"/>
      <c r="D11" s="1106" t="s">
        <v>101</v>
      </c>
      <c r="E11" s="1106" t="s">
        <v>105</v>
      </c>
      <c r="F11" s="1106" t="s">
        <v>92</v>
      </c>
      <c r="G11" s="2627" t="s">
        <v>93</v>
      </c>
      <c r="H11" s="2628"/>
      <c r="I11" s="1106" t="s">
        <v>120</v>
      </c>
      <c r="J11" s="1106" t="s">
        <v>94</v>
      </c>
      <c r="K11" s="2629" t="s">
        <v>95</v>
      </c>
      <c r="L11" s="2630"/>
      <c r="M11" s="1106" t="s">
        <v>134</v>
      </c>
      <c r="N11" s="2138"/>
      <c r="O11" s="1925"/>
      <c r="P11" s="1927"/>
      <c r="Q11" s="1927"/>
      <c r="R11" s="1927"/>
      <c r="S11" s="1927"/>
      <c r="T11" s="1927"/>
      <c r="U11" s="1777"/>
      <c r="V11" s="1777"/>
      <c r="W11" s="1777"/>
      <c r="X11" s="1777"/>
      <c r="Y11" s="1107"/>
      <c r="Z11" s="1107"/>
      <c r="AA11" s="1107"/>
      <c r="AB11" s="1107"/>
      <c r="AC11" s="1107"/>
      <c r="AD11" s="1107"/>
      <c r="AE11" s="1107"/>
      <c r="AF11" s="1107"/>
      <c r="AG11" s="1107"/>
      <c r="AH11" s="1107"/>
      <c r="AI11" s="1107"/>
      <c r="AJ11" s="1107"/>
      <c r="AK11" s="1107"/>
      <c r="AL11" s="1107"/>
      <c r="AM11" s="1108">
        <v>0</v>
      </c>
    </row>
    <row customHeight="1" ht="1.05">
      <c r="A12" s="1109"/>
      <c r="B12" s="1110"/>
      <c r="C12" s="1110"/>
      <c r="D12" s="1111"/>
      <c r="E12" s="879"/>
      <c r="F12" s="1112"/>
      <c r="G12" s="1571"/>
      <c r="H12" s="1571"/>
      <c r="I12" s="1112"/>
      <c r="J12" s="1112"/>
      <c r="K12" s="686"/>
      <c r="L12" s="879"/>
      <c r="M12" s="1113"/>
      <c r="N12" s="2139"/>
      <c r="O12" s="1925" t="s">
        <v>169</v>
      </c>
      <c r="P12" s="1925" t="s">
        <v>170</v>
      </c>
      <c r="Q12" s="1925" t="s">
        <v>171</v>
      </c>
      <c r="R12" s="1925" t="s">
        <v>172</v>
      </c>
      <c r="AM12" s="1095">
        <v>1</v>
      </c>
    </row>
    <row s="47026" customFormat="1" customHeight="1" ht="15.75">
      <c r="A13" s="805"/>
      <c r="B13" s="805"/>
      <c r="C13" s="1038"/>
      <c r="D13" s="2620" t="s">
        <v>101</v>
      </c>
      <c r="E13" s="2621"/>
      <c r="F13" s="2624" t="s">
        <v>63</v>
      </c>
      <c r="G13" s="2625"/>
      <c r="H13" s="2626">
        <v>1</v>
      </c>
      <c r="I13" s="2617" t="str">
        <f>IF(U13="","",INDEX(TERRITORY_MR_LIST,MATCH(U13,TERRITORY_LIST_ID,0)))</f>
        <v/>
      </c>
      <c r="J13" s="2619" t="s">
        <v>19</v>
      </c>
      <c r="K13" s="1114"/>
      <c r="L13" s="1039" t="s">
        <v>101</v>
      </c>
      <c r="M13" s="1115" t="s">
        <v>28</v>
      </c>
      <c r="N13" s="1324"/>
      <c r="O13" s="1928" t="s">
        <v>173</v>
      </c>
      <c r="P13" s="1925">
        <f>$E$13</f>
        <v>0</v>
      </c>
      <c r="Q13" s="1925" t="str">
        <f>IF($F$13="нет","без дифференциации",$I$13)</f>
        <v/>
      </c>
      <c r="R13" s="1925" t="str">
        <f>IF($J$13="нет","без дифференциации",M13)</f>
        <v>без дифференциации</v>
      </c>
      <c r="S13" s="1928"/>
      <c r="T13" s="1928"/>
      <c r="U13" s="1778"/>
      <c r="V13" s="1778"/>
      <c r="W13" s="1778"/>
      <c r="X13" s="1778"/>
      <c r="Y13" s="1116" t="s">
        <v>174</v>
      </c>
      <c r="Z13" s="1116">
        <v>1705000</v>
      </c>
      <c r="AA13" s="1116"/>
      <c r="AB13" s="1116"/>
      <c r="AC13" s="1116"/>
      <c r="AD13" s="1116"/>
      <c r="AE13" s="1116"/>
      <c r="AF13" s="1116"/>
      <c r="AG13" s="1116"/>
      <c r="AH13" s="1116"/>
      <c r="AI13" s="1116"/>
      <c r="AJ13" s="1116"/>
      <c r="AK13" s="1116"/>
      <c r="AL13" s="1116"/>
      <c r="AM13" s="1118">
        <v>15</v>
      </c>
    </row>
    <row s="47026" customFormat="1" customHeight="1" ht="15.75">
      <c r="A14" s="805"/>
      <c r="B14" s="805"/>
      <c r="C14" s="688"/>
      <c r="D14" s="2620"/>
      <c r="E14" s="2622"/>
      <c r="F14" s="2619"/>
      <c r="G14" s="2625"/>
      <c r="H14" s="2626"/>
      <c r="I14" s="2618"/>
      <c r="J14" s="2619"/>
      <c r="K14" s="933"/>
      <c r="L14" s="689"/>
      <c r="M14" s="1119" t="s">
        <v>175</v>
      </c>
      <c r="N14" s="1324"/>
      <c r="O14" s="1928"/>
      <c r="P14" s="1925"/>
      <c r="Q14" s="1925"/>
      <c r="R14" s="1925"/>
      <c r="S14" s="1928"/>
      <c r="T14" s="1928"/>
      <c r="U14" s="1778"/>
      <c r="V14" s="1778"/>
      <c r="W14" s="1778"/>
      <c r="X14" s="1778"/>
      <c r="Y14" s="1116"/>
      <c r="Z14" s="1116"/>
      <c r="AA14" s="1116"/>
      <c r="AB14" s="1116"/>
      <c r="AC14" s="1116"/>
      <c r="AD14" s="1116"/>
      <c r="AE14" s="1116"/>
      <c r="AF14" s="1116"/>
      <c r="AG14" s="1116"/>
      <c r="AH14" s="1116"/>
      <c r="AI14" s="1116"/>
      <c r="AJ14" s="1116"/>
      <c r="AK14" s="1116"/>
      <c r="AL14" s="1116"/>
      <c r="AM14" s="1118">
        <v>15</v>
      </c>
    </row>
    <row s="47026" customFormat="1" customHeight="1" ht="15.75">
      <c r="A15" s="805"/>
      <c r="B15" s="805"/>
      <c r="C15" s="688"/>
      <c r="D15" s="2620"/>
      <c r="E15" s="2623"/>
      <c r="F15" s="2619"/>
      <c r="G15" s="1572"/>
      <c r="H15" s="1573"/>
      <c r="I15" s="1092" t="s">
        <v>176</v>
      </c>
      <c r="J15" s="689"/>
      <c r="K15" s="689"/>
      <c r="L15" s="689"/>
      <c r="M15" s="1120"/>
      <c r="N15" s="1324"/>
      <c r="O15" s="1928"/>
      <c r="P15" s="1925"/>
      <c r="Q15" s="1925"/>
      <c r="R15" s="1925"/>
      <c r="S15" s="1928"/>
      <c r="T15" s="1928"/>
      <c r="U15" s="1778"/>
      <c r="V15" s="1778"/>
      <c r="W15" s="1778"/>
      <c r="X15" s="1778"/>
      <c r="Y15" s="1116"/>
      <c r="Z15" s="1116"/>
      <c r="AA15" s="1116"/>
      <c r="AB15" s="1116"/>
      <c r="AC15" s="1116"/>
      <c r="AD15" s="1116"/>
      <c r="AE15" s="1116"/>
      <c r="AF15" s="1116"/>
      <c r="AG15" s="1116"/>
      <c r="AH15" s="1116"/>
      <c r="AI15" s="1116"/>
      <c r="AJ15" s="1116"/>
      <c r="AK15" s="1116"/>
      <c r="AL15" s="1116"/>
      <c r="AM15" s="1118">
        <v>15</v>
      </c>
    </row>
    <row customHeight="1" ht="15.75">
      <c r="A16" s="1121"/>
      <c r="B16" s="647"/>
      <c r="C16" s="1318"/>
      <c r="D16" s="933"/>
      <c r="E16" s="1083" t="s">
        <v>177</v>
      </c>
      <c r="F16" s="689"/>
      <c r="G16" s="689"/>
      <c r="H16" s="689"/>
      <c r="I16" s="689"/>
      <c r="J16" s="689"/>
      <c r="K16" s="689" t="s">
        <v>28</v>
      </c>
      <c r="L16" s="689"/>
      <c r="M16" s="1120"/>
      <c r="N16" s="2139"/>
      <c r="AM16" s="1095">
        <v>15</v>
      </c>
    </row>
    <row customHeight="1" ht="11.25" hidden="1">
      <c r="A17" s="1095" t="s">
        <v>84</v>
      </c>
      <c r="B17" s="1095">
        <v>0</v>
      </c>
      <c r="C17" s="1095">
        <v>3</v>
      </c>
      <c r="D17" s="1095">
        <v>4</v>
      </c>
      <c r="E17" s="1095">
        <v>44</v>
      </c>
      <c r="F17" s="1095">
        <v>6</v>
      </c>
      <c r="G17" s="1095">
        <v>4</v>
      </c>
      <c r="H17" s="1095">
        <v>5</v>
      </c>
      <c r="I17" s="1095">
        <v>52</v>
      </c>
      <c r="J17" s="1095">
        <v>6</v>
      </c>
      <c r="K17" s="1095">
        <v>3</v>
      </c>
      <c r="L17" s="1095">
        <v>6</v>
      </c>
      <c r="M17" s="1095">
        <v>56</v>
      </c>
      <c r="N17" s="1096">
        <v>8</v>
      </c>
      <c r="O17" s="1925">
        <v>0</v>
      </c>
      <c r="P17" s="1925">
        <v>0</v>
      </c>
      <c r="Q17" s="1925">
        <v>0</v>
      </c>
      <c r="R17" s="1925">
        <v>0</v>
      </c>
      <c r="S17" s="1925">
        <v>0</v>
      </c>
      <c r="T17" s="1925">
        <v>0</v>
      </c>
      <c r="U17" s="1775">
        <v>0</v>
      </c>
      <c r="V17" s="1775">
        <v>0</v>
      </c>
      <c r="W17" s="1775">
        <v>0</v>
      </c>
      <c r="X17" s="1775">
        <v>0</v>
      </c>
      <c r="Y17" s="1096">
        <v>0</v>
      </c>
      <c r="Z17" s="1096">
        <v>0</v>
      </c>
      <c r="AA17" s="1096">
        <v>0</v>
      </c>
      <c r="AB17" s="1096">
        <v>0</v>
      </c>
      <c r="AC17" s="1096">
        <v>0</v>
      </c>
      <c r="AD17" s="1096">
        <v>0</v>
      </c>
      <c r="AE17" s="1096">
        <v>0</v>
      </c>
      <c r="AF17" s="1096">
        <v>0</v>
      </c>
      <c r="AG17" s="1096">
        <v>0</v>
      </c>
      <c r="AH17" s="1096">
        <v>0</v>
      </c>
      <c r="AI17" s="1096">
        <v>0</v>
      </c>
      <c r="AJ17" s="1096">
        <v>0</v>
      </c>
      <c r="AK17" s="1096">
        <v>0</v>
      </c>
      <c r="AL17" s="1096">
        <v>8</v>
      </c>
      <c r="AM17" s="1095">
        <v>11</v>
      </c>
    </row>
  </sheetData>
  <sheetProtection formatColumns="0" formatRows="0" autoFilter="0" sort="0" insertRows="0" insertColumns="1" deleteRows="0" deleteColumns="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FE9F938-BAA2-7D02-00EE-74C33534450F}" mc:Ignorable="x14ac xr xr2 xr3">
  <sheetPr>
    <tabColor rgb="FFE26B0A"/>
  </sheetPr>
  <dimension ref="A1:V40"/>
  <sheetViews>
    <sheetView topLeftCell="A1" showGridLines="0" zoomScale="90" workbookViewId="0">
      <selection activeCell="A1" sqref="A1"/>
    </sheetView>
  </sheetViews>
  <sheetFormatPr defaultColWidth="10.57421875" customHeight="1" defaultRowHeight="15"/>
  <cols>
    <col min="1" max="1" style="46772" width="9.140625" hidden="1" customWidth="1"/>
    <col min="2" max="2" style="46808" width="9.140625" hidden="1" customWidth="1"/>
    <col min="3" max="3" style="54936" width="4.00390625" customWidth="1"/>
    <col min="4" max="4" style="46808" width="6.00390625" customWidth="1"/>
    <col min="5" max="5" style="46808" width="36.00390625" customWidth="1"/>
    <col min="6" max="6" style="46808" width="9.00390625" customWidth="1"/>
    <col min="7" max="7" style="46808" width="25.7109375" hidden="1" customWidth="1"/>
    <col min="8" max="8" style="46808" width="33.7109375" hidden="1" customWidth="1"/>
    <col min="9" max="9" style="46808" width="25.7109375" customWidth="1"/>
    <col min="10" max="10" style="46808" width="33.00390625" customWidth="1"/>
    <col min="11" max="11" style="46889" width="93.00390625" customWidth="1"/>
    <col min="12" max="20" style="46808" width="10.00390625" customWidth="1"/>
    <col min="21" max="21" style="54937" width="10.00390625" customWidth="1"/>
    <col min="22" max="22" style="46808" width="10.57421875" hidden="1"/>
  </cols>
  <sheetData>
    <row s="46889" customFormat="1" customHeight="1" ht="22.5" hidden="1">
      <c r="C1" s="1184"/>
      <c r="G1" s="929">
        <v>4</v>
      </c>
      <c r="I1" s="929">
        <v>4</v>
      </c>
      <c r="U1" s="932"/>
      <c r="V1" s="929" t="s">
        <v>14</v>
      </c>
    </row>
    <row s="46889" customFormat="1" customHeight="1" ht="15" hidden="1">
      <c r="C2" s="1184"/>
      <c r="U2" s="932"/>
      <c r="V2" s="929">
        <v>0</v>
      </c>
    </row>
    <row customHeight="1" ht="22.5" hidden="1">
      <c r="A3" s="1017"/>
      <c r="B3" s="2909"/>
      <c r="C3" s="2910" t="s">
        <v>106</v>
      </c>
      <c r="D3" s="1201" t="str">
        <f>B3&amp;".1"</f>
        <v>.1</v>
      </c>
      <c r="E3" s="1202" t="s">
        <v>1052</v>
      </c>
      <c r="F3" s="1203" t="s">
        <v>424</v>
      </c>
      <c r="G3" s="1198"/>
      <c r="H3" s="913"/>
      <c r="I3" s="1198"/>
      <c r="J3" s="913"/>
      <c r="K3" s="801" t="s">
        <v>1053</v>
      </c>
      <c r="V3" s="1017">
        <v>0</v>
      </c>
    </row>
    <row customHeight="1" ht="15" hidden="1">
      <c r="A4" s="1017"/>
      <c r="B4" s="2909"/>
      <c r="C4" s="2910"/>
      <c r="D4" s="1201" t="str">
        <f>B3&amp;".2"</f>
        <v>.2</v>
      </c>
      <c r="E4" s="1202" t="s">
        <v>1054</v>
      </c>
      <c r="F4" s="1203" t="s">
        <v>424</v>
      </c>
      <c r="G4" s="2250" t="s">
        <v>28</v>
      </c>
      <c r="H4" s="913"/>
      <c r="I4" s="2250" t="s">
        <v>28</v>
      </c>
      <c r="J4" s="913"/>
      <c r="K4" s="801" t="s">
        <v>1055</v>
      </c>
      <c r="V4" s="1017">
        <v>0</v>
      </c>
    </row>
    <row s="46889" customFormat="1" customHeight="1" ht="15" hidden="1">
      <c r="C5" s="1184"/>
      <c r="U5" s="932"/>
      <c r="V5" s="929">
        <v>0</v>
      </c>
    </row>
    <row customHeight="1" ht="22.5" hidden="1">
      <c r="A6" s="1017"/>
      <c r="B6" s="2909"/>
      <c r="C6" s="2910" t="s">
        <v>106</v>
      </c>
      <c r="D6" s="1201" t="str">
        <f>B6&amp;".1"</f>
        <v>.1</v>
      </c>
      <c r="E6" s="1202" t="s">
        <v>1056</v>
      </c>
      <c r="F6" s="1203" t="s">
        <v>424</v>
      </c>
      <c r="G6" s="1198"/>
      <c r="H6" s="913"/>
      <c r="I6" s="1198"/>
      <c r="J6" s="913"/>
      <c r="K6" s="801" t="s">
        <v>1057</v>
      </c>
      <c r="V6" s="1017">
        <v>0</v>
      </c>
    </row>
    <row customHeight="1" ht="15" hidden="1">
      <c r="A7" s="1017"/>
      <c r="B7" s="2909"/>
      <c r="C7" s="2910"/>
      <c r="D7" s="1201" t="str">
        <f>B6&amp;".2"</f>
        <v>.2</v>
      </c>
      <c r="E7" s="1202" t="s">
        <v>1054</v>
      </c>
      <c r="F7" s="1203" t="s">
        <v>424</v>
      </c>
      <c r="G7" s="2250" t="s">
        <v>28</v>
      </c>
      <c r="H7" s="913"/>
      <c r="I7" s="2250" t="s">
        <v>28</v>
      </c>
      <c r="J7" s="913"/>
      <c r="K7" s="801" t="s">
        <v>1055</v>
      </c>
      <c r="V7" s="1017">
        <v>0</v>
      </c>
    </row>
    <row s="46889" customFormat="1" customHeight="1" ht="15" hidden="1">
      <c r="C8" s="1184"/>
      <c r="U8" s="932"/>
      <c r="V8" s="929">
        <v>0</v>
      </c>
    </row>
    <row customHeight="1" ht="22.5" hidden="1">
      <c r="A9" s="1017"/>
      <c r="B9" s="2909"/>
      <c r="C9" s="2910" t="s">
        <v>106</v>
      </c>
      <c r="D9" s="1201" t="str">
        <f>B9&amp;".1"</f>
        <v>.1</v>
      </c>
      <c r="E9" s="1202" t="s">
        <v>1058</v>
      </c>
      <c r="F9" s="1203" t="s">
        <v>424</v>
      </c>
      <c r="G9" s="1209" t="s">
        <v>28</v>
      </c>
      <c r="H9" s="913" t="s">
        <v>28</v>
      </c>
      <c r="I9" s="1209" t="s">
        <v>28</v>
      </c>
      <c r="J9" s="913" t="s">
        <v>28</v>
      </c>
      <c r="K9" s="801"/>
      <c r="V9" s="1017">
        <v>0</v>
      </c>
    </row>
    <row customHeight="1" ht="15" hidden="1">
      <c r="A10" s="1017"/>
      <c r="B10" s="2909"/>
      <c r="C10" s="2910"/>
      <c r="D10" s="1201" t="str">
        <f>B9&amp;".2"</f>
        <v>.2</v>
      </c>
      <c r="E10" s="1202" t="s">
        <v>1059</v>
      </c>
      <c r="F10" s="1203" t="s">
        <v>424</v>
      </c>
      <c r="G10" s="2244" t="s">
        <v>28</v>
      </c>
      <c r="H10" s="913" t="s">
        <v>28</v>
      </c>
      <c r="I10" s="2244" t="s">
        <v>28</v>
      </c>
      <c r="J10" s="913" t="s">
        <v>28</v>
      </c>
      <c r="K10" s="801" t="s">
        <v>1060</v>
      </c>
      <c r="V10" s="1017">
        <v>0</v>
      </c>
    </row>
    <row customHeight="1" ht="15" hidden="1">
      <c r="A11" s="1017"/>
      <c r="B11" s="2909"/>
      <c r="C11" s="2910"/>
      <c r="D11" s="1201" t="str">
        <f>B9&amp;".3"</f>
        <v>.3</v>
      </c>
      <c r="E11" s="1202" t="s">
        <v>1061</v>
      </c>
      <c r="F11" s="1203" t="s">
        <v>424</v>
      </c>
      <c r="G11" s="2244" t="s">
        <v>28</v>
      </c>
      <c r="H11" s="913" t="s">
        <v>28</v>
      </c>
      <c r="I11" s="2244" t="s">
        <v>28</v>
      </c>
      <c r="J11" s="913" t="s">
        <v>28</v>
      </c>
      <c r="K11" s="801" t="s">
        <v>1062</v>
      </c>
      <c r="V11" s="1017">
        <v>0</v>
      </c>
    </row>
    <row s="46889" customFormat="1" customHeight="1" ht="15" hidden="1">
      <c r="C12" s="1184"/>
      <c r="U12" s="932"/>
      <c r="V12" s="929">
        <v>0</v>
      </c>
    </row>
    <row customHeight="1" ht="33.75" hidden="1">
      <c r="A13" s="1017"/>
      <c r="B13" s="2909"/>
      <c r="C13" s="2910" t="s">
        <v>106</v>
      </c>
      <c r="D13" s="1201" t="str">
        <f>B13&amp;".1"</f>
        <v>.1</v>
      </c>
      <c r="E13" s="1202" t="s">
        <v>1063</v>
      </c>
      <c r="F13" s="1203" t="s">
        <v>424</v>
      </c>
      <c r="G13" s="1209" t="s">
        <v>28</v>
      </c>
      <c r="H13" s="913" t="s">
        <v>28</v>
      </c>
      <c r="I13" s="1209" t="s">
        <v>28</v>
      </c>
      <c r="J13" s="913" t="s">
        <v>28</v>
      </c>
      <c r="K13" s="801" t="s">
        <v>1064</v>
      </c>
      <c r="V13" s="1017">
        <v>0</v>
      </c>
    </row>
    <row customHeight="1" ht="15" hidden="1">
      <c r="B14" s="2909"/>
      <c r="C14" s="2910"/>
      <c r="D14" s="1201" t="str">
        <f>B13&amp;".2"</f>
        <v>.2</v>
      </c>
      <c r="E14" s="1202" t="s">
        <v>1065</v>
      </c>
      <c r="F14" s="1203" t="s">
        <v>424</v>
      </c>
      <c r="G14" s="2244" t="s">
        <v>28</v>
      </c>
      <c r="H14" s="913" t="s">
        <v>28</v>
      </c>
      <c r="I14" s="2244" t="s">
        <v>28</v>
      </c>
      <c r="J14" s="913" t="s">
        <v>28</v>
      </c>
      <c r="K14" s="801" t="s">
        <v>1066</v>
      </c>
      <c r="V14" s="1017">
        <v>0</v>
      </c>
    </row>
    <row s="46889" customFormat="1" customHeight="1" ht="15" hidden="1">
      <c r="C15" s="1184"/>
      <c r="U15" s="932"/>
      <c r="V15" s="929">
        <v>0</v>
      </c>
    </row>
    <row s="46889" customFormat="1" customHeight="1" ht="15" hidden="1">
      <c r="C16" s="1184"/>
      <c r="U16" s="932"/>
      <c r="V16" s="929">
        <v>0</v>
      </c>
    </row>
    <row s="46889" customFormat="1" customHeight="1" ht="15" hidden="1">
      <c r="C17" s="1184"/>
      <c r="U17" s="932"/>
      <c r="V17" s="929">
        <v>0</v>
      </c>
    </row>
    <row s="46889" customFormat="1" customHeight="1" ht="15" hidden="1">
      <c r="C18" s="1184"/>
      <c r="U18" s="932"/>
      <c r="V18" s="929">
        <v>0</v>
      </c>
    </row>
    <row s="46889" customFormat="1" customHeight="1" ht="15" hidden="1">
      <c r="C19" s="1184"/>
      <c r="U19" s="932"/>
      <c r="V19" s="929">
        <v>0</v>
      </c>
    </row>
    <row s="46889" customFormat="1" customHeight="1" ht="15" hidden="1">
      <c r="C20" s="1184"/>
      <c r="U20" s="932"/>
      <c r="V20" s="929">
        <v>0</v>
      </c>
    </row>
    <row customHeight="1" ht="15.75">
      <c r="C21" s="688"/>
      <c r="D21" s="1021"/>
      <c r="E21" s="1021"/>
      <c r="F21" s="1021"/>
      <c r="G21" s="1021"/>
      <c r="H21" s="1021"/>
      <c r="I21" s="1021"/>
      <c r="J21" s="1021"/>
      <c r="V21" s="1017">
        <v>15</v>
      </c>
    </row>
    <row customHeight="1" ht="23.25">
      <c r="C22" s="688"/>
      <c r="D22" s="2749"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749"/>
      <c r="F22" s="2749"/>
      <c r="G22" s="2749"/>
      <c r="H22" s="2749"/>
      <c r="I22" s="2749"/>
      <c r="J22" s="1188"/>
      <c r="K22" s="1049"/>
      <c r="V22" s="1017">
        <v>22</v>
      </c>
    </row>
    <row customHeight="1" ht="15.75">
      <c r="C23" s="688"/>
      <c r="D23" s="2688" t="str">
        <f>IF(org=0,"Не определено",org)</f>
        <v>КГУП "Примтеплоэнерго"</v>
      </c>
      <c r="E23" s="2688"/>
      <c r="F23" s="2688"/>
      <c r="G23" s="2688"/>
      <c r="H23" s="2688"/>
      <c r="I23" s="2688"/>
      <c r="J23" s="1188"/>
      <c r="K23" s="1049"/>
      <c r="V23" s="1017">
        <v>15</v>
      </c>
    </row>
    <row customHeight="1" ht="15.75">
      <c r="C24" s="688"/>
      <c r="D24" s="1021"/>
      <c r="E24" s="1021"/>
      <c r="F24" s="1021"/>
      <c r="G24" s="1049">
        <v>22</v>
      </c>
      <c r="H24" s="1264"/>
      <c r="I24" s="1049">
        <v>22</v>
      </c>
      <c r="J24" s="1264"/>
      <c r="V24" s="1017">
        <v>15</v>
      </c>
    </row>
    <row s="46808" customFormat="1" customHeight="1" ht="1.05">
      <c r="A25" s="1271"/>
      <c r="C25" s="688"/>
      <c r="D25" s="1021"/>
      <c r="E25" s="1021"/>
      <c r="F25" s="1021"/>
      <c r="G25" s="1049"/>
      <c r="H25" s="1264"/>
      <c r="I25" s="1049" t="s">
        <v>173</v>
      </c>
      <c r="J25" s="1264"/>
      <c r="K25" s="929"/>
      <c r="U25" s="1187"/>
      <c r="V25" s="1270">
        <v>1</v>
      </c>
    </row>
    <row customHeight="1" ht="15.75">
      <c r="C26" s="688"/>
      <c r="D26" s="1223"/>
      <c r="E26" s="2879" t="s">
        <v>165</v>
      </c>
      <c r="F26" s="2880"/>
      <c r="G26" s="2907" t="str">
        <f>IF(G25="","",INDEX(DIFFERENTIATION_UNMERGE_VD,MATCH(G25,DIFFERENTIATION_ID_DIFF,0)))</f>
        <v/>
      </c>
      <c r="H26" s="2908"/>
      <c r="I26" s="2907">
        <f>IF(I25="","",INDEX(DIFFERENTIATION_UNMERGE_VD,MATCH(I25,DIFFERENTIATION_ID_DIFF,0)))</f>
        <v>0</v>
      </c>
      <c r="J26" s="2908"/>
      <c r="K26" s="2687" t="s">
        <v>419</v>
      </c>
      <c r="V26" s="1017">
        <v>15</v>
      </c>
    </row>
    <row s="46808" customFormat="1" customHeight="1" ht="15.75">
      <c r="A27" s="1271"/>
      <c r="C27" s="688"/>
      <c r="D27" s="1223"/>
      <c r="E27" s="2879" t="s">
        <v>681</v>
      </c>
      <c r="F27" s="2880"/>
      <c r="G27" s="2907" t="str">
        <f>IF(G25="","",INDEX(DIFFERENTIATION_UNMERGE_AREA,MATCH(G25,DIFFERENTIATION_ID_DIFF,0)))</f>
        <v/>
      </c>
      <c r="H27" s="2908"/>
      <c r="I27" s="2907" t="str">
        <f>IF(I25="","",INDEX(DIFFERENTIATION_UNMERGE_AREA,MATCH(I25,DIFFERENTIATION_ID_DIFF,0)))</f>
        <v/>
      </c>
      <c r="J27" s="2908"/>
      <c r="K27" s="2707"/>
      <c r="U27" s="1187"/>
      <c r="V27" s="1270">
        <v>15</v>
      </c>
    </row>
    <row s="46808" customFormat="1" customHeight="1" ht="15.75">
      <c r="A28" s="1271"/>
      <c r="C28" s="688"/>
      <c r="D28" s="1223"/>
      <c r="E28" s="2879" t="s">
        <v>682</v>
      </c>
      <c r="F28" s="2880"/>
      <c r="G28" s="2907" t="str">
        <f>IF(G25="","",INDEX(DIFFERENTIATION_UNMERGE_SYSTEM,MATCH(G25,DIFFERENTIATION_ID_DIFF,0)))</f>
        <v/>
      </c>
      <c r="H28" s="2908"/>
      <c r="I28" s="2907" t="str">
        <f>IF(I25="","",INDEX(DIFFERENTIATION_UNMERGE_SYSTEM,MATCH(I25,DIFFERENTIATION_ID_DIFF,0)))</f>
        <v>без дифференциации</v>
      </c>
      <c r="J28" s="2908"/>
      <c r="K28" s="2707"/>
      <c r="U28" s="1187"/>
      <c r="V28" s="1270">
        <v>15</v>
      </c>
    </row>
    <row s="46808" customFormat="1" customHeight="1" ht="15.75">
      <c r="A29" s="1271"/>
      <c r="C29" s="688"/>
      <c r="D29" s="2881" t="s">
        <v>418</v>
      </c>
      <c r="E29" s="2882"/>
      <c r="F29" s="2882"/>
      <c r="G29" s="1399"/>
      <c r="H29" s="1399"/>
      <c r="I29" s="1399"/>
      <c r="J29" s="1400"/>
      <c r="K29" s="2707"/>
      <c r="U29" s="1187"/>
      <c r="V29" s="1270">
        <v>15</v>
      </c>
    </row>
    <row customHeight="1" ht="35.699999999999996">
      <c r="C30" s="688"/>
      <c r="D30" s="1273" t="s">
        <v>90</v>
      </c>
      <c r="E30" s="1272" t="s">
        <v>420</v>
      </c>
      <c r="F30" s="1272" t="s">
        <v>683</v>
      </c>
      <c r="G30" s="1320" t="s">
        <v>421</v>
      </c>
      <c r="H30" s="1319" t="s">
        <v>508</v>
      </c>
      <c r="I30" s="1196" t="s">
        <v>421</v>
      </c>
      <c r="J30" s="977" t="s">
        <v>508</v>
      </c>
      <c r="K30" s="2713"/>
      <c r="V30" s="1017">
        <v>34</v>
      </c>
    </row>
    <row customHeight="1" ht="15" hidden="1">
      <c r="C31" s="688"/>
      <c r="D31" s="1105"/>
      <c r="E31" s="1105"/>
      <c r="F31" s="1105"/>
      <c r="G31" s="1171"/>
      <c r="H31" s="1171"/>
      <c r="I31" s="1171"/>
      <c r="J31" s="1171"/>
      <c r="K31" s="801"/>
      <c r="V31" s="1017">
        <v>0</v>
      </c>
    </row>
    <row customHeight="1" ht="24">
      <c r="A32" s="1017"/>
      <c r="B32" s="1017" t="s">
        <v>1067</v>
      </c>
      <c r="C32" s="1038"/>
      <c r="D32" s="1204">
        <v>1</v>
      </c>
      <c r="E32" s="1205" t="s">
        <v>1068</v>
      </c>
      <c r="F32" s="1203" t="s">
        <v>424</v>
      </c>
      <c r="G32" s="1325" t="s">
        <v>424</v>
      </c>
      <c r="H32" s="1325" t="s">
        <v>424</v>
      </c>
      <c r="I32" s="1203" t="s">
        <v>424</v>
      </c>
      <c r="J32" s="1203" t="s">
        <v>424</v>
      </c>
      <c r="K32" s="801"/>
      <c r="V32" s="1017">
        <v>23</v>
      </c>
    </row>
    <row customHeight="1" ht="11.549999999999999">
      <c r="A33" s="1017"/>
      <c r="C33" s="1017"/>
      <c r="D33" s="859"/>
      <c r="E33" s="1092" t="s">
        <v>703</v>
      </c>
      <c r="F33" s="1084"/>
      <c r="G33" s="1084"/>
      <c r="H33" s="1084"/>
      <c r="I33" s="1084"/>
      <c r="J33" s="1084"/>
      <c r="K33" s="1085"/>
      <c r="U33" s="1017"/>
      <c r="V33" s="1017">
        <v>11</v>
      </c>
    </row>
    <row customHeight="1" ht="24">
      <c r="A34" s="1017"/>
      <c r="B34" s="1093" t="s">
        <v>753</v>
      </c>
      <c r="C34" s="1038"/>
      <c r="D34" s="1204">
        <v>2</v>
      </c>
      <c r="E34" s="1205" t="s">
        <v>1069</v>
      </c>
      <c r="F34" s="1332" t="s">
        <v>424</v>
      </c>
      <c r="G34" s="1332" t="s">
        <v>424</v>
      </c>
      <c r="H34" s="1332" t="s">
        <v>424</v>
      </c>
      <c r="I34" s="1203"/>
      <c r="J34" s="1203"/>
      <c r="K34" s="801"/>
      <c r="V34" s="1017">
        <v>23</v>
      </c>
    </row>
    <row customHeight="1" ht="11.549999999999999">
      <c r="A35" s="1017"/>
      <c r="C35" s="1017"/>
      <c r="D35" s="859"/>
      <c r="E35" s="1092" t="s">
        <v>1070</v>
      </c>
      <c r="F35" s="1084"/>
      <c r="G35" s="1206"/>
      <c r="H35" s="1084"/>
      <c r="I35" s="1206"/>
      <c r="J35" s="1084"/>
      <c r="K35" s="1085"/>
      <c r="U35" s="1017"/>
      <c r="V35" s="1017">
        <v>11</v>
      </c>
    </row>
    <row customHeight="1" ht="71.25">
      <c r="A36" s="1017"/>
      <c r="B36" s="1017" t="s">
        <v>1071</v>
      </c>
      <c r="C36" s="1038"/>
      <c r="D36" s="1204">
        <v>3</v>
      </c>
      <c r="E36" s="1205" t="s">
        <v>1072</v>
      </c>
      <c r="F36" s="1207" t="s">
        <v>424</v>
      </c>
      <c r="G36" s="1326" t="s">
        <v>1073</v>
      </c>
      <c r="H36" s="1325" t="s">
        <v>424</v>
      </c>
      <c r="I36" s="1036" t="s">
        <v>1073</v>
      </c>
      <c r="J36" s="1203" t="s">
        <v>424</v>
      </c>
      <c r="K36" s="801" t="s">
        <v>1074</v>
      </c>
      <c r="V36" s="1017">
        <v>68</v>
      </c>
    </row>
    <row customHeight="1" ht="11.549999999999999">
      <c r="A37" s="1017"/>
      <c r="C37" s="1017"/>
      <c r="D37" s="859"/>
      <c r="E37" s="1092" t="s">
        <v>1075</v>
      </c>
      <c r="F37" s="1084"/>
      <c r="G37" s="1206"/>
      <c r="H37" s="1206"/>
      <c r="I37" s="1206"/>
      <c r="J37" s="1206"/>
      <c r="K37" s="1085"/>
      <c r="U37" s="1017"/>
      <c r="V37" s="1017">
        <v>11</v>
      </c>
    </row>
    <row customHeight="1" ht="71.25">
      <c r="A38" s="1017"/>
      <c r="B38" s="1017" t="s">
        <v>1076</v>
      </c>
      <c r="C38" s="1038"/>
      <c r="D38" s="1204">
        <v>4</v>
      </c>
      <c r="E38" s="1205" t="s">
        <v>1077</v>
      </c>
      <c r="F38" s="1207" t="s">
        <v>424</v>
      </c>
      <c r="G38" s="1326" t="s">
        <v>1073</v>
      </c>
      <c r="H38" s="1327" t="s">
        <v>424</v>
      </c>
      <c r="I38" s="1036" t="s">
        <v>1073</v>
      </c>
      <c r="J38" s="1033" t="s">
        <v>424</v>
      </c>
      <c r="K38" s="1191" t="s">
        <v>1078</v>
      </c>
      <c r="V38" s="1017">
        <v>68</v>
      </c>
    </row>
    <row customHeight="1" ht="11.549999999999999">
      <c r="A39" s="1017"/>
      <c r="C39" s="1017"/>
      <c r="D39" s="859"/>
      <c r="E39" s="1092" t="s">
        <v>1079</v>
      </c>
      <c r="F39" s="1084"/>
      <c r="G39" s="1084"/>
      <c r="H39" s="1208"/>
      <c r="I39" s="1084"/>
      <c r="J39" s="1208"/>
      <c r="K39" s="1085"/>
      <c r="U39" s="1017"/>
      <c r="V39" s="1017">
        <v>11</v>
      </c>
    </row>
    <row customHeight="1" ht="22.5" hidden="1">
      <c r="A40" s="961" t="s">
        <v>84</v>
      </c>
      <c r="B40" s="1017">
        <v>0</v>
      </c>
      <c r="C40" s="1195">
        <v>4</v>
      </c>
      <c r="D40" s="1017">
        <v>6</v>
      </c>
      <c r="E40" s="1017">
        <v>36</v>
      </c>
      <c r="F40" s="1017">
        <v>9</v>
      </c>
      <c r="G40" s="1270">
        <v>0</v>
      </c>
      <c r="H40" s="1270">
        <v>0</v>
      </c>
      <c r="I40" s="1017">
        <v>25</v>
      </c>
      <c r="J40" s="1017">
        <v>33</v>
      </c>
      <c r="K40" s="929">
        <v>93</v>
      </c>
      <c r="L40" s="1017">
        <v>10</v>
      </c>
      <c r="M40" s="1017">
        <v>10</v>
      </c>
      <c r="N40" s="1017">
        <v>10</v>
      </c>
      <c r="O40" s="1017">
        <v>10</v>
      </c>
      <c r="P40" s="1017">
        <v>10</v>
      </c>
      <c r="Q40" s="1017">
        <v>10</v>
      </c>
      <c r="R40" s="1017">
        <v>10</v>
      </c>
      <c r="S40" s="1017">
        <v>10</v>
      </c>
      <c r="T40" s="1017">
        <v>10</v>
      </c>
      <c r="U40" s="1187">
        <v>10</v>
      </c>
      <c r="V40" s="1017">
        <v>23</v>
      </c>
    </row>
  </sheetData>
  <sheetProtection formatColumns="0" formatRows="0" autoFilter="0" sort="0" insertRows="0" insertColumns="1" deleteRows="0" deleteColumns="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944BF5B-E25E-E5C6-3C9B-FAFE1FB95244}" mc:Ignorable="x14ac xr xr2 xr3">
  <sheetPr>
    <tabColor theme="9" tint="-0.25"/>
  </sheetPr>
  <dimension ref="A1:AE16"/>
  <sheetViews>
    <sheetView topLeftCell="A1" showGridLines="0" zoomScale="85" workbookViewId="0">
      <selection activeCell="A1" sqref="A1"/>
    </sheetView>
  </sheetViews>
  <sheetFormatPr defaultColWidth="9.140625" customHeight="1" defaultRowHeight="10.5"/>
  <cols>
    <col min="1" max="3" style="54907" width="6.7109375" hidden="1" customWidth="1"/>
    <col min="4" max="4" style="46889" width="6.7109375" hidden="1" customWidth="1"/>
    <col min="5" max="5" style="46808" width="3.00390625" customWidth="1"/>
    <col min="6" max="6" style="46808" width="6.00390625" customWidth="1"/>
    <col min="7" max="7" style="46808" width="37.00390625" customWidth="1"/>
    <col min="8" max="8" style="46808" width="16.00390625" customWidth="1"/>
    <col min="9" max="10" style="46808" width="19.00390625" customWidth="1"/>
    <col min="11" max="11" style="46808" width="24.00390625" customWidth="1"/>
    <col min="12" max="13" style="46808" width="25.00390625" customWidth="1"/>
    <col min="14" max="16" style="46808" width="17.00390625" customWidth="1"/>
    <col min="17" max="24" style="46808" width="19.00390625" customWidth="1"/>
    <col min="25" max="25" style="46808" width="7.00390625" customWidth="1"/>
    <col min="26" max="26" style="46808" width="3.00390625" customWidth="1"/>
    <col min="27" max="27" style="46808" width="6.00390625" customWidth="1"/>
    <col min="28" max="28" style="46808" width="34.00390625" customWidth="1"/>
    <col min="29" max="30" style="46808" width="8.00390625" customWidth="1"/>
    <col min="31" max="31" style="46808" width="9.140625" hidden="1"/>
  </cols>
  <sheetData>
    <row s="46889" customFormat="1" customHeight="1" ht="10.5" hidden="1">
      <c r="A1" s="1407"/>
      <c r="B1" s="1407"/>
      <c r="C1" s="1407"/>
      <c r="E1" s="1049"/>
      <c r="H1" s="1672"/>
      <c r="AE1" s="929" t="s">
        <v>14</v>
      </c>
    </row>
    <row customHeight="1" ht="10.5" hidden="1">
      <c r="AE2" s="1270">
        <v>0</v>
      </c>
    </row>
    <row s="46772" customFormat="1" customHeight="1" ht="10.5" hidden="1">
      <c r="A3" s="1407"/>
      <c r="B3" s="1407"/>
      <c r="C3" s="1407"/>
      <c r="D3" s="929"/>
      <c r="E3" s="874"/>
      <c r="G3" s="2144" t="s">
        <v>1080</v>
      </c>
      <c r="H3" s="1668"/>
      <c r="AE3" s="1271">
        <v>0</v>
      </c>
    </row>
    <row customHeight="1" ht="3">
      <c r="AE4" s="1270">
        <v>3</v>
      </c>
    </row>
    <row customHeight="1" ht="27.299999999999997">
      <c r="F5" s="2760" t="str">
        <f>IP_NAME_FORM</f>
        <v>Форма 7. Информация об инвестиционных программах организации водоотведения и отчетах об их исполнении</v>
      </c>
      <c r="G5" s="2760"/>
      <c r="H5" s="2760"/>
      <c r="I5" s="2760"/>
      <c r="J5" s="2760"/>
      <c r="K5" s="2760"/>
      <c r="M5" s="1094"/>
      <c r="AB5" s="1418"/>
      <c r="AE5" s="1270">
        <v>26</v>
      </c>
    </row>
    <row s="46808" customFormat="1" customHeight="1" ht="16.8">
      <c r="A6" s="1678"/>
      <c r="B6" s="1678"/>
      <c r="C6" s="1678"/>
      <c r="D6" s="1672"/>
      <c r="E6" s="2147"/>
      <c r="F6" s="2761" t="str">
        <f>IF(org=0,"Не определено",org)</f>
        <v>КГУП "Примтеплоэнерго"</v>
      </c>
      <c r="G6" s="2761"/>
      <c r="H6" s="2761"/>
      <c r="I6" s="2761"/>
      <c r="J6" s="2761"/>
      <c r="K6" s="2761"/>
      <c r="M6" s="1094"/>
      <c r="AB6" s="1660"/>
      <c r="AE6" s="2143">
        <v>16</v>
      </c>
    </row>
    <row customHeight="1" ht="10.5">
      <c r="AE7" s="1270">
        <v>10</v>
      </c>
    </row>
    <row customHeight="1" ht="10.5">
      <c r="A8" s="1563"/>
      <c r="B8" s="1563"/>
      <c r="C8" s="1563"/>
      <c r="F8" s="2613" t="s">
        <v>418</v>
      </c>
      <c r="G8" s="2614"/>
      <c r="H8" s="2614"/>
      <c r="I8" s="2614"/>
      <c r="J8" s="2614"/>
      <c r="K8" s="2614"/>
      <c r="L8" s="2614"/>
      <c r="M8" s="2614"/>
      <c r="N8" s="2614"/>
      <c r="O8" s="2614"/>
      <c r="P8" s="2614"/>
      <c r="Q8" s="2614"/>
      <c r="R8" s="2614"/>
      <c r="S8" s="2614"/>
      <c r="T8" s="2614"/>
      <c r="U8" s="2614"/>
      <c r="V8" s="2614"/>
      <c r="W8" s="2614"/>
      <c r="X8" s="2614"/>
      <c r="Y8" s="2614"/>
      <c r="Z8" s="2614"/>
      <c r="AA8" s="2614"/>
      <c r="AB8" s="2615"/>
      <c r="AE8" s="1270">
        <v>10</v>
      </c>
    </row>
    <row customHeight="1" ht="43.050000000000004">
      <c r="A9" s="1417"/>
      <c r="B9" s="1417"/>
      <c r="C9" s="1417"/>
      <c r="F9" s="2639" t="s">
        <v>90</v>
      </c>
      <c r="G9" s="2639" t="s">
        <v>1080</v>
      </c>
      <c r="H9" s="2687" t="s">
        <v>1081</v>
      </c>
      <c r="I9" s="2639" t="s">
        <v>1082</v>
      </c>
      <c r="J9" s="2639" t="s">
        <v>1083</v>
      </c>
      <c r="K9" s="2639" t="s">
        <v>1084</v>
      </c>
      <c r="L9" s="2639" t="s">
        <v>1085</v>
      </c>
      <c r="M9" s="2639" t="s">
        <v>1086</v>
      </c>
      <c r="N9" s="2721" t="s">
        <v>1087</v>
      </c>
      <c r="O9" s="2721"/>
      <c r="P9" s="2721"/>
      <c r="Q9" s="2911" t="s">
        <v>1088</v>
      </c>
      <c r="R9" s="2912"/>
      <c r="S9" s="2912"/>
      <c r="T9" s="2913"/>
      <c r="U9" s="2911" t="s">
        <v>1089</v>
      </c>
      <c r="V9" s="2912"/>
      <c r="W9" s="2912"/>
      <c r="X9" s="2913"/>
      <c r="Y9" s="2613" t="s">
        <v>1090</v>
      </c>
      <c r="Z9" s="2614"/>
      <c r="AA9" s="2614"/>
      <c r="AB9" s="2615"/>
      <c r="AE9" s="1270">
        <v>41</v>
      </c>
    </row>
    <row customHeight="1" ht="43.050000000000004">
      <c r="A10" s="1417"/>
      <c r="B10" s="1417"/>
      <c r="C10" s="1417"/>
      <c r="F10" s="2687"/>
      <c r="G10" s="2687"/>
      <c r="H10" s="2744"/>
      <c r="I10" s="2687"/>
      <c r="J10" s="2687"/>
      <c r="K10" s="2687"/>
      <c r="L10" s="2687"/>
      <c r="M10" s="2687"/>
      <c r="N10" s="1415" t="s">
        <v>1091</v>
      </c>
      <c r="O10" s="1415" t="s">
        <v>1092</v>
      </c>
      <c r="P10" s="1416" t="s">
        <v>1093</v>
      </c>
      <c r="Q10" s="1427" t="s">
        <v>91</v>
      </c>
      <c r="R10" s="1427" t="s">
        <v>1094</v>
      </c>
      <c r="S10" s="1427" t="s">
        <v>1095</v>
      </c>
      <c r="T10" s="1428" t="s">
        <v>1096</v>
      </c>
      <c r="U10" s="1427" t="s">
        <v>91</v>
      </c>
      <c r="V10" s="1427" t="s">
        <v>1097</v>
      </c>
      <c r="W10" s="1427" t="s">
        <v>1095</v>
      </c>
      <c r="X10" s="1428" t="s">
        <v>1096</v>
      </c>
      <c r="Y10" s="813" t="s">
        <v>1098</v>
      </c>
      <c r="Z10" s="2613" t="s">
        <v>90</v>
      </c>
      <c r="AA10" s="2615"/>
      <c r="AB10" s="1561" t="s">
        <v>1099</v>
      </c>
      <c r="AE10" s="1270">
        <v>41</v>
      </c>
    </row>
    <row s="46890" customFormat="1" customHeight="1" ht="5.25" hidden="1">
      <c r="A11" s="1564"/>
      <c r="B11" s="1564"/>
      <c r="C11" s="1564"/>
      <c r="E11" s="1562"/>
      <c r="F11" s="2918" t="s">
        <v>494</v>
      </c>
      <c r="G11" s="2915"/>
      <c r="H11" s="2914"/>
      <c r="I11" s="2914"/>
      <c r="J11" s="2914"/>
      <c r="K11" s="2916"/>
      <c r="L11" s="2916"/>
      <c r="M11" s="2916"/>
      <c r="N11" s="2914"/>
      <c r="O11" s="2914"/>
      <c r="P11" s="2639"/>
      <c r="Q11" s="2691"/>
      <c r="R11" s="2691"/>
      <c r="S11" s="2691"/>
      <c r="T11" s="2914"/>
      <c r="U11" s="2691"/>
      <c r="V11" s="2691"/>
      <c r="W11" s="2691"/>
      <c r="X11" s="2914"/>
      <c r="Y11" s="2620"/>
      <c r="Z11" s="2620"/>
      <c r="AA11" s="2620"/>
      <c r="AB11" s="2620"/>
      <c r="AD11" s="1023" t="s">
        <v>1100</v>
      </c>
      <c r="AE11" s="1023">
        <v>0</v>
      </c>
    </row>
    <row s="46890" customFormat="1" customHeight="1" ht="5.25" hidden="1">
      <c r="A12" s="1408"/>
      <c r="B12" s="1408"/>
      <c r="C12" s="1408"/>
      <c r="E12" s="1030"/>
      <c r="F12" s="2918"/>
      <c r="G12" s="2915"/>
      <c r="H12" s="2914"/>
      <c r="I12" s="2914"/>
      <c r="J12" s="2914"/>
      <c r="K12" s="2916"/>
      <c r="L12" s="2916"/>
      <c r="M12" s="2916"/>
      <c r="N12" s="2914"/>
      <c r="O12" s="2914"/>
      <c r="P12" s="2639"/>
      <c r="Q12" s="2691"/>
      <c r="R12" s="2691"/>
      <c r="S12" s="2691"/>
      <c r="T12" s="2914"/>
      <c r="U12" s="2691"/>
      <c r="V12" s="2691"/>
      <c r="W12" s="2691"/>
      <c r="X12" s="2914"/>
      <c r="Y12" s="2917"/>
      <c r="Z12" s="2917"/>
      <c r="AA12" s="2917"/>
      <c r="AB12" s="2917"/>
      <c r="AE12" s="1023">
        <v>0</v>
      </c>
    </row>
    <row customHeight="1" ht="10.5">
      <c r="F13" s="1414"/>
      <c r="G13" s="1162" t="s">
        <v>1101</v>
      </c>
      <c r="H13" s="1680"/>
      <c r="I13" s="1084"/>
      <c r="J13" s="1084"/>
      <c r="K13" s="1084"/>
      <c r="L13" s="1084"/>
      <c r="M13" s="1084"/>
      <c r="N13" s="1084"/>
      <c r="O13" s="1084"/>
      <c r="P13" s="1084"/>
      <c r="Q13" s="1084"/>
      <c r="R13" s="1084"/>
      <c r="S13" s="1084"/>
      <c r="T13" s="1084"/>
      <c r="U13" s="1084"/>
      <c r="V13" s="1084"/>
      <c r="W13" s="1084"/>
      <c r="X13" s="1084"/>
      <c r="Y13" s="1084"/>
      <c r="Z13" s="1208"/>
      <c r="AA13" s="1208"/>
      <c r="AB13" s="1429"/>
      <c r="AE13" s="1270">
        <v>10</v>
      </c>
    </row>
    <row customHeight="1" ht="10.5">
      <c r="AE14" s="1270">
        <v>10</v>
      </c>
    </row>
    <row s="46890" customFormat="1" customHeight="1" ht="10.5">
      <c r="A15" s="1679"/>
      <c r="B15" s="1679"/>
      <c r="C15" s="1679"/>
      <c r="E15" s="1030"/>
      <c r="H15" s="1023">
        <f>_xlfn.IFERROR(MATCH("нет",IP_MAIN_DIFFERENTIATION_EVENTS_FLAG,0),0)</f>
        <v>0</v>
      </c>
      <c r="AE15" s="1023">
        <v>10</v>
      </c>
    </row>
    <row customHeight="1" ht="10.5" hidden="1">
      <c r="A16" s="1407" t="s">
        <v>84</v>
      </c>
      <c r="B16" s="1407">
        <v>0</v>
      </c>
      <c r="C16" s="1407">
        <v>0</v>
      </c>
      <c r="D16" s="929">
        <v>0</v>
      </c>
      <c r="E16" s="1021">
        <v>3</v>
      </c>
      <c r="F16" s="1270">
        <v>6</v>
      </c>
      <c r="G16" s="1270">
        <v>37</v>
      </c>
      <c r="H16" s="1667">
        <v>16</v>
      </c>
      <c r="I16" s="1270">
        <v>19</v>
      </c>
      <c r="J16" s="1270">
        <v>19</v>
      </c>
      <c r="K16" s="1270">
        <v>24</v>
      </c>
      <c r="L16" s="1270">
        <v>25</v>
      </c>
      <c r="M16" s="1270">
        <v>25</v>
      </c>
      <c r="N16" s="1270">
        <v>17</v>
      </c>
      <c r="O16" s="1270">
        <v>17</v>
      </c>
      <c r="P16" s="1270">
        <v>17</v>
      </c>
      <c r="Q16" s="1270">
        <v>19</v>
      </c>
      <c r="R16" s="1270">
        <v>19</v>
      </c>
      <c r="S16" s="1270">
        <v>19</v>
      </c>
      <c r="T16" s="1270">
        <v>19</v>
      </c>
      <c r="U16" s="1270">
        <v>19</v>
      </c>
      <c r="V16" s="1270">
        <v>19</v>
      </c>
      <c r="W16" s="1270">
        <v>19</v>
      </c>
      <c r="X16" s="1270">
        <v>19</v>
      </c>
      <c r="Y16" s="1270">
        <v>7</v>
      </c>
      <c r="Z16" s="1270">
        <v>3</v>
      </c>
      <c r="AA16" s="1270">
        <v>6</v>
      </c>
      <c r="AB16" s="1270">
        <v>34</v>
      </c>
      <c r="AC16" s="1270">
        <v>8</v>
      </c>
      <c r="AD16" s="1270">
        <v>8</v>
      </c>
      <c r="AE16" s="1270">
        <v>10</v>
      </c>
    </row>
  </sheetData>
  <sheetProtection formatColumns="0" formatRows="0" autoFilter="0" sort="0" insertRows="0" insertColumns="1" deleteRows="0" deleteColumns="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A1EDFCE-7676-9B5D-340C-0E3522DCD775}" mc:Ignorable="x14ac xr xr2 xr3">
  <sheetPr>
    <tabColor theme="9" tint="-0.25"/>
  </sheetPr>
  <dimension ref="A1:BG20"/>
  <sheetViews>
    <sheetView topLeftCell="A1" showGridLines="0" zoomScale="90" workbookViewId="0">
      <selection activeCell="A1" sqref="A1"/>
    </sheetView>
  </sheetViews>
  <sheetFormatPr defaultColWidth="9.140625" customHeight="1" defaultRowHeight="10.5"/>
  <cols>
    <col min="1" max="3" style="54907" width="4.140625" hidden="1" customWidth="1"/>
    <col min="4" max="4" style="46889" width="4.140625" hidden="1" customWidth="1"/>
    <col min="5" max="5" style="46808" width="3.00390625" customWidth="1"/>
    <col min="6" max="6" style="46808" width="14.00390625" customWidth="1"/>
    <col min="7" max="7" style="46808" width="3.00390625" customWidth="1"/>
    <col min="8" max="8" style="46808" width="7.00390625" customWidth="1"/>
    <col min="9" max="10" style="46808" width="16.00390625" customWidth="1"/>
    <col min="11" max="11" style="46808" width="25.00390625" customWidth="1"/>
    <col min="12" max="12" style="46808" width="7.00390625" customWidth="1"/>
    <col min="13" max="13" style="46808" width="15.00390625" customWidth="1"/>
    <col min="14" max="14" style="46808" width="3.00390625" customWidth="1"/>
    <col min="15" max="15" style="46808" width="4.00390625" customWidth="1"/>
    <col min="16" max="16" style="46808" width="8.00390625" customWidth="1"/>
    <col min="17" max="17" style="46808" width="21.00390625" customWidth="1"/>
    <col min="18" max="18" style="46808" width="14.00390625" customWidth="1"/>
    <col min="19" max="20" style="46808" width="17.00390625" customWidth="1"/>
    <col min="21" max="21" style="46808" width="9.00390625" customWidth="1"/>
    <col min="22" max="22" style="46808" width="12.00390625" customWidth="1"/>
    <col min="23" max="23" style="46808" width="9.00390625" customWidth="1"/>
    <col min="24" max="24" style="46808" width="21.00390625" customWidth="1"/>
    <col min="25" max="25" style="46808" width="12.00390625" customWidth="1"/>
    <col min="26" max="26" style="46808" width="3.00390625" customWidth="1"/>
    <col min="27" max="27" style="46808" width="6.00390625" customWidth="1"/>
    <col min="28" max="28" style="46808" width="38.00390625" customWidth="1"/>
    <col min="29" max="29" style="46808" width="15.00390625" customWidth="1"/>
    <col min="30" max="30" style="46808" width="37.57421875" hidden="1" customWidth="1"/>
    <col min="31" max="31" style="46808" width="15.7109375" hidden="1" customWidth="1"/>
    <col min="32" max="34" style="46808" width="16.00390625" customWidth="1"/>
    <col min="35" max="37" style="46808" width="16.7109375" hidden="1" customWidth="1"/>
    <col min="38" max="58" style="46808" width="8.00390625" customWidth="1"/>
    <col min="59" max="59" style="46808" width="9.140625" hidden="1"/>
  </cols>
  <sheetData>
    <row s="46889" customFormat="1" customHeight="1" ht="10.5" hidden="1">
      <c r="A1" s="1407"/>
      <c r="B1" s="1407"/>
      <c r="C1" s="1407"/>
      <c r="E1" s="1049"/>
      <c r="H1" s="1672"/>
      <c r="L1" s="1640"/>
      <c r="M1" s="1640"/>
      <c r="AD1" s="1640"/>
      <c r="AH1" s="1659"/>
      <c r="AI1" s="1652"/>
      <c r="BG1" s="929" t="s">
        <v>14</v>
      </c>
    </row>
    <row customHeight="1" ht="10.5" hidden="1">
      <c r="BG2" s="1270">
        <v>0</v>
      </c>
    </row>
    <row s="46772" customFormat="1" customHeight="1" ht="10.5" hidden="1">
      <c r="A3" s="1407"/>
      <c r="B3" s="1407"/>
      <c r="C3" s="1407"/>
      <c r="D3" s="929"/>
      <c r="E3" s="874"/>
      <c r="H3" s="1668"/>
      <c r="L3" s="1638"/>
      <c r="M3" s="1638"/>
      <c r="AD3" s="1638"/>
      <c r="AH3" s="1657"/>
      <c r="AI3" s="1650"/>
      <c r="BG3" s="1271">
        <v>0</v>
      </c>
    </row>
    <row customHeight="1" ht="3">
      <c r="BG4" s="1270">
        <v>3</v>
      </c>
    </row>
    <row customHeight="1" ht="27.299999999999997">
      <c r="F5" s="2760" t="str">
        <f>IP_NAME_FORM</f>
        <v>Форма 7. Информация об инвестиционных программах организации водоотведения и отчетах об их исполнении</v>
      </c>
      <c r="G5" s="2760"/>
      <c r="H5" s="2760"/>
      <c r="I5" s="2760"/>
      <c r="J5" s="2760"/>
      <c r="K5" s="2760"/>
      <c r="L5" s="1647"/>
      <c r="M5" s="1647"/>
      <c r="AG5" s="1418"/>
      <c r="AH5" s="1660"/>
      <c r="BG5" s="1270">
        <v>26</v>
      </c>
    </row>
    <row customHeight="1" ht="10.5">
      <c r="F6" s="2688" t="str">
        <f>IF(org=0,"Не определено",org)</f>
        <v>КГУП "Примтеплоэнерго"</v>
      </c>
      <c r="G6" s="2688"/>
      <c r="H6" s="2688"/>
      <c r="I6" s="2688"/>
      <c r="J6" s="2688"/>
      <c r="K6" s="2688"/>
      <c r="L6" s="1648"/>
      <c r="M6" s="1648"/>
      <c r="BG6" s="1270">
        <v>10</v>
      </c>
    </row>
    <row customHeight="1" ht="11.549999999999999">
      <c r="E7" s="1420"/>
      <c r="F7" s="1431"/>
      <c r="G7" s="1431"/>
      <c r="H7" s="1696"/>
      <c r="I7" s="1431"/>
      <c r="J7" s="1431"/>
      <c r="K7" s="1433"/>
      <c r="L7" s="1645"/>
      <c r="M7" s="1645"/>
      <c r="N7" s="1431"/>
      <c r="O7" s="1431"/>
      <c r="P7" s="1431"/>
      <c r="Q7" s="1433"/>
      <c r="R7" s="1431"/>
      <c r="S7" s="1431"/>
      <c r="T7" s="1431"/>
      <c r="U7" s="1431"/>
      <c r="V7" s="1431"/>
      <c r="W7" s="1431"/>
      <c r="X7" s="1431"/>
      <c r="Y7" s="1431"/>
      <c r="Z7" s="1431"/>
      <c r="AA7" s="1431"/>
      <c r="AB7" s="1431"/>
      <c r="AC7" s="1432"/>
      <c r="AD7" s="1644"/>
      <c r="AE7" s="1432"/>
      <c r="AF7" s="1431"/>
      <c r="AG7" s="1431"/>
      <c r="AH7" s="1662"/>
      <c r="AI7" s="1655"/>
      <c r="AJ7" s="1431"/>
      <c r="AK7" s="1431"/>
      <c r="AL7" s="1422"/>
      <c r="AM7" s="1422"/>
      <c r="AN7" s="1422"/>
      <c r="AO7" s="1419"/>
      <c r="AP7" s="1419"/>
      <c r="AQ7" s="1419"/>
      <c r="AR7" s="1419"/>
      <c r="AS7" s="1419"/>
      <c r="AT7" s="1419"/>
      <c r="AU7" s="1419"/>
      <c r="AV7" s="1419"/>
      <c r="AW7" s="1419"/>
      <c r="AX7" s="1419"/>
      <c r="AY7" s="1419"/>
      <c r="AZ7" s="1419"/>
      <c r="BA7" s="1419"/>
      <c r="BB7" s="1419"/>
      <c r="BC7" s="1419"/>
      <c r="BD7" s="1419"/>
      <c r="BE7" s="1419"/>
      <c r="BF7" s="1419"/>
      <c r="BG7" s="1270">
        <v>11</v>
      </c>
    </row>
    <row customHeight="1" ht="10.5">
      <c r="E8" s="1420"/>
      <c r="F8" s="2927" t="s">
        <v>418</v>
      </c>
      <c r="G8" s="2928"/>
      <c r="H8" s="2928"/>
      <c r="I8" s="2928"/>
      <c r="J8" s="2928"/>
      <c r="K8" s="2928"/>
      <c r="L8" s="2928"/>
      <c r="M8" s="2928"/>
      <c r="N8" s="2928"/>
      <c r="O8" s="2928"/>
      <c r="P8" s="2928"/>
      <c r="Q8" s="2928"/>
      <c r="R8" s="2928"/>
      <c r="S8" s="2928"/>
      <c r="T8" s="2928"/>
      <c r="U8" s="2928"/>
      <c r="V8" s="2928"/>
      <c r="W8" s="2928"/>
      <c r="X8" s="2928"/>
      <c r="Y8" s="2928"/>
      <c r="Z8" s="2928"/>
      <c r="AA8" s="2928"/>
      <c r="AB8" s="2928"/>
      <c r="AC8" s="2928"/>
      <c r="AD8" s="2928"/>
      <c r="AE8" s="2928"/>
      <c r="AF8" s="2928"/>
      <c r="AG8" s="2928"/>
      <c r="AH8" s="2928"/>
      <c r="AI8" s="2928"/>
      <c r="AJ8" s="2928"/>
      <c r="AK8" s="2929"/>
      <c r="AL8" s="1421"/>
      <c r="AM8" s="1419"/>
      <c r="AN8" s="1419"/>
      <c r="AO8" s="1419"/>
      <c r="AP8" s="1419"/>
      <c r="AQ8" s="1419"/>
      <c r="AR8" s="1419"/>
      <c r="AS8" s="1419"/>
      <c r="AT8" s="1419"/>
      <c r="AU8" s="1419"/>
      <c r="AV8" s="1419"/>
      <c r="AW8" s="1419"/>
      <c r="AX8" s="1419"/>
      <c r="AY8" s="1419"/>
      <c r="AZ8" s="1419"/>
      <c r="BA8" s="1419"/>
      <c r="BB8" s="1419"/>
      <c r="BC8" s="1419"/>
      <c r="BD8" s="1419"/>
      <c r="BE8" s="1419"/>
      <c r="BF8" s="1419"/>
      <c r="BG8" s="1270">
        <v>10</v>
      </c>
    </row>
    <row customHeight="1" ht="24">
      <c r="A9" s="1417"/>
      <c r="B9" s="1417"/>
      <c r="C9" s="1417"/>
      <c r="E9" s="1420"/>
      <c r="F9" s="2920" t="s">
        <v>1102</v>
      </c>
      <c r="G9" s="2921" t="s">
        <v>1103</v>
      </c>
      <c r="H9" s="2922"/>
      <c r="I9" s="2639" t="s">
        <v>1104</v>
      </c>
      <c r="J9" s="2639"/>
      <c r="K9" s="2639" t="s">
        <v>1105</v>
      </c>
      <c r="L9" s="2639"/>
      <c r="M9" s="2639"/>
      <c r="N9" s="2639"/>
      <c r="O9" s="2639"/>
      <c r="P9" s="2639"/>
      <c r="Q9" s="2639"/>
      <c r="R9" s="2639"/>
      <c r="S9" s="2639"/>
      <c r="T9" s="2639"/>
      <c r="U9" s="2639"/>
      <c r="V9" s="2639"/>
      <c r="W9" s="2639"/>
      <c r="X9" s="2639"/>
      <c r="Y9" s="2639"/>
      <c r="Z9" s="2704" t="s">
        <v>1106</v>
      </c>
      <c r="AA9" s="2705"/>
      <c r="AB9" s="2639" t="s">
        <v>1107</v>
      </c>
      <c r="AC9" s="2639"/>
      <c r="AD9" s="2639"/>
      <c r="AE9" s="2639"/>
      <c r="AF9" s="2687" t="s">
        <v>1108</v>
      </c>
      <c r="AG9" s="2639" t="s">
        <v>1109</v>
      </c>
      <c r="AH9" s="2639"/>
      <c r="AI9" s="2687" t="s">
        <v>1110</v>
      </c>
      <c r="AJ9" s="2639" t="s">
        <v>1111</v>
      </c>
      <c r="AK9" s="2639"/>
      <c r="AL9" s="1654"/>
      <c r="AM9" s="1419"/>
      <c r="AN9" s="1419"/>
      <c r="AO9" s="1419"/>
      <c r="AP9" s="1419"/>
      <c r="AQ9" s="1419"/>
      <c r="AR9" s="1419"/>
      <c r="AS9" s="1419"/>
      <c r="AT9" s="1419"/>
      <c r="AU9" s="1419"/>
      <c r="AV9" s="1419"/>
      <c r="AW9" s="1419"/>
      <c r="AX9" s="1419"/>
      <c r="AY9" s="1419"/>
      <c r="AZ9" s="1419"/>
      <c r="BA9" s="1419"/>
      <c r="BB9" s="1419"/>
      <c r="BC9" s="1419"/>
      <c r="BD9" s="1419"/>
      <c r="BE9" s="1419"/>
      <c r="BF9" s="1419"/>
      <c r="BG9" s="1270">
        <v>23</v>
      </c>
    </row>
    <row customHeight="1" ht="25.2">
      <c r="A10" s="1417"/>
      <c r="B10" s="1417"/>
      <c r="C10" s="1417"/>
      <c r="E10" s="1424"/>
      <c r="F10" s="2920"/>
      <c r="G10" s="2923"/>
      <c r="H10" s="2924"/>
      <c r="I10" s="2639"/>
      <c r="J10" s="2639"/>
      <c r="K10" s="2639" t="s">
        <v>1112</v>
      </c>
      <c r="L10" s="2613" t="s">
        <v>1113</v>
      </c>
      <c r="M10" s="2615"/>
      <c r="N10" s="2639" t="s">
        <v>1114</v>
      </c>
      <c r="O10" s="2639"/>
      <c r="P10" s="2639"/>
      <c r="Q10" s="2639"/>
      <c r="R10" s="2639"/>
      <c r="S10" s="2639"/>
      <c r="T10" s="2639"/>
      <c r="U10" s="2639"/>
      <c r="V10" s="2639"/>
      <c r="W10" s="2639"/>
      <c r="X10" s="2639"/>
      <c r="Y10" s="2639"/>
      <c r="Z10" s="2706"/>
      <c r="AA10" s="2707"/>
      <c r="AB10" s="2639"/>
      <c r="AC10" s="2639"/>
      <c r="AD10" s="2639"/>
      <c r="AE10" s="2639"/>
      <c r="AF10" s="2711"/>
      <c r="AG10" s="2639"/>
      <c r="AH10" s="2639"/>
      <c r="AI10" s="2711"/>
      <c r="AJ10" s="2639"/>
      <c r="AK10" s="2639"/>
      <c r="AL10" s="1654"/>
      <c r="AM10" s="1425"/>
      <c r="AN10" s="1425"/>
      <c r="AO10" s="1425"/>
      <c r="AP10" s="1425"/>
      <c r="AQ10" s="1425"/>
      <c r="AR10" s="1425"/>
      <c r="AS10" s="1425"/>
      <c r="AT10" s="1425"/>
      <c r="AU10" s="1425"/>
      <c r="AV10" s="1425"/>
      <c r="AW10" s="1425"/>
      <c r="AX10" s="1425"/>
      <c r="AY10" s="1425"/>
      <c r="AZ10" s="1425"/>
      <c r="BA10" s="1425"/>
      <c r="BB10" s="1425"/>
      <c r="BC10" s="1425"/>
      <c r="BD10" s="1425"/>
      <c r="BE10" s="1425"/>
      <c r="BF10" s="1425"/>
      <c r="BG10" s="1270">
        <v>24</v>
      </c>
    </row>
    <row s="46808" customFormat="1" customHeight="1" ht="25.2">
      <c r="A11" s="1641"/>
      <c r="B11" s="1641"/>
      <c r="C11" s="1641"/>
      <c r="D11" s="1640"/>
      <c r="E11" s="1642"/>
      <c r="F11" s="2920"/>
      <c r="G11" s="2923"/>
      <c r="H11" s="2924"/>
      <c r="I11" s="2639"/>
      <c r="J11" s="2639"/>
      <c r="K11" s="2639"/>
      <c r="L11" s="2687" t="s">
        <v>1115</v>
      </c>
      <c r="M11" s="2687" t="s">
        <v>1116</v>
      </c>
      <c r="N11" s="2639" t="s">
        <v>1117</v>
      </c>
      <c r="O11" s="2639"/>
      <c r="P11" s="2930" t="s">
        <v>1098</v>
      </c>
      <c r="Q11" s="2930" t="s">
        <v>1118</v>
      </c>
      <c r="R11" s="2930" t="s">
        <v>1119</v>
      </c>
      <c r="S11" s="2930" t="s">
        <v>1120</v>
      </c>
      <c r="T11" s="2930"/>
      <c r="U11" s="2930"/>
      <c r="V11" s="2930"/>
      <c r="W11" s="2930"/>
      <c r="X11" s="2930"/>
      <c r="Y11" s="2930"/>
      <c r="Z11" s="2706"/>
      <c r="AA11" s="2707"/>
      <c r="AB11" s="2639" t="s">
        <v>1121</v>
      </c>
      <c r="AC11" s="2639"/>
      <c r="AD11" s="2613" t="s">
        <v>1122</v>
      </c>
      <c r="AE11" s="2615"/>
      <c r="AF11" s="2711"/>
      <c r="AG11" s="2639"/>
      <c r="AH11" s="2639"/>
      <c r="AI11" s="2711"/>
      <c r="AJ11" s="2639"/>
      <c r="AK11" s="2639"/>
      <c r="AL11" s="1654"/>
      <c r="AM11" s="1639"/>
      <c r="AN11" s="1639"/>
      <c r="AO11" s="1639"/>
      <c r="AP11" s="1639"/>
      <c r="AQ11" s="1639"/>
      <c r="AR11" s="1639"/>
      <c r="AS11" s="1639"/>
      <c r="AT11" s="1639"/>
      <c r="AU11" s="1639"/>
      <c r="AV11" s="1639"/>
      <c r="AW11" s="1639"/>
      <c r="AX11" s="1639"/>
      <c r="AY11" s="1639"/>
      <c r="AZ11" s="1639"/>
      <c r="BA11" s="1639"/>
      <c r="BB11" s="1639"/>
      <c r="BC11" s="1639"/>
      <c r="BD11" s="1639"/>
      <c r="BE11" s="1639"/>
      <c r="BF11" s="1639"/>
      <c r="BG11" s="1637">
        <v>24</v>
      </c>
    </row>
    <row customHeight="1" ht="35.699999999999996">
      <c r="A12" s="1417"/>
      <c r="B12" s="1417"/>
      <c r="C12" s="1417"/>
      <c r="E12" s="1420"/>
      <c r="F12" s="2920"/>
      <c r="G12" s="2925"/>
      <c r="H12" s="2926"/>
      <c r="I12" s="1665" t="s">
        <v>91</v>
      </c>
      <c r="J12" s="1665" t="s">
        <v>1123</v>
      </c>
      <c r="K12" s="2639"/>
      <c r="L12" s="2744"/>
      <c r="M12" s="2744"/>
      <c r="N12" s="2639"/>
      <c r="O12" s="2639"/>
      <c r="P12" s="2930"/>
      <c r="Q12" s="2930"/>
      <c r="R12" s="2930"/>
      <c r="S12" s="1646" t="s">
        <v>88</v>
      </c>
      <c r="T12" s="1646" t="s">
        <v>89</v>
      </c>
      <c r="U12" s="1646" t="s">
        <v>87</v>
      </c>
      <c r="V12" s="1646" t="s">
        <v>1124</v>
      </c>
      <c r="W12" s="1646" t="s">
        <v>87</v>
      </c>
      <c r="X12" s="1646" t="s">
        <v>1125</v>
      </c>
      <c r="Y12" s="1646" t="s">
        <v>1126</v>
      </c>
      <c r="Z12" s="2712"/>
      <c r="AA12" s="2713"/>
      <c r="AB12" s="1653" t="s">
        <v>1127</v>
      </c>
      <c r="AC12" s="1653" t="s">
        <v>1128</v>
      </c>
      <c r="AD12" s="1653" t="s">
        <v>1127</v>
      </c>
      <c r="AE12" s="1653" t="s">
        <v>1128</v>
      </c>
      <c r="AF12" s="2744"/>
      <c r="AG12" s="1666" t="s">
        <v>1129</v>
      </c>
      <c r="AH12" s="1666" t="s">
        <v>1130</v>
      </c>
      <c r="AI12" s="2744"/>
      <c r="AJ12" s="1666" t="s">
        <v>1129</v>
      </c>
      <c r="AK12" s="1666" t="s">
        <v>1130</v>
      </c>
      <c r="AL12" s="1654"/>
      <c r="AM12" s="1419"/>
      <c r="AN12" s="1419"/>
      <c r="AO12" s="1419"/>
      <c r="AP12" s="1419"/>
      <c r="AQ12" s="1419"/>
      <c r="AR12" s="1419"/>
      <c r="AS12" s="1419"/>
      <c r="AT12" s="1419"/>
      <c r="AU12" s="1419"/>
      <c r="AV12" s="1419"/>
      <c r="AW12" s="1419"/>
      <c r="AX12" s="1419"/>
      <c r="AY12" s="1419"/>
      <c r="AZ12" s="1419"/>
      <c r="BA12" s="1419"/>
      <c r="BB12" s="1419"/>
      <c r="BC12" s="1419"/>
      <c r="BD12" s="1419"/>
      <c r="BE12" s="1419"/>
      <c r="BF12" s="1419"/>
      <c r="BG12" s="1270">
        <v>34</v>
      </c>
    </row>
    <row customHeight="1" ht="1.05">
      <c r="E13" s="1420"/>
      <c r="F13" s="1636">
        <v>0</v>
      </c>
      <c r="G13" s="1636"/>
      <c r="H13" s="1636"/>
      <c r="I13" s="1636"/>
      <c r="J13" s="1636"/>
      <c r="K13" s="1643"/>
      <c r="L13" s="1643"/>
      <c r="M13" s="1643"/>
      <c r="N13" s="1643"/>
      <c r="O13" s="1643"/>
      <c r="P13" s="1643"/>
      <c r="Q13" s="1643"/>
      <c r="R13" s="1643"/>
      <c r="S13" s="1643"/>
      <c r="T13" s="1643"/>
      <c r="U13" s="1643"/>
      <c r="V13" s="1643"/>
      <c r="W13" s="1643"/>
      <c r="X13" s="1643"/>
      <c r="Y13" s="1643"/>
      <c r="Z13" s="1643"/>
      <c r="AA13" s="1643"/>
      <c r="AB13" s="1643"/>
      <c r="AC13" s="1643"/>
      <c r="AD13" s="1643"/>
      <c r="AE13" s="1643"/>
      <c r="AF13" s="1643"/>
      <c r="AG13" s="1643"/>
      <c r="AH13" s="1661"/>
      <c r="AI13" s="1654"/>
      <c r="AJ13" s="1643"/>
      <c r="AK13" s="1643"/>
      <c r="AL13" s="1421"/>
      <c r="AM13" s="1419"/>
      <c r="AN13" s="1419"/>
      <c r="AO13" s="1419"/>
      <c r="AP13" s="1419"/>
      <c r="AQ13" s="1419"/>
      <c r="AR13" s="1419"/>
      <c r="AS13" s="1419"/>
      <c r="AT13" s="1419"/>
      <c r="AU13" s="1419"/>
      <c r="AV13" s="1419"/>
      <c r="AW13" s="1419"/>
      <c r="AX13" s="1419"/>
      <c r="AY13" s="1419"/>
      <c r="AZ13" s="1419"/>
      <c r="BA13" s="1419"/>
      <c r="BB13" s="1419"/>
      <c r="BC13" s="1419"/>
      <c r="BD13" s="1419"/>
      <c r="BE13" s="1419"/>
      <c r="BF13" s="1419"/>
      <c r="BG13" s="1270">
        <v>1</v>
      </c>
    </row>
    <row customHeight="1" ht="10.5">
      <c r="E14" s="1419"/>
      <c r="F14" s="1430"/>
      <c r="G14" s="1430"/>
      <c r="H14" s="1684"/>
      <c r="I14" s="1430"/>
      <c r="J14" s="1430"/>
      <c r="K14" s="1430"/>
      <c r="L14" s="1643"/>
      <c r="M14" s="1643"/>
      <c r="N14" s="1430"/>
      <c r="O14" s="1430"/>
      <c r="P14" s="1430"/>
      <c r="Q14" s="1430"/>
      <c r="R14" s="1430"/>
      <c r="S14" s="1430"/>
      <c r="T14" s="1430"/>
      <c r="U14" s="1430"/>
      <c r="V14" s="1430"/>
      <c r="W14" s="1430"/>
      <c r="X14" s="1430"/>
      <c r="Y14" s="1430"/>
      <c r="Z14" s="1430"/>
      <c r="AA14" s="1430"/>
      <c r="AB14" s="1430"/>
      <c r="AC14" s="1430"/>
      <c r="AD14" s="1643"/>
      <c r="AE14" s="1430"/>
      <c r="AF14" s="1430"/>
      <c r="AG14" s="1430"/>
      <c r="AH14" s="1661"/>
      <c r="AI14" s="1654"/>
      <c r="AJ14" s="1430"/>
      <c r="AK14" s="1430"/>
      <c r="AL14" s="1419"/>
      <c r="AM14" s="1419"/>
      <c r="AN14" s="1419"/>
      <c r="AO14" s="1419"/>
      <c r="AP14" s="1419"/>
      <c r="AQ14" s="1419"/>
      <c r="AR14" s="1419"/>
      <c r="AS14" s="1419"/>
      <c r="AT14" s="1419"/>
      <c r="AU14" s="1419"/>
      <c r="AV14" s="1419"/>
      <c r="AW14" s="1419"/>
      <c r="AX14" s="1419"/>
      <c r="AY14" s="1419"/>
      <c r="AZ14" s="1419"/>
      <c r="BA14" s="1419"/>
      <c r="BB14" s="1419"/>
      <c r="BC14" s="1419"/>
      <c r="BD14" s="1419"/>
      <c r="BE14" s="1419"/>
      <c r="BF14" s="1419"/>
      <c r="BG14" s="1270">
        <v>10</v>
      </c>
    </row>
    <row customHeight="1" ht="13.5">
      <c r="E15" s="1419"/>
      <c r="F15" s="1426" t="s">
        <v>1131</v>
      </c>
      <c r="G15" s="1426"/>
      <c r="H15" s="1683"/>
      <c r="I15" s="1426"/>
      <c r="J15" s="1426"/>
      <c r="K15" s="1423"/>
      <c r="L15" s="1639"/>
      <c r="M15" s="1639"/>
      <c r="N15" s="1425"/>
      <c r="O15" s="1425"/>
      <c r="P15" s="1425"/>
      <c r="Q15" s="1425"/>
      <c r="R15" s="1425"/>
      <c r="S15" s="1425"/>
      <c r="T15" s="1425"/>
      <c r="U15" s="1425"/>
      <c r="V15" s="1425"/>
      <c r="W15" s="1425"/>
      <c r="X15" s="1425"/>
      <c r="Y15" s="1425"/>
      <c r="Z15" s="1423"/>
      <c r="AA15" s="1423"/>
      <c r="AB15" s="1423"/>
      <c r="AC15" s="1423"/>
      <c r="AD15" s="1639"/>
      <c r="AE15" s="1423"/>
      <c r="AF15" s="1423"/>
      <c r="AG15" s="1423"/>
      <c r="AH15" s="1658"/>
      <c r="AI15" s="1651"/>
      <c r="AJ15" s="1423"/>
      <c r="AK15" s="1423"/>
      <c r="AL15" s="1419"/>
      <c r="AM15" s="1419"/>
      <c r="AN15" s="1419"/>
      <c r="AO15" s="1419"/>
      <c r="AP15" s="1419"/>
      <c r="AQ15" s="1419"/>
      <c r="AR15" s="1419"/>
      <c r="AS15" s="1419"/>
      <c r="AT15" s="1419"/>
      <c r="AU15" s="1419"/>
      <c r="AV15" s="1419"/>
      <c r="AW15" s="1419"/>
      <c r="AX15" s="1419"/>
      <c r="AY15" s="1419"/>
      <c r="AZ15" s="1419"/>
      <c r="BA15" s="1419"/>
      <c r="BB15" s="1419"/>
      <c r="BC15" s="1419"/>
      <c r="BD15" s="1419"/>
      <c r="BE15" s="1419"/>
      <c r="BF15" s="1419"/>
      <c r="BG15" s="1270">
        <v>13</v>
      </c>
    </row>
    <row customHeight="1" ht="10.5">
      <c r="BG16" s="1270">
        <v>10</v>
      </c>
    </row>
    <row customHeight="1" ht="10.5">
      <c r="E17" s="1419"/>
      <c r="F17" s="2919"/>
      <c r="G17" s="2919"/>
      <c r="H17" s="2919"/>
      <c r="I17" s="2919"/>
      <c r="J17" s="2919"/>
      <c r="K17" s="1423"/>
      <c r="L17" s="1639"/>
      <c r="M17" s="1639"/>
      <c r="N17" s="1425"/>
      <c r="O17" s="1425"/>
      <c r="P17" s="1425"/>
      <c r="Q17" s="1425"/>
      <c r="R17" s="1425"/>
      <c r="S17" s="1425"/>
      <c r="T17" s="1425"/>
      <c r="U17" s="1425"/>
      <c r="V17" s="1425"/>
      <c r="W17" s="1425"/>
      <c r="X17" s="1425"/>
      <c r="Y17" s="1425"/>
      <c r="Z17" s="1423"/>
      <c r="AA17" s="1423"/>
      <c r="AB17" s="1423"/>
      <c r="AC17" s="1423"/>
      <c r="AD17" s="1639"/>
      <c r="AE17" s="1423"/>
      <c r="AF17" s="1423"/>
      <c r="AG17" s="1423"/>
      <c r="AH17" s="1658"/>
      <c r="AI17" s="1651"/>
      <c r="AJ17" s="1423"/>
      <c r="AK17" s="1423"/>
      <c r="AL17" s="1419"/>
      <c r="AM17" s="1419"/>
      <c r="AN17" s="1419"/>
      <c r="AO17" s="1419"/>
      <c r="AP17" s="1419"/>
      <c r="AQ17" s="1419"/>
      <c r="AR17" s="1419"/>
      <c r="AS17" s="1419"/>
      <c r="AT17" s="1419"/>
      <c r="AU17" s="1419"/>
      <c r="AV17" s="1419"/>
      <c r="AW17" s="1419"/>
      <c r="AX17" s="1419"/>
      <c r="AY17" s="1419"/>
      <c r="AZ17" s="1419"/>
      <c r="BA17" s="1419"/>
      <c r="BB17" s="1419"/>
      <c r="BC17" s="1419"/>
      <c r="BD17" s="1419"/>
      <c r="BE17" s="1419"/>
      <c r="BF17" s="1419"/>
      <c r="BG17" s="1270">
        <v>10</v>
      </c>
    </row>
    <row customHeight="1" ht="10.5">
      <c r="E18" s="1419"/>
      <c r="F18" s="2919"/>
      <c r="G18" s="2919"/>
      <c r="H18" s="2919"/>
      <c r="I18" s="2919"/>
      <c r="J18" s="2919"/>
      <c r="K18" s="1423"/>
      <c r="L18" s="1639"/>
      <c r="M18" s="1639"/>
      <c r="N18" s="1425"/>
      <c r="O18" s="1425"/>
      <c r="P18" s="1425"/>
      <c r="Q18" s="1425"/>
      <c r="R18" s="1425"/>
      <c r="S18" s="1425"/>
      <c r="T18" s="1425"/>
      <c r="U18" s="1425"/>
      <c r="V18" s="1425"/>
      <c r="W18" s="1425"/>
      <c r="X18" s="1425"/>
      <c r="Y18" s="1425"/>
      <c r="Z18" s="1423"/>
      <c r="AA18" s="1423"/>
      <c r="AB18" s="1423"/>
      <c r="AC18" s="1423"/>
      <c r="AD18" s="1639"/>
      <c r="AE18" s="1423"/>
      <c r="AF18" s="1423"/>
      <c r="AG18" s="1423"/>
      <c r="AH18" s="1658"/>
      <c r="AI18" s="1651"/>
      <c r="AJ18" s="1423"/>
      <c r="AK18" s="1423"/>
      <c r="AL18" s="1419"/>
      <c r="AM18" s="1419"/>
      <c r="AN18" s="1419"/>
      <c r="AO18" s="1419"/>
      <c r="AP18" s="1419"/>
      <c r="AQ18" s="1419"/>
      <c r="AR18" s="1419"/>
      <c r="AS18" s="1419"/>
      <c r="AT18" s="1419"/>
      <c r="AU18" s="1419"/>
      <c r="AV18" s="1419"/>
      <c r="AW18" s="1419"/>
      <c r="AX18" s="1419"/>
      <c r="AY18" s="1419"/>
      <c r="AZ18" s="1419"/>
      <c r="BA18" s="1419"/>
      <c r="BB18" s="1419"/>
      <c r="BC18" s="1419"/>
      <c r="BD18" s="1419"/>
      <c r="BE18" s="1419"/>
      <c r="BF18" s="1419"/>
      <c r="BG18" s="1270">
        <v>10</v>
      </c>
    </row>
    <row customHeight="1" ht="10.5">
      <c r="E19" s="1419"/>
      <c r="F19" s="2919"/>
      <c r="G19" s="2919"/>
      <c r="H19" s="2919"/>
      <c r="I19" s="2919"/>
      <c r="J19" s="2919"/>
      <c r="K19" s="1423"/>
      <c r="L19" s="1639"/>
      <c r="M19" s="1639"/>
      <c r="N19" s="1425"/>
      <c r="O19" s="1425"/>
      <c r="P19" s="1425"/>
      <c r="Q19" s="1425"/>
      <c r="R19" s="1425"/>
      <c r="S19" s="1425"/>
      <c r="T19" s="1425"/>
      <c r="U19" s="1425"/>
      <c r="V19" s="1425"/>
      <c r="W19" s="1425"/>
      <c r="X19" s="1425"/>
      <c r="Y19" s="1425"/>
      <c r="Z19" s="1423"/>
      <c r="AA19" s="1423"/>
      <c r="AB19" s="1423"/>
      <c r="AC19" s="1423"/>
      <c r="AD19" s="1639"/>
      <c r="AE19" s="1423"/>
      <c r="AF19" s="1423"/>
      <c r="AG19" s="1423"/>
      <c r="AH19" s="1658"/>
      <c r="AI19" s="1651"/>
      <c r="AJ19" s="1423"/>
      <c r="AK19" s="1423"/>
      <c r="AL19" s="1419"/>
      <c r="AM19" s="1419"/>
      <c r="AN19" s="1419"/>
      <c r="AO19" s="1419"/>
      <c r="AP19" s="1419"/>
      <c r="AQ19" s="1419"/>
      <c r="AR19" s="1419"/>
      <c r="AS19" s="1419"/>
      <c r="AT19" s="1419"/>
      <c r="AU19" s="1419"/>
      <c r="AV19" s="1419"/>
      <c r="AW19" s="1419"/>
      <c r="AX19" s="1419"/>
      <c r="AY19" s="1419"/>
      <c r="AZ19" s="1419"/>
      <c r="BA19" s="1419"/>
      <c r="BB19" s="1419"/>
      <c r="BC19" s="1419"/>
      <c r="BD19" s="1419"/>
      <c r="BE19" s="1419"/>
      <c r="BF19" s="1419"/>
      <c r="BG19" s="1270">
        <v>10</v>
      </c>
    </row>
    <row customHeight="1" ht="10.5" hidden="1">
      <c r="A20" s="1407" t="s">
        <v>84</v>
      </c>
      <c r="B20" s="1407">
        <v>0</v>
      </c>
      <c r="C20" s="1407">
        <v>0</v>
      </c>
      <c r="D20" s="929">
        <v>0</v>
      </c>
      <c r="E20" s="1021">
        <v>3</v>
      </c>
      <c r="F20" s="1270">
        <v>14</v>
      </c>
      <c r="G20" s="1270">
        <v>3</v>
      </c>
      <c r="H20" s="1667">
        <v>7</v>
      </c>
      <c r="I20" s="1270">
        <v>16</v>
      </c>
      <c r="J20" s="1270">
        <v>16</v>
      </c>
      <c r="K20" s="1270">
        <v>25</v>
      </c>
      <c r="L20" s="1637">
        <v>7</v>
      </c>
      <c r="M20" s="1637">
        <v>15</v>
      </c>
      <c r="N20" s="1270">
        <v>3</v>
      </c>
      <c r="O20" s="1270">
        <v>4</v>
      </c>
      <c r="P20" s="1270">
        <v>8</v>
      </c>
      <c r="Q20" s="1270">
        <v>21</v>
      </c>
      <c r="R20" s="1270">
        <v>14</v>
      </c>
      <c r="S20" s="1270">
        <v>17</v>
      </c>
      <c r="T20" s="1270">
        <v>17</v>
      </c>
      <c r="U20" s="1270">
        <v>9</v>
      </c>
      <c r="V20" s="1270">
        <v>12</v>
      </c>
      <c r="W20" s="1270">
        <v>9</v>
      </c>
      <c r="X20" s="1270">
        <v>21</v>
      </c>
      <c r="Y20" s="1270">
        <v>12</v>
      </c>
      <c r="Z20" s="1270">
        <v>3</v>
      </c>
      <c r="AA20" s="1270">
        <v>6</v>
      </c>
      <c r="AB20" s="1270">
        <v>38</v>
      </c>
      <c r="AC20" s="1270">
        <v>15</v>
      </c>
      <c r="AD20" s="1637">
        <v>0</v>
      </c>
      <c r="AE20" s="1270">
        <v>0</v>
      </c>
      <c r="AF20" s="1270">
        <v>16</v>
      </c>
      <c r="AG20" s="1270">
        <v>16</v>
      </c>
      <c r="AH20" s="1656">
        <v>16</v>
      </c>
      <c r="AI20" s="1649">
        <v>0</v>
      </c>
      <c r="AJ20" s="1270">
        <v>0</v>
      </c>
      <c r="AK20" s="1270">
        <v>0</v>
      </c>
      <c r="AL20" s="1270">
        <v>8</v>
      </c>
      <c r="AM20" s="1270">
        <v>8</v>
      </c>
      <c r="AN20" s="1270">
        <v>8</v>
      </c>
      <c r="AO20" s="1270">
        <v>8</v>
      </c>
      <c r="AP20" s="1270">
        <v>8</v>
      </c>
      <c r="AQ20" s="1270">
        <v>8</v>
      </c>
      <c r="AR20" s="1270">
        <v>8</v>
      </c>
      <c r="AS20" s="1270">
        <v>8</v>
      </c>
      <c r="AT20" s="1270">
        <v>8</v>
      </c>
      <c r="AU20" s="1270">
        <v>8</v>
      </c>
      <c r="AV20" s="1270">
        <v>8</v>
      </c>
      <c r="AW20" s="1270">
        <v>8</v>
      </c>
      <c r="AX20" s="1270">
        <v>8</v>
      </c>
      <c r="AY20" s="1270">
        <v>8</v>
      </c>
      <c r="AZ20" s="1270">
        <v>8</v>
      </c>
      <c r="BA20" s="1270">
        <v>8</v>
      </c>
      <c r="BB20" s="1270">
        <v>8</v>
      </c>
      <c r="BC20" s="1270">
        <v>8</v>
      </c>
      <c r="BD20" s="1270">
        <v>8</v>
      </c>
      <c r="BE20" s="1270">
        <v>8</v>
      </c>
      <c r="BF20" s="1270">
        <v>8</v>
      </c>
      <c r="BG20" s="1270">
        <v>10</v>
      </c>
    </row>
  </sheetData>
  <sheetProtection formatColumns="0" formatRows="0" autoFilter="0" sort="0" insertRows="0" insertColumns="1" deleteRows="0" deleteColumns="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52CEAD9-C929-448B-4927-B7C69CDA42D3}" mc:Ignorable="x14ac xr xr2 xr3">
  <sheetPr>
    <tabColor theme="9" tint="-0.25"/>
  </sheetPr>
  <dimension ref="A1:W59"/>
  <sheetViews>
    <sheetView topLeftCell="A1" showGridLines="0" zoomScale="85" workbookViewId="0">
      <selection activeCell="A1" sqref="A1"/>
    </sheetView>
  </sheetViews>
  <sheetFormatPr defaultColWidth="9.140625" customHeight="1" defaultRowHeight="10.5"/>
  <cols>
    <col min="1" max="3" style="54907" width="4.140625" hidden="1" customWidth="1"/>
    <col min="4" max="4" style="46889" width="4.140625" hidden="1" customWidth="1"/>
    <col min="5" max="5" style="46808" width="3.00390625" customWidth="1"/>
    <col min="6" max="6" style="46808" width="6.00390625" customWidth="1"/>
    <col min="7" max="7" style="46808" width="60.00390625" customWidth="1"/>
    <col min="8" max="9" style="46808" width="21.7109375" hidden="1" customWidth="1"/>
    <col min="10" max="10" style="46808" width="0.140625" customWidth="1"/>
    <col min="11" max="11" style="46808" width="1.00390625" customWidth="1"/>
    <col min="12" max="22" style="46808" width="8.00390625" customWidth="1"/>
    <col min="23" max="23" style="46808" width="9.140625" hidden="1"/>
  </cols>
  <sheetData>
    <row s="46889" customFormat="1" customHeight="1" ht="10.5" hidden="1">
      <c r="A1" s="1678"/>
      <c r="B1" s="1678"/>
      <c r="C1" s="1678"/>
      <c r="E1" s="1049"/>
      <c r="W1" s="1672" t="s">
        <v>14</v>
      </c>
    </row>
    <row customHeight="1" ht="10.5" hidden="1">
      <c r="W2" s="1667">
        <v>0</v>
      </c>
    </row>
    <row s="46772" customFormat="1" customHeight="1" ht="10.5" hidden="1">
      <c r="A3" s="1678"/>
      <c r="B3" s="1678"/>
      <c r="C3" s="1678"/>
      <c r="D3" s="1672"/>
      <c r="E3" s="874"/>
      <c r="W3" s="1668">
        <v>0</v>
      </c>
    </row>
    <row customHeight="1" ht="3">
      <c r="W4" s="1667">
        <v>3</v>
      </c>
    </row>
    <row customHeight="1" ht="27.299999999999997">
      <c r="F5" s="2760" t="str">
        <f>IP_NAME_FORM&amp;"
Финансовый план"</f>
        <v>Форма 7. Информация об инвестиционных программах организации водоотведения и отчетах об их исполнении
Финансовый план</v>
      </c>
      <c r="G5" s="2760"/>
      <c r="H5" s="2760"/>
      <c r="I5" s="2760"/>
      <c r="J5" s="2760"/>
      <c r="W5" s="1667">
        <v>26</v>
      </c>
    </row>
    <row customHeight="1" ht="10.5">
      <c r="F6" s="2688" t="str">
        <f>IF(org=0,"Не определено",org)</f>
        <v>КГУП "Примтеплоэнерго"</v>
      </c>
      <c r="G6" s="2688"/>
      <c r="H6" s="2688"/>
      <c r="I6" s="2688"/>
      <c r="J6" s="2688"/>
      <c r="W6" s="1667">
        <v>10</v>
      </c>
    </row>
    <row customHeight="1" ht="11.549999999999999">
      <c r="E7" s="1682"/>
      <c r="F7" s="1739"/>
      <c r="G7" s="1739"/>
      <c r="H7" s="1739"/>
      <c r="I7" s="1739"/>
      <c r="J7" s="1739"/>
      <c r="K7" s="1669"/>
      <c r="L7" s="1669"/>
      <c r="M7" s="1669"/>
      <c r="N7" s="1669"/>
      <c r="O7" s="1669"/>
      <c r="P7" s="1669"/>
      <c r="Q7" s="1669"/>
      <c r="R7" s="1669"/>
      <c r="S7" s="1669"/>
      <c r="T7" s="1669"/>
      <c r="U7" s="1669"/>
      <c r="V7" s="1669"/>
      <c r="W7" s="1667">
        <v>11</v>
      </c>
    </row>
    <row s="46890" customFormat="1" customHeight="1" ht="4.2">
      <c r="A8" s="1679"/>
      <c r="B8" s="1679"/>
      <c r="C8" s="1679"/>
      <c r="E8" s="1740"/>
      <c r="F8" s="1741"/>
      <c r="G8" s="1741"/>
      <c r="H8" s="1741"/>
      <c r="I8" s="1741"/>
      <c r="J8" s="1741"/>
      <c r="K8" s="1740"/>
      <c r="L8" s="1740"/>
      <c r="M8" s="1740"/>
      <c r="N8" s="1740"/>
      <c r="O8" s="1740"/>
      <c r="P8" s="1740"/>
      <c r="Q8" s="1740"/>
      <c r="R8" s="1740"/>
      <c r="S8" s="1740"/>
      <c r="T8" s="1740"/>
      <c r="U8" s="1740"/>
      <c r="V8" s="1740"/>
      <c r="W8" s="1023">
        <v>4</v>
      </c>
    </row>
    <row customHeight="1" ht="10.5">
      <c r="E9" s="1682"/>
      <c r="F9" s="2931" t="s">
        <v>418</v>
      </c>
      <c r="G9" s="2932"/>
      <c r="H9" s="2932"/>
      <c r="I9" s="2932"/>
      <c r="J9" s="2932"/>
      <c r="K9" s="1752"/>
      <c r="L9" s="1669"/>
      <c r="M9" s="1669"/>
      <c r="N9" s="1669"/>
      <c r="O9" s="1669"/>
      <c r="P9" s="1669"/>
      <c r="Q9" s="1669"/>
      <c r="R9" s="1669"/>
      <c r="S9" s="1669"/>
      <c r="T9" s="1669"/>
      <c r="U9" s="1669"/>
      <c r="V9" s="1669"/>
      <c r="W9" s="1667">
        <v>10</v>
      </c>
    </row>
    <row customHeight="1" ht="25.2">
      <c r="E10" s="1669"/>
      <c r="F10" s="2935" t="s">
        <v>90</v>
      </c>
      <c r="G10" s="2940" t="s">
        <v>1132</v>
      </c>
      <c r="H10" s="2938" t="s">
        <v>1133</v>
      </c>
      <c r="I10" s="2938"/>
      <c r="J10" s="2938"/>
      <c r="K10" s="1745"/>
      <c r="L10" s="1669"/>
      <c r="M10" s="1669"/>
      <c r="N10" s="1669"/>
      <c r="O10" s="1669"/>
      <c r="P10" s="1669"/>
      <c r="Q10" s="1669"/>
      <c r="R10" s="1669"/>
      <c r="S10" s="1669"/>
      <c r="T10" s="1669"/>
      <c r="U10" s="1669"/>
      <c r="V10" s="1669"/>
      <c r="W10" s="1667">
        <v>24</v>
      </c>
    </row>
    <row customHeight="1" ht="25.5">
      <c r="E11" s="1669"/>
      <c r="F11" s="2936"/>
      <c r="G11" s="2940"/>
      <c r="H11" s="2939">
        <f>INDEX(IP_MAIN_LIST_NAME_IP,MATCH(H8,IP_MAIN_LIST_IP_ID,0))&amp;" ("&amp;INDEX(IP_MAIN_START_DATE,MATCH(H8,IP_MAIN_LIST_IP_ID,0))&amp;"-"&amp;INDEX(IP_MAIN_END_DATE,MATCH(H8,IP_MAIN_LIST_IP_ID,0))&amp;")"</f>
      </c>
      <c r="I11" s="2939"/>
      <c r="J11" s="2939"/>
      <c r="K11" s="1745"/>
      <c r="L11" s="1669"/>
      <c r="M11" s="1669"/>
      <c r="N11" s="1669"/>
      <c r="O11" s="1669"/>
      <c r="P11" s="1669"/>
      <c r="Q11" s="1669"/>
      <c r="R11" s="1669"/>
      <c r="S11" s="1669"/>
      <c r="T11" s="1669"/>
      <c r="U11" s="1669"/>
      <c r="V11" s="1669"/>
      <c r="W11" s="1667">
        <v>24</v>
      </c>
    </row>
    <row customHeight="1" ht="10.5">
      <c r="F12" s="2937"/>
      <c r="G12" s="2940"/>
      <c r="H12" s="1738" t="s">
        <v>1134</v>
      </c>
      <c r="I12" s="1744"/>
      <c r="J12" s="1738"/>
      <c r="K12" s="1746"/>
      <c r="W12" s="1667">
        <v>10</v>
      </c>
    </row>
    <row customHeight="1" ht="10.5" hidden="1">
      <c r="F13" s="1738">
        <v>1</v>
      </c>
      <c r="G13" s="1738">
        <v>2</v>
      </c>
      <c r="H13" s="1738">
        <v>3</v>
      </c>
      <c r="I13" s="1738">
        <v>4</v>
      </c>
      <c r="J13" s="1738">
        <v>5</v>
      </c>
      <c r="K13" s="1746"/>
      <c r="W13" s="1667">
        <v>0</v>
      </c>
    </row>
    <row customHeight="1" ht="11.549999999999999">
      <c r="F14" s="1737" t="s">
        <v>1135</v>
      </c>
      <c r="G14" s="2933" t="s">
        <v>1136</v>
      </c>
      <c r="H14" s="2933"/>
      <c r="I14" s="2933"/>
      <c r="J14" s="2933"/>
      <c r="K14" s="1746"/>
      <c r="W14" s="1667">
        <v>11</v>
      </c>
    </row>
    <row customHeight="1" ht="11.549999999999999">
      <c r="F15" s="1742">
        <v>1</v>
      </c>
      <c r="G15" s="1202" t="s">
        <v>1137</v>
      </c>
      <c r="H15" s="1748">
        <f>SUM(I15:J15)</f>
        <v>0</v>
      </c>
      <c r="I15" s="1748">
        <f>SUM(I16:I27)</f>
        <v>0</v>
      </c>
      <c r="J15" s="1737"/>
      <c r="K15" s="1746"/>
      <c r="W15" s="1667">
        <v>11</v>
      </c>
    </row>
    <row customHeight="1" ht="24">
      <c r="F16" s="1742" t="s">
        <v>1138</v>
      </c>
      <c r="G16" s="1749" t="s">
        <v>1139</v>
      </c>
      <c r="H16" s="1748">
        <f>SUM(I16:J16)</f>
        <v>0</v>
      </c>
      <c r="I16" s="1747"/>
      <c r="J16" s="1737"/>
      <c r="K16" s="1746"/>
      <c r="W16" s="1667">
        <v>23</v>
      </c>
    </row>
    <row customHeight="1" ht="24">
      <c r="F17" s="1742" t="s">
        <v>1140</v>
      </c>
      <c r="G17" s="1749" t="s">
        <v>1141</v>
      </c>
      <c r="H17" s="1748">
        <f>SUM(I17:J17)</f>
        <v>0</v>
      </c>
      <c r="I17" s="1747"/>
      <c r="J17" s="1737"/>
      <c r="K17" s="1746"/>
      <c r="W17" s="1667">
        <v>23</v>
      </c>
    </row>
    <row customHeight="1" ht="35.699999999999996">
      <c r="F18" s="1742" t="s">
        <v>1142</v>
      </c>
      <c r="G18" s="1749" t="s">
        <v>1143</v>
      </c>
      <c r="H18" s="1748">
        <f>SUM(I18:J18)</f>
        <v>0</v>
      </c>
      <c r="I18" s="1747"/>
      <c r="J18" s="1737"/>
      <c r="K18" s="1746"/>
      <c r="W18" s="1667">
        <v>34</v>
      </c>
    </row>
    <row customHeight="1" ht="35.699999999999996">
      <c r="F19" s="1742" t="s">
        <v>1144</v>
      </c>
      <c r="G19" s="1749" t="s">
        <v>1145</v>
      </c>
      <c r="H19" s="1748">
        <f>SUM(I19:J19)</f>
        <v>0</v>
      </c>
      <c r="I19" s="1747"/>
      <c r="J19" s="1737"/>
      <c r="K19" s="1746"/>
      <c r="W19" s="1667">
        <v>34</v>
      </c>
    </row>
    <row customHeight="1" ht="48.29999999999999">
      <c r="F20" s="1742" t="s">
        <v>1146</v>
      </c>
      <c r="G20" s="1749" t="s">
        <v>1147</v>
      </c>
      <c r="H20" s="1748">
        <f>SUM(I20:J20)</f>
        <v>0</v>
      </c>
      <c r="I20" s="1747"/>
      <c r="J20" s="1737"/>
      <c r="K20" s="1746"/>
      <c r="W20" s="1667">
        <v>46</v>
      </c>
    </row>
    <row customHeight="1" ht="35.699999999999996">
      <c r="F21" s="1742" t="s">
        <v>1148</v>
      </c>
      <c r="G21" s="1749" t="s">
        <v>1149</v>
      </c>
      <c r="H21" s="1748">
        <f>SUM(I21:J21)</f>
        <v>0</v>
      </c>
      <c r="I21" s="1747"/>
      <c r="J21" s="1737"/>
      <c r="K21" s="1746"/>
      <c r="W21" s="1667">
        <v>34</v>
      </c>
    </row>
    <row customHeight="1" ht="35.699999999999996">
      <c r="F22" s="1742" t="s">
        <v>1150</v>
      </c>
      <c r="G22" s="1749" t="s">
        <v>1151</v>
      </c>
      <c r="H22" s="1748">
        <f>SUM(I22:J22)</f>
        <v>0</v>
      </c>
      <c r="I22" s="1747"/>
      <c r="J22" s="1737"/>
      <c r="K22" s="1746"/>
      <c r="W22" s="1667">
        <v>34</v>
      </c>
    </row>
    <row customHeight="1" ht="24">
      <c r="F23" s="1742" t="s">
        <v>1152</v>
      </c>
      <c r="G23" s="1749" t="s">
        <v>1153</v>
      </c>
      <c r="H23" s="1748">
        <f>SUM(I23:J23)</f>
        <v>0</v>
      </c>
      <c r="I23" s="1747"/>
      <c r="J23" s="1737"/>
      <c r="K23" s="1746"/>
      <c r="W23" s="1667">
        <v>23</v>
      </c>
    </row>
    <row customHeight="1" ht="24">
      <c r="F24" s="1742" t="s">
        <v>1154</v>
      </c>
      <c r="G24" s="1749" t="s">
        <v>1155</v>
      </c>
      <c r="H24" s="1748">
        <f>SUM(I24:J24)</f>
        <v>0</v>
      </c>
      <c r="I24" s="1747"/>
      <c r="J24" s="1737"/>
      <c r="K24" s="1746"/>
      <c r="W24" s="1667">
        <v>23</v>
      </c>
    </row>
    <row customHeight="1" ht="35.699999999999996">
      <c r="F25" s="1742" t="s">
        <v>1156</v>
      </c>
      <c r="G25" s="1749" t="s">
        <v>1157</v>
      </c>
      <c r="H25" s="1748">
        <f>SUM(I25:J25)</f>
        <v>0</v>
      </c>
      <c r="I25" s="1747"/>
      <c r="J25" s="1737"/>
      <c r="K25" s="1746"/>
      <c r="W25" s="1667">
        <v>34</v>
      </c>
    </row>
    <row customHeight="1" ht="35.699999999999996">
      <c r="F26" s="1742" t="s">
        <v>1158</v>
      </c>
      <c r="G26" s="1749" t="s">
        <v>1159</v>
      </c>
      <c r="H26" s="1748">
        <f>SUM(I26:J26)</f>
        <v>0</v>
      </c>
      <c r="I26" s="1747"/>
      <c r="J26" s="1737"/>
      <c r="K26" s="1746"/>
      <c r="W26" s="1667">
        <v>34</v>
      </c>
    </row>
    <row customHeight="1" ht="11.549999999999999">
      <c r="F27" s="1742" t="s">
        <v>1160</v>
      </c>
      <c r="G27" s="1749" t="s">
        <v>1161</v>
      </c>
      <c r="H27" s="1748">
        <f>SUM(I27:J27)</f>
        <v>0</v>
      </c>
      <c r="I27" s="1747"/>
      <c r="J27" s="1737"/>
      <c r="K27" s="1746"/>
      <c r="W27" s="1667">
        <v>11</v>
      </c>
    </row>
    <row customHeight="1" ht="11.549999999999999">
      <c r="F28" s="1742">
        <v>2</v>
      </c>
      <c r="G28" s="1202" t="s">
        <v>1162</v>
      </c>
      <c r="H28" s="1748">
        <f>SUM(I28:J28)</f>
        <v>0</v>
      </c>
      <c r="I28" s="1748">
        <f>SUM(I29:I31)</f>
        <v>0</v>
      </c>
      <c r="J28" s="1737"/>
      <c r="K28" s="1746"/>
      <c r="W28" s="1667">
        <v>11</v>
      </c>
    </row>
    <row customHeight="1" ht="11.549999999999999">
      <c r="F29" s="1742" t="s">
        <v>825</v>
      </c>
      <c r="G29" s="1749" t="s">
        <v>1163</v>
      </c>
      <c r="H29" s="1748">
        <f>SUM(I29:J29)</f>
        <v>0</v>
      </c>
      <c r="I29" s="1747"/>
      <c r="J29" s="1737"/>
      <c r="K29" s="1746"/>
      <c r="W29" s="1667">
        <v>11</v>
      </c>
    </row>
    <row customHeight="1" ht="11.549999999999999">
      <c r="F30" s="1742" t="s">
        <v>425</v>
      </c>
      <c r="G30" s="1749" t="s">
        <v>1164</v>
      </c>
      <c r="H30" s="1748">
        <f>SUM(I30:J30)</f>
        <v>0</v>
      </c>
      <c r="I30" s="1747"/>
      <c r="J30" s="1737"/>
      <c r="K30" s="1746"/>
      <c r="W30" s="1667">
        <v>11</v>
      </c>
    </row>
    <row customHeight="1" ht="11.549999999999999">
      <c r="F31" s="1742" t="s">
        <v>428</v>
      </c>
      <c r="G31" s="1749" t="s">
        <v>1165</v>
      </c>
      <c r="H31" s="1748">
        <f>SUM(I31:J31)</f>
        <v>0</v>
      </c>
      <c r="I31" s="1747"/>
      <c r="J31" s="1737"/>
      <c r="K31" s="1746"/>
      <c r="W31" s="1667">
        <v>11</v>
      </c>
    </row>
    <row customHeight="1" ht="11.549999999999999">
      <c r="F32" s="1742">
        <v>3</v>
      </c>
      <c r="G32" s="1202" t="s">
        <v>1166</v>
      </c>
      <c r="H32" s="1748">
        <f>SUM(I32:J32)</f>
        <v>0</v>
      </c>
      <c r="I32" s="1748">
        <f>SUM(I33:I34)</f>
        <v>0</v>
      </c>
      <c r="J32" s="1737"/>
      <c r="K32" s="1746"/>
      <c r="W32" s="1667">
        <v>11</v>
      </c>
    </row>
    <row customHeight="1" ht="48.29999999999999">
      <c r="F33" s="1742" t="s">
        <v>442</v>
      </c>
      <c r="G33" s="1749" t="s">
        <v>1167</v>
      </c>
      <c r="H33" s="1748">
        <f>SUM(I33:J33)</f>
        <v>0</v>
      </c>
      <c r="I33" s="1747"/>
      <c r="J33" s="1737"/>
      <c r="K33" s="1746"/>
      <c r="W33" s="1667">
        <v>46</v>
      </c>
    </row>
    <row customHeight="1" ht="11.549999999999999">
      <c r="F34" s="1742" t="s">
        <v>450</v>
      </c>
      <c r="G34" s="1749" t="s">
        <v>1168</v>
      </c>
      <c r="H34" s="1748">
        <f>SUM(I34:J34)</f>
        <v>0</v>
      </c>
      <c r="I34" s="1747"/>
      <c r="J34" s="1737"/>
      <c r="K34" s="1746"/>
      <c r="W34" s="1667">
        <v>11</v>
      </c>
    </row>
    <row customHeight="1" ht="11.549999999999999">
      <c r="F35" s="1742">
        <v>4</v>
      </c>
      <c r="G35" s="1202" t="s">
        <v>1169</v>
      </c>
      <c r="H35" s="1748">
        <f>SUM(I35:J35)</f>
        <v>0</v>
      </c>
      <c r="I35" s="1747"/>
      <c r="J35" s="1737"/>
      <c r="K35" s="1746"/>
      <c r="W35" s="1667">
        <v>11</v>
      </c>
    </row>
    <row customHeight="1" ht="11.549999999999999">
      <c r="F36" s="1742"/>
      <c r="G36" s="1205" t="s">
        <v>1170</v>
      </c>
      <c r="H36" s="1748">
        <f>SUM(I36:J36)</f>
        <v>0</v>
      </c>
      <c r="I36" s="1748">
        <f>SUM(I15,I28,I32,I35)</f>
        <v>0</v>
      </c>
      <c r="J36" s="1737"/>
      <c r="K36" s="1746"/>
      <c r="W36" s="1667">
        <v>11</v>
      </c>
    </row>
    <row customHeight="1" ht="29.25">
      <c r="F37" s="1743" t="s">
        <v>1171</v>
      </c>
      <c r="G37" s="2934" t="s">
        <v>1172</v>
      </c>
      <c r="H37" s="2934"/>
      <c r="I37" s="2934"/>
      <c r="J37" s="2934"/>
      <c r="K37" s="1746"/>
      <c r="W37" s="1667">
        <v>28</v>
      </c>
    </row>
    <row customHeight="1" ht="24">
      <c r="F38" s="1742" t="s">
        <v>101</v>
      </c>
      <c r="G38" s="1202" t="s">
        <v>1173</v>
      </c>
      <c r="H38" s="1748">
        <f>SUM(I38:J38)</f>
        <v>0</v>
      </c>
      <c r="I38" s="1748">
        <f>SUM(I39,I44,I47)</f>
        <v>0</v>
      </c>
      <c r="J38" s="1737"/>
      <c r="K38" s="1746"/>
      <c r="W38" s="1667">
        <v>23</v>
      </c>
    </row>
    <row customHeight="1" ht="11.549999999999999">
      <c r="F39" s="1742" t="s">
        <v>1138</v>
      </c>
      <c r="G39" s="1749" t="s">
        <v>1137</v>
      </c>
      <c r="H39" s="1748">
        <f>SUM(I39:J39)</f>
        <v>0</v>
      </c>
      <c r="I39" s="1748">
        <f>SUM(I40:I43)</f>
        <v>0</v>
      </c>
      <c r="J39" s="1737"/>
      <c r="K39" s="1746"/>
      <c r="W39" s="1667">
        <v>11</v>
      </c>
    </row>
    <row customHeight="1" ht="24">
      <c r="F40" s="1742" t="s">
        <v>1174</v>
      </c>
      <c r="G40" s="1750" t="s">
        <v>1175</v>
      </c>
      <c r="H40" s="1748">
        <f>SUM(I40:J40)</f>
        <v>0</v>
      </c>
      <c r="I40" s="1747"/>
      <c r="J40" s="1737"/>
      <c r="K40" s="1746"/>
      <c r="W40" s="1667">
        <v>23</v>
      </c>
    </row>
    <row customHeight="1" ht="11.549999999999999">
      <c r="F41" s="1742" t="s">
        <v>1176</v>
      </c>
      <c r="G41" s="1750" t="s">
        <v>1177</v>
      </c>
      <c r="H41" s="1748">
        <f>SUM(I41:J41)</f>
        <v>0</v>
      </c>
      <c r="I41" s="1747"/>
      <c r="J41" s="1737"/>
      <c r="K41" s="1746"/>
      <c r="W41" s="1667">
        <v>11</v>
      </c>
    </row>
    <row customHeight="1" ht="11.549999999999999">
      <c r="F42" s="1742" t="s">
        <v>1178</v>
      </c>
      <c r="G42" s="1750" t="s">
        <v>1179</v>
      </c>
      <c r="H42" s="1748">
        <f>SUM(I42:J42)</f>
        <v>0</v>
      </c>
      <c r="I42" s="1747"/>
      <c r="J42" s="1737"/>
      <c r="K42" s="1746"/>
      <c r="W42" s="1667">
        <v>11</v>
      </c>
    </row>
    <row customHeight="1" ht="35.699999999999996">
      <c r="F43" s="1742" t="s">
        <v>1180</v>
      </c>
      <c r="G43" s="1750" t="s">
        <v>1181</v>
      </c>
      <c r="H43" s="1748">
        <f>SUM(I43:J43)</f>
        <v>0</v>
      </c>
      <c r="I43" s="1747"/>
      <c r="J43" s="1737"/>
      <c r="K43" s="1746"/>
      <c r="W43" s="1667">
        <v>34</v>
      </c>
    </row>
    <row customHeight="1" ht="11.549999999999999">
      <c r="F44" s="1742" t="s">
        <v>1140</v>
      </c>
      <c r="G44" s="1749" t="s">
        <v>1166</v>
      </c>
      <c r="H44" s="1748">
        <f>SUM(I44:J44)</f>
        <v>0</v>
      </c>
      <c r="I44" s="1748">
        <f>SUM(I45:I46)</f>
        <v>0</v>
      </c>
      <c r="J44" s="1737"/>
      <c r="K44" s="1746"/>
      <c r="W44" s="1667">
        <v>11</v>
      </c>
    </row>
    <row customHeight="1" ht="48.29999999999999">
      <c r="F45" s="1742" t="s">
        <v>1182</v>
      </c>
      <c r="G45" s="1750" t="s">
        <v>1167</v>
      </c>
      <c r="H45" s="1748">
        <f>SUM(I45:J45)</f>
        <v>0</v>
      </c>
      <c r="I45" s="1747"/>
      <c r="J45" s="1737"/>
      <c r="K45" s="1746"/>
      <c r="W45" s="1667">
        <v>46</v>
      </c>
    </row>
    <row customHeight="1" ht="11.549999999999999">
      <c r="F46" s="1742" t="s">
        <v>1183</v>
      </c>
      <c r="G46" s="1750" t="s">
        <v>1168</v>
      </c>
      <c r="H46" s="1748">
        <f>SUM(I46:J46)</f>
        <v>0</v>
      </c>
      <c r="I46" s="1747"/>
      <c r="J46" s="1737"/>
      <c r="K46" s="1746"/>
      <c r="W46" s="1667">
        <v>11</v>
      </c>
    </row>
    <row customHeight="1" ht="11.549999999999999">
      <c r="F47" s="1742" t="s">
        <v>1142</v>
      </c>
      <c r="G47" s="1749" t="s">
        <v>1184</v>
      </c>
      <c r="H47" s="1748">
        <f>SUM(I47:J47)</f>
        <v>0</v>
      </c>
      <c r="I47" s="1747"/>
      <c r="J47" s="1737"/>
      <c r="K47" s="1746"/>
      <c r="W47" s="1667">
        <v>11</v>
      </c>
    </row>
    <row customHeight="1" ht="24">
      <c r="F48" s="1742" t="s">
        <v>105</v>
      </c>
      <c r="G48" s="1202" t="s">
        <v>1185</v>
      </c>
      <c r="H48" s="1748">
        <f>SUM(I48:J48)</f>
        <v>0</v>
      </c>
      <c r="I48" s="1748">
        <f>SUM(I49,I54,I57)</f>
        <v>0</v>
      </c>
      <c r="J48" s="1737"/>
      <c r="K48" s="1746"/>
      <c r="W48" s="1667">
        <v>23</v>
      </c>
    </row>
    <row customHeight="1" ht="11.549999999999999">
      <c r="F49" s="1742" t="s">
        <v>825</v>
      </c>
      <c r="G49" s="1749" t="s">
        <v>1137</v>
      </c>
      <c r="H49" s="1748">
        <f>SUM(I49:J49)</f>
        <v>0</v>
      </c>
      <c r="I49" s="1748">
        <f>SUM(I50:I53)</f>
        <v>0</v>
      </c>
      <c r="J49" s="1737"/>
      <c r="K49" s="1746"/>
      <c r="W49" s="1667">
        <v>11</v>
      </c>
    </row>
    <row customHeight="1" ht="24">
      <c r="F50" s="1742" t="s">
        <v>828</v>
      </c>
      <c r="G50" s="1750" t="s">
        <v>1175</v>
      </c>
      <c r="H50" s="1748">
        <f>SUM(I50:J50)</f>
        <v>0</v>
      </c>
      <c r="I50" s="1747"/>
      <c r="J50" s="1737"/>
      <c r="K50" s="1746"/>
      <c r="W50" s="1667">
        <v>23</v>
      </c>
    </row>
    <row customHeight="1" ht="11.549999999999999">
      <c r="F51" s="1742" t="s">
        <v>831</v>
      </c>
      <c r="G51" s="1750" t="s">
        <v>1177</v>
      </c>
      <c r="H51" s="1748">
        <f>SUM(I51:J51)</f>
        <v>0</v>
      </c>
      <c r="I51" s="1747"/>
      <c r="J51" s="1737"/>
      <c r="K51" s="1746"/>
      <c r="W51" s="1667">
        <v>11</v>
      </c>
    </row>
    <row customHeight="1" ht="11.549999999999999">
      <c r="F52" s="1742" t="s">
        <v>1186</v>
      </c>
      <c r="G52" s="1750" t="s">
        <v>1179</v>
      </c>
      <c r="H52" s="1748">
        <f>SUM(I52:J52)</f>
        <v>0</v>
      </c>
      <c r="I52" s="1747"/>
      <c r="J52" s="1737"/>
      <c r="K52" s="1746"/>
      <c r="W52" s="1667">
        <v>11</v>
      </c>
    </row>
    <row customHeight="1" ht="35.699999999999996">
      <c r="F53" s="1742" t="s">
        <v>1187</v>
      </c>
      <c r="G53" s="1750" t="s">
        <v>1181</v>
      </c>
      <c r="H53" s="1748">
        <f>SUM(I53:J53)</f>
        <v>0</v>
      </c>
      <c r="I53" s="1747"/>
      <c r="J53" s="1737"/>
      <c r="K53" s="1746"/>
      <c r="W53" s="1667">
        <v>34</v>
      </c>
    </row>
    <row customHeight="1" ht="11.549999999999999">
      <c r="F54" s="1742" t="s">
        <v>425</v>
      </c>
      <c r="G54" s="1749" t="s">
        <v>1166</v>
      </c>
      <c r="H54" s="1748">
        <f>SUM(I54:J54)</f>
        <v>0</v>
      </c>
      <c r="I54" s="1748">
        <f>SUM(I55:I56)</f>
        <v>0</v>
      </c>
      <c r="J54" s="1737"/>
      <c r="K54" s="1746"/>
      <c r="W54" s="1667">
        <v>11</v>
      </c>
    </row>
    <row customHeight="1" ht="48.29999999999999">
      <c r="F55" s="1742" t="s">
        <v>835</v>
      </c>
      <c r="G55" s="1750" t="s">
        <v>1167</v>
      </c>
      <c r="H55" s="1748">
        <f>SUM(I55:J55)</f>
        <v>0</v>
      </c>
      <c r="I55" s="1747"/>
      <c r="J55" s="1737"/>
      <c r="K55" s="1746"/>
      <c r="W55" s="1667">
        <v>46</v>
      </c>
    </row>
    <row customHeight="1" ht="11.549999999999999">
      <c r="F56" s="1742" t="s">
        <v>837</v>
      </c>
      <c r="G56" s="1750" t="s">
        <v>1168</v>
      </c>
      <c r="H56" s="1748">
        <f>SUM(I56:J56)</f>
        <v>0</v>
      </c>
      <c r="I56" s="1747"/>
      <c r="J56" s="1737"/>
      <c r="K56" s="1746"/>
      <c r="W56" s="1667">
        <v>11</v>
      </c>
    </row>
    <row customHeight="1" ht="11.549999999999999">
      <c r="F57" s="1742" t="s">
        <v>428</v>
      </c>
      <c r="G57" s="1749" t="s">
        <v>1184</v>
      </c>
      <c r="H57" s="1748">
        <f>SUM(I57:J57)</f>
        <v>0</v>
      </c>
      <c r="I57" s="1747"/>
      <c r="J57" s="1737"/>
      <c r="K57" s="1746"/>
      <c r="W57" s="1667">
        <v>11</v>
      </c>
    </row>
    <row customHeight="1" ht="11.549999999999999">
      <c r="F58" s="1742"/>
      <c r="G58" s="1751" t="s">
        <v>1170</v>
      </c>
      <c r="H58" s="1748">
        <f>SUM(I58:J58)</f>
        <v>0</v>
      </c>
      <c r="I58" s="1748">
        <f>SUM(I38,I48)</f>
        <v>0</v>
      </c>
      <c r="J58" s="1737"/>
      <c r="K58" s="1746"/>
      <c r="W58" s="1667">
        <v>11</v>
      </c>
    </row>
    <row customHeight="1" ht="10.5" hidden="1">
      <c r="A59" s="1678" t="s">
        <v>84</v>
      </c>
      <c r="B59" s="1678">
        <v>0</v>
      </c>
      <c r="C59" s="1678">
        <v>0</v>
      </c>
      <c r="D59" s="1672">
        <v>0</v>
      </c>
      <c r="E59" s="1021">
        <v>3</v>
      </c>
      <c r="F59" s="1667">
        <v>6</v>
      </c>
      <c r="G59" s="1667">
        <v>60</v>
      </c>
      <c r="H59" s="1667">
        <v>0</v>
      </c>
      <c r="I59" s="1667">
        <v>0</v>
      </c>
      <c r="J59" s="1667">
        <v>0</v>
      </c>
      <c r="K59" s="1667">
        <v>1</v>
      </c>
      <c r="L59" s="1667">
        <v>8</v>
      </c>
      <c r="M59" s="1667">
        <v>8</v>
      </c>
      <c r="N59" s="1667">
        <v>8</v>
      </c>
      <c r="O59" s="1667">
        <v>8</v>
      </c>
      <c r="P59" s="1667">
        <v>8</v>
      </c>
      <c r="Q59" s="1667">
        <v>8</v>
      </c>
      <c r="R59" s="1667">
        <v>8</v>
      </c>
      <c r="S59" s="1667">
        <v>8</v>
      </c>
      <c r="T59" s="1667">
        <v>8</v>
      </c>
      <c r="U59" s="1667">
        <v>8</v>
      </c>
      <c r="V59" s="1667">
        <v>8</v>
      </c>
      <c r="W59" s="1667">
        <v>10</v>
      </c>
    </row>
  </sheetData>
  <sheetProtection formatColumns="0" formatRows="0" autoFilter="0" sort="0" insertRows="0" insertColumns="1" deleteRows="0" deleteColumns="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58D579C-986F-2532-2585-B6E9BAF319C9}" mc:Ignorable="x14ac xr xr2 xr3">
  <sheetPr>
    <tabColor theme="9" tint="-0.25"/>
  </sheetPr>
  <dimension ref="A1:GC25"/>
  <sheetViews>
    <sheetView topLeftCell="A1" showGridLines="0" zoomScale="90" workbookViewId="0">
      <selection activeCell="A1" sqref="A1"/>
    </sheetView>
  </sheetViews>
  <sheetFormatPr defaultColWidth="9.140625" customHeight="1" defaultRowHeight="12"/>
  <cols>
    <col min="1" max="1" style="55111" width="4.7109375" hidden="1" customWidth="1"/>
    <col min="2" max="2" style="55117" width="4.7109375" hidden="1" customWidth="1"/>
    <col min="3" max="4" style="55111" width="4.7109375" hidden="1" customWidth="1"/>
    <col min="5" max="5" style="55111" width="3.00390625" customWidth="1"/>
    <col min="6" max="6" style="55111" width="6.00390625" customWidth="1"/>
    <col min="7" max="7" style="55111" width="18.00390625" customWidth="1"/>
    <col min="8" max="8" style="55111" width="27.00390625" customWidth="1"/>
    <col min="9" max="9" style="55111" width="18.00390625" customWidth="1"/>
    <col min="10" max="14" style="55111" width="0.8515625" hidden="1" customWidth="1"/>
    <col min="15" max="28" style="55111" width="21.7109375" hidden="1" customWidth="1"/>
    <col min="29" max="71" style="55111" width="0.8515625" hidden="1" customWidth="1"/>
    <col min="72" max="79" style="55111" width="21.7109375" hidden="1" customWidth="1"/>
    <col min="80" max="81" style="55111" width="29.140625" hidden="1" customWidth="1"/>
    <col min="82" max="89" style="55111" width="21.7109375" hidden="1" customWidth="1"/>
    <col min="90" max="102" style="55111" width="0.7109375" hidden="1" customWidth="1"/>
    <col min="103" max="114" style="55111" width="21.7109375" customWidth="1"/>
    <col min="115" max="128" style="55111" width="0.7109375" customWidth="1"/>
    <col min="129" max="178" style="55111" width="0.7109375" hidden="1" customWidth="1"/>
    <col min="179" max="179" style="55111" width="0.140625" customWidth="1"/>
    <col min="180" max="184" style="55111" width="8.00390625" customWidth="1"/>
    <col min="185" max="185" style="55111" width="9.140625" hidden="1"/>
  </cols>
  <sheetData>
    <row s="55041" customFormat="1" customHeight="1" ht="12" hidden="1">
      <c r="B1" s="1435"/>
      <c r="C1" s="1436"/>
      <c r="D1" s="1436"/>
      <c r="GC1" s="1434" t="s">
        <v>14</v>
      </c>
    </row>
    <row s="55041" customFormat="1" customHeight="1" ht="12" hidden="1">
      <c r="B2" s="1435"/>
      <c r="C2" s="1436"/>
      <c r="D2" s="1436"/>
      <c r="E2" s="1436"/>
      <c r="F2" s="1436"/>
      <c r="G2" s="1436"/>
      <c r="H2" s="1436"/>
      <c r="I2" s="1436"/>
      <c r="J2" s="1436"/>
      <c r="K2" s="1436"/>
      <c r="L2" s="1436"/>
      <c r="M2" s="1436"/>
      <c r="N2" s="1436"/>
      <c r="O2" s="1436"/>
      <c r="P2" s="1436"/>
      <c r="Q2" s="1436"/>
      <c r="R2" s="1436"/>
      <c r="S2" s="1436"/>
      <c r="T2" s="1436"/>
      <c r="U2" s="1436"/>
      <c r="V2" s="1436"/>
      <c r="W2" s="1436"/>
      <c r="X2" s="1436"/>
      <c r="Y2" s="1436"/>
      <c r="Z2" s="1436"/>
      <c r="AA2" s="1436"/>
      <c r="AB2" s="1437"/>
      <c r="AC2" s="1436"/>
      <c r="AD2" s="1436"/>
      <c r="AE2" s="1436"/>
      <c r="AF2" s="1436"/>
      <c r="AG2" s="1436"/>
      <c r="AH2" s="1436"/>
      <c r="AI2" s="1436"/>
      <c r="AJ2" s="1436"/>
      <c r="AK2" s="1436"/>
      <c r="AL2" s="1436"/>
      <c r="AM2" s="1436"/>
      <c r="AN2" s="1436"/>
      <c r="AO2" s="1436"/>
      <c r="AP2" s="1436"/>
      <c r="AQ2" s="1436"/>
      <c r="AR2" s="1436"/>
      <c r="AS2" s="1436"/>
      <c r="AT2" s="1436"/>
      <c r="AU2" s="1436"/>
      <c r="AV2" s="1436"/>
      <c r="AW2" s="1436"/>
      <c r="AX2" s="1436"/>
      <c r="AY2" s="1436"/>
      <c r="AZ2" s="1436"/>
      <c r="BA2" s="1436"/>
      <c r="BB2" s="1436"/>
      <c r="BC2" s="1436"/>
      <c r="BD2" s="1436"/>
      <c r="BE2" s="1436"/>
      <c r="BF2" s="1436"/>
      <c r="BG2" s="1436"/>
      <c r="BH2" s="1436"/>
      <c r="BI2" s="1436"/>
      <c r="BJ2" s="1436"/>
      <c r="BK2" s="1436"/>
      <c r="BL2" s="1436"/>
      <c r="BM2" s="1436"/>
      <c r="BN2" s="1436"/>
      <c r="BO2" s="1436"/>
      <c r="BP2" s="1436"/>
      <c r="BQ2" s="1436"/>
      <c r="BR2" s="1436"/>
      <c r="BS2" s="1436"/>
      <c r="BT2" s="1436"/>
      <c r="BU2" s="1436"/>
      <c r="BV2" s="1436"/>
      <c r="BW2" s="1436"/>
      <c r="BX2" s="1436"/>
      <c r="BY2" s="1436"/>
      <c r="BZ2" s="1436"/>
      <c r="CA2" s="1436"/>
      <c r="CB2" s="1436"/>
      <c r="CC2" s="1436"/>
      <c r="CD2" s="1436"/>
      <c r="CE2" s="1436"/>
      <c r="CF2" s="1436"/>
      <c r="CG2" s="1436"/>
      <c r="CH2" s="1436"/>
      <c r="CI2" s="1436"/>
      <c r="CJ2" s="1436"/>
      <c r="CK2" s="1436"/>
      <c r="CL2" s="1436"/>
      <c r="CM2" s="1436"/>
      <c r="CN2" s="1436"/>
      <c r="CO2" s="1436"/>
      <c r="CP2" s="1436"/>
      <c r="CQ2" s="1436"/>
      <c r="CR2" s="1436"/>
      <c r="CS2" s="1436"/>
      <c r="CT2" s="1436"/>
      <c r="CU2" s="1436"/>
      <c r="CV2" s="1436"/>
      <c r="CW2" s="1436"/>
      <c r="CX2" s="1436"/>
      <c r="CY2" s="1436"/>
      <c r="CZ2" s="1436"/>
      <c r="DA2" s="1436"/>
      <c r="DB2" s="1436"/>
      <c r="DC2" s="1436"/>
      <c r="DD2" s="1436"/>
      <c r="DE2" s="1436"/>
      <c r="DF2" s="1436"/>
      <c r="DG2" s="1436"/>
      <c r="DH2" s="1436"/>
      <c r="DI2" s="1436"/>
      <c r="DJ2" s="1436"/>
      <c r="DK2" s="1436"/>
      <c r="DL2" s="1436"/>
      <c r="DM2" s="1436"/>
      <c r="DN2" s="1436"/>
      <c r="DO2" s="1436"/>
      <c r="DP2" s="1436"/>
      <c r="DQ2" s="1436"/>
      <c r="DR2" s="1436"/>
      <c r="DS2" s="1436"/>
      <c r="DT2" s="1436"/>
      <c r="DU2" s="1436"/>
      <c r="DV2" s="1436"/>
      <c r="DW2" s="1436"/>
      <c r="DX2" s="1436"/>
      <c r="DY2" s="1436"/>
      <c r="DZ2" s="1436"/>
      <c r="EA2" s="1436"/>
      <c r="EB2" s="1436"/>
      <c r="EC2" s="1436"/>
      <c r="ED2" s="1436"/>
      <c r="EE2" s="1436"/>
      <c r="EF2" s="1436"/>
      <c r="EG2" s="1436"/>
      <c r="EH2" s="1436"/>
      <c r="EI2" s="1436"/>
      <c r="EJ2" s="1436"/>
      <c r="EK2" s="1436"/>
      <c r="EL2" s="1436"/>
      <c r="EM2" s="1436"/>
      <c r="EN2" s="1436"/>
      <c r="EO2" s="1436"/>
      <c r="EP2" s="1436"/>
      <c r="EQ2" s="1436"/>
      <c r="ER2" s="1436"/>
      <c r="ES2" s="1436"/>
      <c r="ET2" s="1436"/>
      <c r="EU2" s="1436"/>
      <c r="EV2" s="1436"/>
      <c r="EW2" s="1436"/>
      <c r="EX2" s="1436"/>
      <c r="EY2" s="1436"/>
      <c r="EZ2" s="1436"/>
      <c r="FA2" s="1436"/>
      <c r="FB2" s="1436"/>
      <c r="FC2" s="1436"/>
      <c r="FD2" s="1436"/>
      <c r="FE2" s="1436"/>
      <c r="FF2" s="1436"/>
      <c r="FG2" s="1436"/>
      <c r="FH2" s="1436"/>
      <c r="FI2" s="1436"/>
      <c r="FJ2" s="1436"/>
      <c r="FK2" s="1436"/>
      <c r="FL2" s="1436"/>
      <c r="FM2" s="1436"/>
      <c r="FN2" s="1436"/>
      <c r="FO2" s="1436"/>
      <c r="FP2" s="1436"/>
      <c r="FQ2" s="1436"/>
      <c r="FR2" s="1436"/>
      <c r="FS2" s="1436"/>
      <c r="FT2" s="1436"/>
      <c r="FU2" s="1436"/>
      <c r="FV2" s="1436"/>
      <c r="FW2" s="1436"/>
      <c r="GC2" s="1434">
        <v>0</v>
      </c>
    </row>
    <row s="55041" customFormat="1" customHeight="1" ht="12" hidden="1">
      <c r="B3" s="1435"/>
      <c r="C3" s="1436"/>
      <c r="D3" s="1436"/>
      <c r="E3" s="1436"/>
      <c r="F3" s="1436"/>
      <c r="G3" s="1436"/>
      <c r="H3" s="1436"/>
      <c r="I3" s="1436"/>
      <c r="J3" s="1436"/>
      <c r="K3" s="1436"/>
      <c r="L3" s="1436"/>
      <c r="M3" s="1436"/>
      <c r="N3" s="1436"/>
      <c r="O3" s="1436"/>
      <c r="P3" s="1436"/>
      <c r="Q3" s="1436"/>
      <c r="R3" s="1436"/>
      <c r="S3" s="1436"/>
      <c r="T3" s="1436"/>
      <c r="U3" s="1436"/>
      <c r="V3" s="1436"/>
      <c r="W3" s="1436"/>
      <c r="X3" s="1436"/>
      <c r="Y3" s="1436"/>
      <c r="Z3" s="1436"/>
      <c r="AA3" s="1436"/>
      <c r="AB3" s="1437"/>
      <c r="AC3" s="1436"/>
      <c r="AD3" s="1436"/>
      <c r="AE3" s="1436"/>
      <c r="AF3" s="1436"/>
      <c r="AG3" s="1436"/>
      <c r="AH3" s="1436"/>
      <c r="AI3" s="1436"/>
      <c r="AJ3" s="1436"/>
      <c r="AK3" s="1436"/>
      <c r="AL3" s="1436"/>
      <c r="AM3" s="1436"/>
      <c r="AN3" s="1436"/>
      <c r="AO3" s="1436"/>
      <c r="AP3" s="1436"/>
      <c r="AQ3" s="1436"/>
      <c r="AR3" s="1436"/>
      <c r="AS3" s="1436"/>
      <c r="AT3" s="1436"/>
      <c r="AU3" s="1436"/>
      <c r="AV3" s="1436"/>
      <c r="AW3" s="1436"/>
      <c r="AX3" s="1436"/>
      <c r="AY3" s="1436"/>
      <c r="AZ3" s="1436"/>
      <c r="BA3" s="1436"/>
      <c r="BB3" s="1436"/>
      <c r="BC3" s="1436"/>
      <c r="BD3" s="1436"/>
      <c r="BE3" s="1436"/>
      <c r="BF3" s="1436"/>
      <c r="BG3" s="1436"/>
      <c r="BH3" s="1436"/>
      <c r="BI3" s="1436"/>
      <c r="BJ3" s="1436"/>
      <c r="BK3" s="1436"/>
      <c r="BL3" s="1436"/>
      <c r="BM3" s="1436"/>
      <c r="BN3" s="1436"/>
      <c r="BO3" s="1436"/>
      <c r="BP3" s="1436"/>
      <c r="BQ3" s="1436"/>
      <c r="BR3" s="1436"/>
      <c r="BS3" s="1436"/>
      <c r="BT3" s="1436"/>
      <c r="BU3" s="1436"/>
      <c r="BV3" s="1436"/>
      <c r="BW3" s="1436"/>
      <c r="BX3" s="1436"/>
      <c r="BY3" s="1436"/>
      <c r="BZ3" s="1436"/>
      <c r="CA3" s="1436"/>
      <c r="CB3" s="1436"/>
      <c r="CC3" s="1436"/>
      <c r="CD3" s="1436"/>
      <c r="CE3" s="1436"/>
      <c r="CF3" s="1436"/>
      <c r="CG3" s="1436"/>
      <c r="CH3" s="1436"/>
      <c r="CI3" s="1436"/>
      <c r="CJ3" s="1436"/>
      <c r="CK3" s="1436"/>
      <c r="CL3" s="1436"/>
      <c r="CM3" s="1436"/>
      <c r="CN3" s="1436"/>
      <c r="CO3" s="1436"/>
      <c r="CP3" s="1436"/>
      <c r="CQ3" s="1436"/>
      <c r="CR3" s="1436"/>
      <c r="CS3" s="1436"/>
      <c r="CT3" s="1436"/>
      <c r="CU3" s="1436"/>
      <c r="CV3" s="1436"/>
      <c r="CW3" s="1436"/>
      <c r="CX3" s="1436"/>
      <c r="CY3" s="1436"/>
      <c r="CZ3" s="1436"/>
      <c r="DA3" s="1436"/>
      <c r="DB3" s="1436"/>
      <c r="DC3" s="1436"/>
      <c r="DD3" s="1436"/>
      <c r="DE3" s="1436"/>
      <c r="DF3" s="1436"/>
      <c r="DG3" s="1436"/>
      <c r="DH3" s="1436"/>
      <c r="DI3" s="1436"/>
      <c r="DJ3" s="1436"/>
      <c r="DK3" s="1436"/>
      <c r="DL3" s="1436"/>
      <c r="DM3" s="1436"/>
      <c r="DN3" s="1436"/>
      <c r="DO3" s="1436"/>
      <c r="DP3" s="1436"/>
      <c r="DQ3" s="1436"/>
      <c r="DR3" s="1436"/>
      <c r="DS3" s="1436"/>
      <c r="DT3" s="1436"/>
      <c r="DU3" s="1436"/>
      <c r="DV3" s="1436"/>
      <c r="DW3" s="1436"/>
      <c r="DX3" s="1436"/>
      <c r="DY3" s="1436"/>
      <c r="DZ3" s="1436"/>
      <c r="EA3" s="1436"/>
      <c r="EB3" s="1436"/>
      <c r="EC3" s="1436"/>
      <c r="ED3" s="1436"/>
      <c r="EE3" s="1436"/>
      <c r="EF3" s="1436"/>
      <c r="EG3" s="1436"/>
      <c r="EH3" s="1436"/>
      <c r="EI3" s="1436"/>
      <c r="EJ3" s="1436"/>
      <c r="EK3" s="1436"/>
      <c r="EL3" s="1436"/>
      <c r="EM3" s="1436"/>
      <c r="EN3" s="1436"/>
      <c r="EO3" s="1436"/>
      <c r="EP3" s="1436"/>
      <c r="EQ3" s="1436"/>
      <c r="ER3" s="1436"/>
      <c r="ES3" s="1436"/>
      <c r="ET3" s="1436"/>
      <c r="EU3" s="1436"/>
      <c r="EV3" s="1436"/>
      <c r="EW3" s="1436"/>
      <c r="EX3" s="1436"/>
      <c r="EY3" s="1436"/>
      <c r="EZ3" s="1436"/>
      <c r="FA3" s="1436"/>
      <c r="FB3" s="1436"/>
      <c r="FC3" s="1436"/>
      <c r="FD3" s="1436"/>
      <c r="FE3" s="1436"/>
      <c r="FF3" s="1436"/>
      <c r="FG3" s="1436"/>
      <c r="FH3" s="1436"/>
      <c r="FI3" s="1436"/>
      <c r="FJ3" s="1436"/>
      <c r="FK3" s="1436"/>
      <c r="FL3" s="1436"/>
      <c r="FM3" s="1436"/>
      <c r="FN3" s="1436"/>
      <c r="FO3" s="1436"/>
      <c r="FP3" s="1436"/>
      <c r="FQ3" s="1436"/>
      <c r="FR3" s="1436"/>
      <c r="FS3" s="1436"/>
      <c r="FT3" s="1436"/>
      <c r="FU3" s="1436"/>
      <c r="FV3" s="1436"/>
      <c r="FW3" s="1436"/>
      <c r="GC3" s="1434">
        <v>0</v>
      </c>
    </row>
    <row customHeight="1" ht="10.5">
      <c r="B4" s="1439"/>
      <c r="C4" s="1440"/>
      <c r="D4" s="1440"/>
      <c r="E4" s="1440"/>
      <c r="F4" s="1440"/>
      <c r="G4" s="1440"/>
      <c r="H4" s="1441"/>
      <c r="I4" s="1441"/>
      <c r="J4" s="1441"/>
      <c r="K4" s="1441"/>
      <c r="L4" s="1441"/>
      <c r="M4" s="1442"/>
      <c r="N4" s="1442"/>
      <c r="O4" s="1442"/>
      <c r="P4" s="1442"/>
      <c r="Q4" s="1442"/>
      <c r="R4" s="1442"/>
      <c r="S4" s="1442"/>
      <c r="T4" s="1442"/>
      <c r="U4" s="1442"/>
      <c r="V4" s="1442"/>
      <c r="W4" s="1442"/>
      <c r="X4" s="1442"/>
      <c r="Y4" s="1442"/>
      <c r="Z4" s="1442"/>
      <c r="AA4" s="1442"/>
      <c r="AB4" s="1442"/>
      <c r="AC4" s="1442"/>
      <c r="AD4" s="1442"/>
      <c r="AE4" s="1442"/>
      <c r="AF4" s="1442"/>
      <c r="AG4" s="1442"/>
      <c r="AH4" s="1442"/>
      <c r="AI4" s="1442"/>
      <c r="AJ4" s="1442"/>
      <c r="AK4" s="1442"/>
      <c r="AL4" s="1442"/>
      <c r="AM4" s="1442"/>
      <c r="AN4" s="1442"/>
      <c r="AO4" s="1442"/>
      <c r="AP4" s="1442"/>
      <c r="AQ4" s="1442"/>
      <c r="AR4" s="1442"/>
      <c r="AS4" s="1442"/>
      <c r="AT4" s="1442"/>
      <c r="AU4" s="1442"/>
      <c r="AV4" s="1442"/>
      <c r="AW4" s="1442"/>
      <c r="AX4" s="1442"/>
      <c r="AY4" s="1442"/>
      <c r="AZ4" s="1442"/>
      <c r="BA4" s="1442"/>
      <c r="BB4" s="1442"/>
      <c r="BC4" s="1442"/>
      <c r="BD4" s="1442"/>
      <c r="BE4" s="1442"/>
      <c r="BF4" s="1442"/>
      <c r="BG4" s="1442"/>
      <c r="BH4" s="1442"/>
      <c r="BI4" s="1442"/>
      <c r="BJ4" s="1442"/>
      <c r="BK4" s="1442"/>
      <c r="BL4" s="1442"/>
      <c r="BM4" s="1442"/>
      <c r="BN4" s="1442"/>
      <c r="BO4" s="1442"/>
      <c r="BP4" s="1442"/>
      <c r="BQ4" s="1442"/>
      <c r="BR4" s="1442"/>
      <c r="BS4" s="1442"/>
      <c r="BT4" s="1442"/>
      <c r="BU4" s="1442"/>
      <c r="BV4" s="1442"/>
      <c r="BW4" s="1442"/>
      <c r="BX4" s="1442"/>
      <c r="BY4" s="1442"/>
      <c r="BZ4" s="1442"/>
      <c r="CA4" s="1442"/>
      <c r="CB4" s="1442"/>
      <c r="CC4" s="1442"/>
      <c r="CD4" s="1442"/>
      <c r="CE4" s="1442"/>
      <c r="CF4" s="1442"/>
      <c r="CG4" s="1442"/>
      <c r="CH4" s="1442"/>
      <c r="CI4" s="1442"/>
      <c r="CJ4" s="1442"/>
      <c r="CK4" s="1442"/>
      <c r="CL4" s="1442"/>
      <c r="CM4" s="1442"/>
      <c r="CN4" s="1442"/>
      <c r="CO4" s="1442"/>
      <c r="CP4" s="1442"/>
      <c r="CQ4" s="1442"/>
      <c r="CR4" s="1442"/>
      <c r="CS4" s="1442"/>
      <c r="CT4" s="1442"/>
      <c r="CU4" s="1442"/>
      <c r="CV4" s="1442"/>
      <c r="CW4" s="1442"/>
      <c r="CX4" s="1442"/>
      <c r="CY4" s="1442"/>
      <c r="CZ4" s="1442"/>
      <c r="DA4" s="1442"/>
      <c r="DB4" s="1442"/>
      <c r="DC4" s="1442"/>
      <c r="DD4" s="1442"/>
      <c r="DE4" s="1442"/>
      <c r="DF4" s="1442"/>
      <c r="DG4" s="1442"/>
      <c r="DH4" s="1442"/>
      <c r="DI4" s="1442"/>
      <c r="DJ4" s="1442"/>
      <c r="DK4" s="1442"/>
      <c r="DL4" s="1442"/>
      <c r="DM4" s="1442"/>
      <c r="DN4" s="1442"/>
      <c r="DO4" s="1442"/>
      <c r="DP4" s="1442"/>
      <c r="DQ4" s="1442"/>
      <c r="DR4" s="1442"/>
      <c r="DS4" s="1442"/>
      <c r="DT4" s="1442"/>
      <c r="DU4" s="1442"/>
      <c r="DV4" s="1442"/>
      <c r="DW4" s="1442"/>
      <c r="DX4" s="1442"/>
      <c r="DY4" s="1442"/>
      <c r="DZ4" s="1442"/>
      <c r="EA4" s="1442"/>
      <c r="EB4" s="1442"/>
      <c r="EC4" s="1442"/>
      <c r="ED4" s="1442"/>
      <c r="EE4" s="1442"/>
      <c r="EF4" s="1442"/>
      <c r="EG4" s="1442"/>
      <c r="EH4" s="1442"/>
      <c r="EI4" s="1442"/>
      <c r="EJ4" s="1442"/>
      <c r="EK4" s="1442"/>
      <c r="EL4" s="1442"/>
      <c r="EM4" s="1442"/>
      <c r="EN4" s="1442"/>
      <c r="EO4" s="1442"/>
      <c r="EP4" s="1442"/>
      <c r="EQ4" s="1442"/>
      <c r="ER4" s="1442"/>
      <c r="ES4" s="1442"/>
      <c r="ET4" s="1442"/>
      <c r="EU4" s="1442"/>
      <c r="EV4" s="1442"/>
      <c r="EW4" s="1442"/>
      <c r="EX4" s="1442"/>
      <c r="EY4" s="1442"/>
      <c r="EZ4" s="1442"/>
      <c r="FA4" s="1442"/>
      <c r="FB4" s="1442"/>
      <c r="FC4" s="1442"/>
      <c r="FD4" s="1442"/>
      <c r="FE4" s="1442"/>
      <c r="FF4" s="1442"/>
      <c r="FG4" s="1442"/>
      <c r="FH4" s="1442"/>
      <c r="FI4" s="1442"/>
      <c r="FJ4" s="1442"/>
      <c r="FK4" s="1442"/>
      <c r="FL4" s="1442"/>
      <c r="FM4" s="1442"/>
      <c r="FN4" s="1442"/>
      <c r="FO4" s="1442"/>
      <c r="FP4" s="1442"/>
      <c r="FQ4" s="1442"/>
      <c r="FR4" s="1442"/>
      <c r="FS4" s="1442"/>
      <c r="FT4" s="1442"/>
      <c r="FU4" s="1442"/>
      <c r="FV4" s="1442"/>
      <c r="FW4" s="1442"/>
      <c r="GC4" s="1438">
        <v>10</v>
      </c>
    </row>
    <row s="55051" customFormat="1" customHeight="1" ht="27.299999999999997">
      <c r="B5" s="2384"/>
      <c r="E5" s="2386"/>
      <c r="F5" s="2944"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водоотведения и отчетах об их исполнении
Показатели качества, надежности и энергетической эффективности в сфере водоотведения</v>
      </c>
      <c r="G5" s="2681"/>
      <c r="H5" s="2681"/>
      <c r="I5" s="2681"/>
      <c r="J5" s="2681"/>
      <c r="K5" s="2681"/>
      <c r="L5" s="2681"/>
      <c r="M5" s="2681"/>
      <c r="N5" s="2681"/>
      <c r="O5" s="2681"/>
      <c r="P5" s="2681"/>
      <c r="Q5" s="2681"/>
      <c r="R5" s="2681"/>
      <c r="S5" s="2681"/>
      <c r="T5" s="2681"/>
      <c r="U5" s="2681"/>
      <c r="V5" s="2681"/>
      <c r="W5" s="2681"/>
      <c r="X5" s="2681"/>
      <c r="Y5" s="2681"/>
      <c r="Z5" s="2681"/>
      <c r="AA5" s="2681"/>
      <c r="AB5" s="2681"/>
      <c r="AC5" s="2681"/>
      <c r="AD5" s="2681"/>
      <c r="AE5" s="2681"/>
      <c r="AF5" s="2681"/>
      <c r="AG5" s="2681"/>
      <c r="AH5" s="2681"/>
      <c r="AI5" s="2681"/>
      <c r="AJ5" s="2681"/>
      <c r="AK5" s="2681"/>
      <c r="AL5" s="2681"/>
      <c r="AM5" s="2681"/>
      <c r="AN5" s="2681"/>
      <c r="AO5" s="2681"/>
      <c r="AP5" s="2681"/>
      <c r="AQ5" s="2681"/>
      <c r="AR5" s="2681"/>
      <c r="AS5" s="2681"/>
      <c r="AT5" s="2681"/>
      <c r="AU5" s="2681"/>
      <c r="AV5" s="2681"/>
      <c r="AW5" s="2681"/>
      <c r="AX5" s="2681"/>
      <c r="AY5" s="2681"/>
      <c r="AZ5" s="2681"/>
      <c r="BA5" s="2681"/>
      <c r="BB5" s="2681"/>
      <c r="BC5" s="2681"/>
      <c r="BD5" s="2681"/>
      <c r="BE5" s="2681"/>
      <c r="BF5" s="2681"/>
      <c r="BG5" s="2681"/>
      <c r="BH5" s="2681"/>
      <c r="BI5" s="2681"/>
      <c r="BJ5" s="2681"/>
      <c r="BK5" s="2681"/>
      <c r="BL5" s="2681"/>
      <c r="BM5" s="2681"/>
      <c r="BN5" s="2681"/>
      <c r="BO5" s="2681"/>
      <c r="BP5" s="2681"/>
      <c r="BQ5" s="2681"/>
      <c r="BR5" s="2681"/>
      <c r="BS5" s="2681"/>
      <c r="GC5" s="2385">
        <v>26</v>
      </c>
    </row>
    <row s="55056" customFormat="1" customHeight="1" ht="18.75">
      <c r="B6" s="1455"/>
      <c r="E6" s="1457"/>
      <c r="F6" s="2726" t="str">
        <f>IF(org=0,"Не определено",org)</f>
        <v>КГУП "Примтеплоэнерго"</v>
      </c>
      <c r="G6" s="2727"/>
      <c r="H6" s="2727"/>
      <c r="I6" s="2727"/>
      <c r="J6" s="2727"/>
      <c r="K6" s="2727"/>
      <c r="L6" s="2727"/>
      <c r="M6" s="2727"/>
      <c r="N6" s="2727"/>
      <c r="O6" s="2727"/>
      <c r="P6" s="2727"/>
      <c r="Q6" s="2727"/>
      <c r="R6" s="2727"/>
      <c r="S6" s="2727"/>
      <c r="T6" s="2727"/>
      <c r="U6" s="2727"/>
      <c r="V6" s="2727"/>
      <c r="W6" s="2727"/>
      <c r="X6" s="2727"/>
      <c r="Y6" s="2727"/>
      <c r="Z6" s="2727"/>
      <c r="AA6" s="2727"/>
      <c r="AB6" s="2727"/>
      <c r="AC6" s="2727"/>
      <c r="AD6" s="2727"/>
      <c r="AE6" s="2727"/>
      <c r="AF6" s="2727"/>
      <c r="AG6" s="2727"/>
      <c r="AH6" s="2727"/>
      <c r="AI6" s="2727"/>
      <c r="AJ6" s="2727"/>
      <c r="AK6" s="2727"/>
      <c r="AL6" s="2727"/>
      <c r="AM6" s="2727"/>
      <c r="AN6" s="2727"/>
      <c r="AO6" s="2727"/>
      <c r="AP6" s="2727"/>
      <c r="AQ6" s="2727"/>
      <c r="AR6" s="2727"/>
      <c r="AS6" s="2727"/>
      <c r="AT6" s="2727"/>
      <c r="AU6" s="2727"/>
      <c r="AV6" s="2727"/>
      <c r="AW6" s="2727"/>
      <c r="AX6" s="2727"/>
      <c r="AY6" s="2727"/>
      <c r="AZ6" s="2727"/>
      <c r="BA6" s="2727"/>
      <c r="BB6" s="2727"/>
      <c r="BC6" s="2727"/>
      <c r="BD6" s="2727"/>
      <c r="BE6" s="2727"/>
      <c r="BF6" s="2727"/>
      <c r="BG6" s="2727"/>
      <c r="BH6" s="2727"/>
      <c r="BI6" s="2727"/>
      <c r="BJ6" s="2727"/>
      <c r="BK6" s="2727"/>
      <c r="BL6" s="2727"/>
      <c r="BM6" s="2727"/>
      <c r="BN6" s="2727"/>
      <c r="BO6" s="2727"/>
      <c r="BP6" s="2727"/>
      <c r="BQ6" s="2727"/>
      <c r="BR6" s="2727"/>
      <c r="BS6" s="2727"/>
      <c r="GC6" s="1456">
        <v>18</v>
      </c>
    </row>
    <row s="55060" customFormat="1" customHeight="1" ht="10.5">
      <c r="B7" s="1444"/>
      <c r="E7" s="1445"/>
      <c r="F7" s="1445"/>
      <c r="G7" s="1447"/>
      <c r="H7" s="1441"/>
      <c r="I7" s="1441"/>
      <c r="J7" s="1441"/>
      <c r="K7" s="1441"/>
      <c r="L7" s="1441"/>
      <c r="M7" s="1445"/>
      <c r="N7" s="1445"/>
      <c r="O7" s="1445"/>
      <c r="P7" s="1445"/>
      <c r="Q7" s="1445"/>
      <c r="R7" s="1445"/>
      <c r="S7" s="1445"/>
      <c r="T7" s="1445"/>
      <c r="U7" s="1445"/>
      <c r="V7" s="1445"/>
      <c r="W7" s="1445"/>
      <c r="X7" s="1445"/>
      <c r="Y7" s="1445"/>
      <c r="Z7" s="1445"/>
      <c r="AA7" s="1445"/>
      <c r="AB7" s="1445"/>
      <c r="AC7" s="1445"/>
      <c r="AD7" s="1445"/>
      <c r="AE7" s="1445"/>
      <c r="AF7" s="1445"/>
      <c r="AG7" s="1445"/>
      <c r="AH7" s="1445"/>
      <c r="AI7" s="1445"/>
      <c r="AJ7" s="1445"/>
      <c r="AK7" s="1445"/>
      <c r="AL7" s="1445"/>
      <c r="AM7" s="1445"/>
      <c r="AN7" s="1445"/>
      <c r="AO7" s="1445"/>
      <c r="AP7" s="1445"/>
      <c r="AQ7" s="1445"/>
      <c r="AR7" s="1445"/>
      <c r="AS7" s="1445"/>
      <c r="AT7" s="1445"/>
      <c r="AU7" s="1445"/>
      <c r="AV7" s="1445"/>
      <c r="AW7" s="1445"/>
      <c r="AX7" s="1445"/>
      <c r="AY7" s="1445"/>
      <c r="AZ7" s="1445"/>
      <c r="BA7" s="1445"/>
      <c r="BB7" s="1445"/>
      <c r="BC7" s="1445"/>
      <c r="BD7" s="1445"/>
      <c r="BE7" s="1445"/>
      <c r="BF7" s="1445"/>
      <c r="BG7" s="1445"/>
      <c r="BH7" s="1445"/>
      <c r="BI7" s="1445"/>
      <c r="BJ7" s="1445"/>
      <c r="BK7" s="1445"/>
      <c r="BL7" s="1445"/>
      <c r="BM7" s="1445"/>
      <c r="BN7" s="1445"/>
      <c r="BO7" s="1445"/>
      <c r="BP7" s="1445"/>
      <c r="BQ7" s="1445"/>
      <c r="BR7" s="1445"/>
      <c r="BS7" s="1445"/>
      <c r="BT7" s="1445"/>
      <c r="BU7" s="1445"/>
      <c r="BV7" s="1445"/>
      <c r="BW7" s="1445"/>
      <c r="BX7" s="1445"/>
      <c r="BY7" s="1445"/>
      <c r="BZ7" s="1445"/>
      <c r="CA7" s="1445"/>
      <c r="CB7" s="1445"/>
      <c r="CC7" s="1445"/>
      <c r="CD7" s="1445"/>
      <c r="CE7" s="1445"/>
      <c r="CF7" s="1445"/>
      <c r="CG7" s="1445"/>
      <c r="CH7" s="1445"/>
      <c r="CI7" s="1445"/>
      <c r="CJ7" s="1445"/>
      <c r="CK7" s="1445"/>
      <c r="CL7" s="1445"/>
      <c r="CM7" s="1445"/>
      <c r="CN7" s="1445"/>
      <c r="CO7" s="1445"/>
      <c r="CP7" s="1445"/>
      <c r="CQ7" s="1445"/>
      <c r="CR7" s="1445"/>
      <c r="CS7" s="1445"/>
      <c r="CT7" s="1445"/>
      <c r="CU7" s="1445"/>
      <c r="CV7" s="1445"/>
      <c r="CW7" s="1445"/>
      <c r="CX7" s="1445"/>
      <c r="CY7" s="1445"/>
      <c r="CZ7" s="1445"/>
      <c r="DA7" s="1445"/>
      <c r="DB7" s="1445"/>
      <c r="DC7" s="1445"/>
      <c r="DD7" s="1445"/>
      <c r="DE7" s="1445"/>
      <c r="DF7" s="1445"/>
      <c r="DG7" s="1445"/>
      <c r="DH7" s="1445"/>
      <c r="DI7" s="1445"/>
      <c r="DJ7" s="1445"/>
      <c r="DK7" s="1445"/>
      <c r="DL7" s="1445"/>
      <c r="DM7" s="1445"/>
      <c r="DN7" s="1445"/>
      <c r="DO7" s="1445"/>
      <c r="DP7" s="1445"/>
      <c r="DQ7" s="1445"/>
      <c r="DR7" s="1445"/>
      <c r="DS7" s="1445"/>
      <c r="DT7" s="1445"/>
      <c r="DU7" s="1445"/>
      <c r="DV7" s="1445"/>
      <c r="DW7" s="1445"/>
      <c r="DX7" s="1445"/>
      <c r="DY7" s="1445"/>
      <c r="DZ7" s="1445"/>
      <c r="EA7" s="1445"/>
      <c r="EB7" s="1445"/>
      <c r="EC7" s="1445"/>
      <c r="ED7" s="1445"/>
      <c r="EE7" s="1445"/>
      <c r="EF7" s="1445"/>
      <c r="EG7" s="1445"/>
      <c r="EH7" s="1445"/>
      <c r="EI7" s="1445"/>
      <c r="EJ7" s="1445"/>
      <c r="EK7" s="1445"/>
      <c r="EL7" s="1445"/>
      <c r="EM7" s="1445"/>
      <c r="EN7" s="1445"/>
      <c r="EO7" s="1445"/>
      <c r="EP7" s="1445"/>
      <c r="EQ7" s="1445"/>
      <c r="ER7" s="1445"/>
      <c r="ES7" s="1445"/>
      <c r="ET7" s="1445"/>
      <c r="EU7" s="1445"/>
      <c r="EV7" s="1445"/>
      <c r="EW7" s="1445"/>
      <c r="EX7" s="1445"/>
      <c r="EY7" s="1445"/>
      <c r="EZ7" s="1445"/>
      <c r="FA7" s="1445"/>
      <c r="FB7" s="1445"/>
      <c r="FC7" s="1445"/>
      <c r="FD7" s="1445"/>
      <c r="FE7" s="1445"/>
      <c r="FF7" s="1445"/>
      <c r="FG7" s="1445"/>
      <c r="FH7" s="1445"/>
      <c r="FI7" s="1445"/>
      <c r="FJ7" s="1445"/>
      <c r="FK7" s="1445"/>
      <c r="FL7" s="1445"/>
      <c r="FM7" s="1445"/>
      <c r="FN7" s="1445"/>
      <c r="FO7" s="1445"/>
      <c r="FP7" s="1445"/>
      <c r="FQ7" s="1445"/>
      <c r="FR7" s="1445"/>
      <c r="FS7" s="1445"/>
      <c r="FT7" s="1445"/>
      <c r="FU7" s="1445"/>
      <c r="FV7" s="1445"/>
      <c r="FW7" s="1445"/>
      <c r="GC7" s="1443">
        <v>10</v>
      </c>
    </row>
    <row s="55060" customFormat="1" customHeight="1" ht="11.25" hidden="1">
      <c r="B8" s="1446"/>
      <c r="F8" s="1568"/>
      <c r="G8" s="1275"/>
      <c r="H8" s="872"/>
      <c r="I8" s="872"/>
      <c r="J8" s="872"/>
      <c r="K8" s="872"/>
      <c r="L8" s="872"/>
      <c r="M8" s="1568"/>
      <c r="N8" s="1568"/>
      <c r="O8" s="2962" t="s">
        <v>1188</v>
      </c>
      <c r="P8" s="2963"/>
      <c r="Q8" s="2963"/>
      <c r="R8" s="2963"/>
      <c r="S8" s="2963"/>
      <c r="T8" s="2963"/>
      <c r="U8" s="2963"/>
      <c r="V8" s="2963"/>
      <c r="W8" s="2963"/>
      <c r="X8" s="2963"/>
      <c r="Y8" s="2963"/>
      <c r="Z8" s="2963"/>
      <c r="AA8" s="2963"/>
      <c r="AB8" s="2963"/>
      <c r="AC8" s="2963"/>
      <c r="AD8" s="2963"/>
      <c r="AE8" s="2963"/>
      <c r="AF8" s="2963"/>
      <c r="AG8" s="2963"/>
      <c r="AH8" s="2963"/>
      <c r="AI8" s="2963"/>
      <c r="AJ8" s="2963"/>
      <c r="AK8" s="2963"/>
      <c r="AL8" s="2963"/>
      <c r="AM8" s="2963"/>
      <c r="AN8" s="2963"/>
      <c r="AO8" s="2963"/>
      <c r="AP8" s="2963"/>
      <c r="AQ8" s="2963"/>
      <c r="AR8" s="2963"/>
      <c r="AS8" s="2963"/>
      <c r="AT8" s="2963"/>
      <c r="AU8" s="2963"/>
      <c r="AV8" s="2963"/>
      <c r="AW8" s="2963"/>
      <c r="AX8" s="2963"/>
      <c r="AY8" s="2963"/>
      <c r="AZ8" s="2963"/>
      <c r="BA8" s="2963"/>
      <c r="BB8" s="2963"/>
      <c r="BC8" s="2963"/>
      <c r="BD8" s="2963"/>
      <c r="BE8" s="2963"/>
      <c r="BF8" s="2963"/>
      <c r="BG8" s="2963"/>
      <c r="BH8" s="2963"/>
      <c r="BI8" s="2963"/>
      <c r="BJ8" s="2963"/>
      <c r="BK8" s="2963"/>
      <c r="BL8" s="2963"/>
      <c r="BM8" s="2963"/>
      <c r="BN8" s="2963"/>
      <c r="BO8" s="2963"/>
      <c r="BP8" s="2963"/>
      <c r="BQ8" s="2963"/>
      <c r="BR8" s="2963"/>
      <c r="BS8" s="2964"/>
      <c r="BT8" s="2951"/>
      <c r="BU8" s="2952"/>
      <c r="BV8" s="2952"/>
      <c r="BW8" s="2952"/>
      <c r="BX8" s="2952"/>
      <c r="BY8" s="2952"/>
      <c r="BZ8" s="2952"/>
      <c r="CA8" s="2952"/>
      <c r="CB8" s="2952"/>
      <c r="CC8" s="2952"/>
      <c r="CD8" s="2952"/>
      <c r="CE8" s="2952"/>
      <c r="CF8" s="2952"/>
      <c r="CG8" s="2952"/>
      <c r="CH8" s="2952"/>
      <c r="CI8" s="2952"/>
      <c r="CJ8" s="2952"/>
      <c r="CK8" s="2952"/>
      <c r="CL8" s="2952"/>
      <c r="CM8" s="2952"/>
      <c r="CN8" s="2952"/>
      <c r="CO8" s="2952"/>
      <c r="CP8" s="2952"/>
      <c r="CQ8" s="2952"/>
      <c r="CR8" s="2952"/>
      <c r="CS8" s="2952"/>
      <c r="CT8" s="2952"/>
      <c r="CU8" s="2952"/>
      <c r="CV8" s="2952"/>
      <c r="CW8" s="2952"/>
      <c r="CX8" s="2953"/>
      <c r="CY8" s="2954"/>
      <c r="CZ8" s="2955"/>
      <c r="DA8" s="2955"/>
      <c r="DB8" s="2955"/>
      <c r="DC8" s="2955"/>
      <c r="DD8" s="2955"/>
      <c r="DE8" s="2955"/>
      <c r="DF8" s="2955"/>
      <c r="DG8" s="2955"/>
      <c r="DH8" s="2955"/>
      <c r="DI8" s="2955"/>
      <c r="DJ8" s="2955"/>
      <c r="DK8" s="2955"/>
      <c r="DL8" s="2955"/>
      <c r="DM8" s="2955"/>
      <c r="DN8" s="2955"/>
      <c r="DO8" s="2955"/>
      <c r="DP8" s="2955"/>
      <c r="DQ8" s="2955"/>
      <c r="DR8" s="2955"/>
      <c r="DS8" s="2955"/>
      <c r="DT8" s="2955"/>
      <c r="DU8" s="2955"/>
      <c r="DV8" s="2955"/>
      <c r="DW8" s="2955"/>
      <c r="DX8" s="2956"/>
      <c r="DY8" s="2957" t="s">
        <v>1189</v>
      </c>
      <c r="DZ8" s="2958"/>
      <c r="EA8" s="2958"/>
      <c r="EB8" s="2958"/>
      <c r="EC8" s="2958"/>
      <c r="ED8" s="2958"/>
      <c r="EE8" s="2958"/>
      <c r="EF8" s="2958"/>
      <c r="EG8" s="2958"/>
      <c r="EH8" s="2958"/>
      <c r="EI8" s="2958"/>
      <c r="EJ8" s="2958"/>
      <c r="EK8" s="2958"/>
      <c r="EL8" s="2958"/>
      <c r="EM8" s="2958"/>
      <c r="EN8" s="2958"/>
      <c r="EO8" s="2958"/>
      <c r="EP8" s="2958"/>
      <c r="EQ8" s="2958"/>
      <c r="ER8" s="2958"/>
      <c r="ES8" s="2958"/>
      <c r="ET8" s="2958"/>
      <c r="EU8" s="2958"/>
      <c r="EV8" s="2958"/>
      <c r="EW8" s="2958"/>
      <c r="EX8" s="2958"/>
      <c r="EY8" s="2958"/>
      <c r="EZ8" s="2958"/>
      <c r="FA8" s="2958"/>
      <c r="FB8" s="2958"/>
      <c r="FC8" s="2958"/>
      <c r="FD8" s="2958"/>
      <c r="FE8" s="2958"/>
      <c r="FF8" s="2958"/>
      <c r="FG8" s="2958"/>
      <c r="FH8" s="2958"/>
      <c r="FI8" s="2958"/>
      <c r="FJ8" s="2958"/>
      <c r="FK8" s="2958"/>
      <c r="FL8" s="2958"/>
      <c r="FM8" s="2958"/>
      <c r="FN8" s="2958"/>
      <c r="FO8" s="2958"/>
      <c r="FP8" s="2958"/>
      <c r="FQ8" s="2958"/>
      <c r="FR8" s="2958"/>
      <c r="FS8" s="2958"/>
      <c r="FT8" s="2958"/>
      <c r="FU8" s="2958"/>
      <c r="FV8" s="2958"/>
      <c r="FW8" s="2959"/>
      <c r="FX8" s="1568"/>
      <c r="GC8" s="1445">
        <v>0</v>
      </c>
    </row>
    <row s="55060" customFormat="1" customHeight="1" ht="11.25" hidden="1">
      <c r="B9" s="1446"/>
      <c r="F9" s="1568"/>
      <c r="G9" s="1275"/>
      <c r="H9" s="872"/>
      <c r="I9" s="872"/>
      <c r="J9" s="872"/>
      <c r="K9" s="872"/>
      <c r="L9" s="872"/>
      <c r="M9" s="1568"/>
      <c r="N9" s="1568"/>
      <c r="O9" s="1568"/>
      <c r="P9" s="1568"/>
      <c r="Q9" s="1568"/>
      <c r="R9" s="1568"/>
      <c r="S9" s="1568"/>
      <c r="T9" s="1568"/>
      <c r="U9" s="1568"/>
      <c r="V9" s="1568"/>
      <c r="W9" s="1568"/>
      <c r="X9" s="1568"/>
      <c r="Y9" s="1568"/>
      <c r="Z9" s="1568"/>
      <c r="AA9" s="1568"/>
      <c r="AB9" s="1568"/>
      <c r="AC9" s="1568"/>
      <c r="AD9" s="1568"/>
      <c r="AE9" s="1568"/>
      <c r="AF9" s="1568"/>
      <c r="AG9" s="1568"/>
      <c r="AH9" s="1568"/>
      <c r="AI9" s="1568"/>
      <c r="AJ9" s="1568"/>
      <c r="AK9" s="1568"/>
      <c r="AL9" s="1568"/>
      <c r="AM9" s="1568"/>
      <c r="AN9" s="1568"/>
      <c r="AO9" s="1568"/>
      <c r="AP9" s="1568"/>
      <c r="AQ9" s="1568"/>
      <c r="AR9" s="1568"/>
      <c r="AS9" s="1568"/>
      <c r="AT9" s="1568"/>
      <c r="AU9" s="1568"/>
      <c r="AV9" s="1568"/>
      <c r="AW9" s="1568"/>
      <c r="AX9" s="1568"/>
      <c r="AY9" s="1568"/>
      <c r="AZ9" s="1568"/>
      <c r="BA9" s="1568"/>
      <c r="BB9" s="1568"/>
      <c r="BC9" s="1568"/>
      <c r="BD9" s="1568"/>
      <c r="BE9" s="1568"/>
      <c r="BF9" s="1568"/>
      <c r="BG9" s="1568"/>
      <c r="BH9" s="1568"/>
      <c r="BI9" s="1568"/>
      <c r="BJ9" s="1568"/>
      <c r="BK9" s="1568"/>
      <c r="BL9" s="1568"/>
      <c r="BM9" s="1568"/>
      <c r="BN9" s="1568"/>
      <c r="BO9" s="1568"/>
      <c r="BP9" s="1568"/>
      <c r="BQ9" s="1568"/>
      <c r="BR9" s="1568"/>
      <c r="BS9" s="1568"/>
      <c r="BT9" s="1568"/>
      <c r="BU9" s="1568"/>
      <c r="BV9" s="1568"/>
      <c r="BW9" s="1568"/>
      <c r="BX9" s="1568"/>
      <c r="BY9" s="1568"/>
      <c r="BZ9" s="1568"/>
      <c r="CA9" s="1568"/>
      <c r="CB9" s="1568"/>
      <c r="CC9" s="1568"/>
      <c r="CD9" s="1568"/>
      <c r="CE9" s="1568"/>
      <c r="CF9" s="1568"/>
      <c r="CG9" s="1568"/>
      <c r="CH9" s="1568"/>
      <c r="CI9" s="1568"/>
      <c r="CJ9" s="1568"/>
      <c r="CK9" s="1568"/>
      <c r="CL9" s="1568"/>
      <c r="CM9" s="1568"/>
      <c r="CN9" s="1568"/>
      <c r="CO9" s="1568"/>
      <c r="CP9" s="1568"/>
      <c r="CQ9" s="1568"/>
      <c r="CR9" s="1568"/>
      <c r="CS9" s="1568"/>
      <c r="CT9" s="1568"/>
      <c r="CU9" s="1568"/>
      <c r="CV9" s="1568"/>
      <c r="CW9" s="1568"/>
      <c r="CX9" s="1568"/>
      <c r="CY9" s="1568"/>
      <c r="CZ9" s="1568"/>
      <c r="DA9" s="1568"/>
      <c r="DB9" s="1568"/>
      <c r="DC9" s="1568"/>
      <c r="DD9" s="1568"/>
      <c r="DE9" s="1568"/>
      <c r="DF9" s="1568"/>
      <c r="DG9" s="1568"/>
      <c r="DH9" s="1568"/>
      <c r="DI9" s="1568"/>
      <c r="DJ9" s="1568"/>
      <c r="DK9" s="1568"/>
      <c r="DL9" s="1568"/>
      <c r="DM9" s="1568"/>
      <c r="DN9" s="1568"/>
      <c r="DO9" s="1568"/>
      <c r="DP9" s="1568"/>
      <c r="DQ9" s="1568"/>
      <c r="DR9" s="1568"/>
      <c r="DS9" s="1568"/>
      <c r="DT9" s="1568"/>
      <c r="DU9" s="1568"/>
      <c r="DV9" s="1568"/>
      <c r="DW9" s="1568"/>
      <c r="DX9" s="1568"/>
      <c r="DY9" s="1568"/>
      <c r="DZ9" s="1568"/>
      <c r="EA9" s="1568"/>
      <c r="EB9" s="1568"/>
      <c r="EC9" s="1568"/>
      <c r="ED9" s="1568"/>
      <c r="EE9" s="1568"/>
      <c r="EF9" s="1568"/>
      <c r="EG9" s="1568"/>
      <c r="EH9" s="1568"/>
      <c r="EI9" s="1568"/>
      <c r="EJ9" s="1568"/>
      <c r="EK9" s="1568"/>
      <c r="EL9" s="1568"/>
      <c r="EM9" s="1568"/>
      <c r="EN9" s="1568"/>
      <c r="EO9" s="1568"/>
      <c r="EP9" s="1568"/>
      <c r="EQ9" s="1568"/>
      <c r="ER9" s="1568"/>
      <c r="ES9" s="1568"/>
      <c r="ET9" s="1568"/>
      <c r="EU9" s="1568"/>
      <c r="EV9" s="1568"/>
      <c r="EW9" s="1568"/>
      <c r="EX9" s="1568"/>
      <c r="EY9" s="1568"/>
      <c r="EZ9" s="1568"/>
      <c r="FA9" s="1568"/>
      <c r="FB9" s="1568"/>
      <c r="FC9" s="1568"/>
      <c r="FD9" s="1568"/>
      <c r="FE9" s="1568"/>
      <c r="FF9" s="1568"/>
      <c r="FG9" s="1568"/>
      <c r="FH9" s="1568"/>
      <c r="FI9" s="1568"/>
      <c r="FJ9" s="1568"/>
      <c r="FK9" s="1568"/>
      <c r="FL9" s="1568"/>
      <c r="FM9" s="1568"/>
      <c r="FN9" s="1568"/>
      <c r="FO9" s="1568"/>
      <c r="FP9" s="1568"/>
      <c r="FQ9" s="1568"/>
      <c r="FR9" s="1568"/>
      <c r="FS9" s="1568"/>
      <c r="FT9" s="1568"/>
      <c r="FU9" s="1568"/>
      <c r="FV9" s="1568"/>
      <c r="FW9" s="2960"/>
      <c r="FX9" s="1568"/>
      <c r="GC9" s="1445">
        <v>0</v>
      </c>
    </row>
    <row s="55060" customFormat="1" customHeight="1" ht="11.549999999999999">
      <c r="B10" s="1446"/>
      <c r="F10" s="2941" t="s">
        <v>418</v>
      </c>
      <c r="G10" s="2942"/>
      <c r="H10" s="2942"/>
      <c r="I10" s="2942"/>
      <c r="J10" s="2942"/>
      <c r="K10" s="2942"/>
      <c r="L10" s="2942"/>
      <c r="M10" s="2942"/>
      <c r="N10" s="2942"/>
      <c r="O10" s="2942"/>
      <c r="P10" s="2942"/>
      <c r="Q10" s="2942"/>
      <c r="R10" s="2942"/>
      <c r="S10" s="2942"/>
      <c r="T10" s="2942"/>
      <c r="U10" s="2942"/>
      <c r="V10" s="2942"/>
      <c r="W10" s="2942"/>
      <c r="X10" s="2942"/>
      <c r="Y10" s="2942"/>
      <c r="Z10" s="2942"/>
      <c r="AA10" s="2942"/>
      <c r="AB10" s="2942"/>
      <c r="AC10" s="2942"/>
      <c r="AD10" s="2942"/>
      <c r="AE10" s="2942"/>
      <c r="AF10" s="2942"/>
      <c r="AG10" s="2942"/>
      <c r="AH10" s="2942"/>
      <c r="AI10" s="2942"/>
      <c r="AJ10" s="2942"/>
      <c r="AK10" s="2942"/>
      <c r="AL10" s="2942"/>
      <c r="AM10" s="2942"/>
      <c r="AN10" s="2942"/>
      <c r="AO10" s="2942"/>
      <c r="AP10" s="2942"/>
      <c r="AQ10" s="2942"/>
      <c r="AR10" s="2942"/>
      <c r="AS10" s="2942"/>
      <c r="AT10" s="2942"/>
      <c r="AU10" s="2942"/>
      <c r="AV10" s="2942"/>
      <c r="AW10" s="2942"/>
      <c r="AX10" s="2942"/>
      <c r="AY10" s="2942"/>
      <c r="AZ10" s="2942"/>
      <c r="BA10" s="2942"/>
      <c r="BB10" s="2942"/>
      <c r="BC10" s="2942"/>
      <c r="BD10" s="2942"/>
      <c r="BE10" s="2942"/>
      <c r="BF10" s="2942"/>
      <c r="BG10" s="2942"/>
      <c r="BH10" s="2942"/>
      <c r="BI10" s="2942"/>
      <c r="BJ10" s="2942"/>
      <c r="BK10" s="2942"/>
      <c r="BL10" s="2942"/>
      <c r="BM10" s="2942"/>
      <c r="BN10" s="2942"/>
      <c r="BO10" s="2942"/>
      <c r="BP10" s="2942"/>
      <c r="BQ10" s="2942"/>
      <c r="BR10" s="2942"/>
      <c r="BS10" s="2942"/>
      <c r="BT10" s="2942"/>
      <c r="BU10" s="2942"/>
      <c r="BV10" s="2942"/>
      <c r="BW10" s="2942"/>
      <c r="BX10" s="2942"/>
      <c r="BY10" s="2942"/>
      <c r="BZ10" s="2942"/>
      <c r="CA10" s="2942"/>
      <c r="CB10" s="2942"/>
      <c r="CC10" s="2942"/>
      <c r="CD10" s="2942"/>
      <c r="CE10" s="2942"/>
      <c r="CF10" s="2942"/>
      <c r="CG10" s="2942"/>
      <c r="CH10" s="2942"/>
      <c r="CI10" s="2942"/>
      <c r="CJ10" s="2942"/>
      <c r="CK10" s="2942"/>
      <c r="CL10" s="2942"/>
      <c r="CM10" s="2942"/>
      <c r="CN10" s="2942"/>
      <c r="CO10" s="2942"/>
      <c r="CP10" s="2942"/>
      <c r="CQ10" s="2942"/>
      <c r="CR10" s="2942"/>
      <c r="CS10" s="2942"/>
      <c r="CT10" s="2942"/>
      <c r="CU10" s="2942"/>
      <c r="CV10" s="2942"/>
      <c r="CW10" s="2942"/>
      <c r="CX10" s="2942"/>
      <c r="CY10" s="2942"/>
      <c r="CZ10" s="2942"/>
      <c r="DA10" s="2942"/>
      <c r="DB10" s="2942"/>
      <c r="DC10" s="2942"/>
      <c r="DD10" s="2942"/>
      <c r="DE10" s="2942"/>
      <c r="DF10" s="2942"/>
      <c r="DG10" s="2942"/>
      <c r="DH10" s="2942"/>
      <c r="DI10" s="2942"/>
      <c r="DJ10" s="2942"/>
      <c r="DK10" s="2942"/>
      <c r="DL10" s="2942"/>
      <c r="DM10" s="2942"/>
      <c r="DN10" s="2942"/>
      <c r="DO10" s="2942"/>
      <c r="DP10" s="2942"/>
      <c r="DQ10" s="2942"/>
      <c r="DR10" s="2942"/>
      <c r="DS10" s="2942"/>
      <c r="DT10" s="2942"/>
      <c r="DU10" s="2942"/>
      <c r="DV10" s="2942"/>
      <c r="DW10" s="2942"/>
      <c r="DX10" s="2942"/>
      <c r="DY10" s="2942"/>
      <c r="DZ10" s="2942"/>
      <c r="EA10" s="2942"/>
      <c r="EB10" s="2942"/>
      <c r="EC10" s="2942"/>
      <c r="ED10" s="2942"/>
      <c r="EE10" s="2942"/>
      <c r="EF10" s="2942"/>
      <c r="EG10" s="2942"/>
      <c r="EH10" s="2942"/>
      <c r="EI10" s="2942"/>
      <c r="EJ10" s="2942"/>
      <c r="EK10" s="2942"/>
      <c r="EL10" s="2942"/>
      <c r="EM10" s="2942"/>
      <c r="EN10" s="2942"/>
      <c r="EO10" s="2942"/>
      <c r="EP10" s="2942"/>
      <c r="EQ10" s="2942"/>
      <c r="ER10" s="2942"/>
      <c r="ES10" s="2942"/>
      <c r="ET10" s="2942"/>
      <c r="EU10" s="2942"/>
      <c r="EV10" s="2942"/>
      <c r="EW10" s="2942"/>
      <c r="EX10" s="2942"/>
      <c r="EY10" s="2942"/>
      <c r="EZ10" s="2942"/>
      <c r="FA10" s="2942"/>
      <c r="FB10" s="2942"/>
      <c r="FC10" s="2942"/>
      <c r="FD10" s="2942"/>
      <c r="FE10" s="2942"/>
      <c r="FF10" s="2942"/>
      <c r="FG10" s="2942"/>
      <c r="FH10" s="2942"/>
      <c r="FI10" s="2942"/>
      <c r="FJ10" s="2942"/>
      <c r="FK10" s="2942"/>
      <c r="FL10" s="2942"/>
      <c r="FM10" s="2942"/>
      <c r="FN10" s="2942"/>
      <c r="FO10" s="2942"/>
      <c r="FP10" s="2942"/>
      <c r="FQ10" s="2942"/>
      <c r="FR10" s="2942"/>
      <c r="FS10" s="2942"/>
      <c r="FT10" s="2942"/>
      <c r="FU10" s="2942"/>
      <c r="FV10" s="2943"/>
      <c r="FW10" s="2960"/>
      <c r="FX10" s="1568"/>
      <c r="GC10" s="1445">
        <v>11</v>
      </c>
    </row>
    <row customHeight="1" ht="12.75">
      <c r="E11" s="1449"/>
      <c r="F11" s="2717" t="s">
        <v>90</v>
      </c>
      <c r="G11" s="2717" t="s">
        <v>1190</v>
      </c>
      <c r="H11" s="2949" t="s">
        <v>1191</v>
      </c>
      <c r="I11" s="2949" t="s">
        <v>1192</v>
      </c>
      <c r="J11" s="2950"/>
      <c r="K11" s="2950"/>
      <c r="L11" s="2950"/>
      <c r="M11" s="2950"/>
      <c r="N11" s="2950"/>
      <c r="O11" s="2721" t="s">
        <v>1193</v>
      </c>
      <c r="P11" s="2721"/>
      <c r="Q11" s="2721"/>
      <c r="R11" s="2721"/>
      <c r="S11" s="2721"/>
      <c r="T11" s="2721"/>
      <c r="U11" s="2721"/>
      <c r="V11" s="2721"/>
      <c r="W11" s="2721"/>
      <c r="X11" s="2721"/>
      <c r="Y11" s="2721"/>
      <c r="Z11" s="2721"/>
      <c r="AA11" s="2721"/>
      <c r="AB11" s="2721"/>
      <c r="AC11" s="2946"/>
      <c r="AD11" s="2946"/>
      <c r="AE11" s="2946"/>
      <c r="AF11" s="2946"/>
      <c r="AG11" s="2946"/>
      <c r="AH11" s="2946"/>
      <c r="AI11" s="2946"/>
      <c r="AJ11" s="2946"/>
      <c r="AK11" s="2946"/>
      <c r="AL11" s="2946"/>
      <c r="AM11" s="2946"/>
      <c r="AN11" s="2946"/>
      <c r="AO11" s="2946"/>
      <c r="AP11" s="2946"/>
      <c r="AQ11" s="2946"/>
      <c r="AR11" s="2946"/>
      <c r="AS11" s="2946"/>
      <c r="AT11" s="2946"/>
      <c r="AU11" s="2946"/>
      <c r="AV11" s="2946"/>
      <c r="AW11" s="2946"/>
      <c r="AX11" s="2946"/>
      <c r="AY11" s="2946"/>
      <c r="AZ11" s="2946"/>
      <c r="BA11" s="2946"/>
      <c r="BB11" s="2946"/>
      <c r="BC11" s="2946"/>
      <c r="BD11" s="2946"/>
      <c r="BE11" s="2946"/>
      <c r="BF11" s="2946"/>
      <c r="BG11" s="2946"/>
      <c r="BH11" s="2946"/>
      <c r="BI11" s="2946"/>
      <c r="BJ11" s="2946"/>
      <c r="BK11" s="2946"/>
      <c r="BL11" s="2946"/>
      <c r="BM11" s="2946"/>
      <c r="BN11" s="2946"/>
      <c r="BO11" s="2946"/>
      <c r="BP11" s="2946"/>
      <c r="BQ11" s="2946"/>
      <c r="BR11" s="2946"/>
      <c r="BS11" s="2965"/>
      <c r="BT11" s="2898" t="s">
        <v>1193</v>
      </c>
      <c r="BU11" s="2899"/>
      <c r="BV11" s="2899"/>
      <c r="BW11" s="2899"/>
      <c r="BX11" s="2899"/>
      <c r="BY11" s="2899"/>
      <c r="BZ11" s="2899"/>
      <c r="CA11" s="2899"/>
      <c r="CB11" s="2899"/>
      <c r="CC11" s="2899"/>
      <c r="CD11" s="2899"/>
      <c r="CE11" s="2899"/>
      <c r="CF11" s="2899"/>
      <c r="CG11" s="2899"/>
      <c r="CH11" s="2899"/>
      <c r="CI11" s="2899"/>
      <c r="CJ11" s="2899"/>
      <c r="CK11" s="2945"/>
      <c r="CL11" s="2948"/>
      <c r="CM11" s="2946"/>
      <c r="CN11" s="2946"/>
      <c r="CO11" s="2946"/>
      <c r="CP11" s="2946"/>
      <c r="CQ11" s="2946"/>
      <c r="CR11" s="2946"/>
      <c r="CS11" s="2946"/>
      <c r="CT11" s="2946"/>
      <c r="CU11" s="2946"/>
      <c r="CV11" s="2946"/>
      <c r="CW11" s="2946"/>
      <c r="CX11" s="2965"/>
      <c r="CY11" s="2898" t="s">
        <v>1193</v>
      </c>
      <c r="CZ11" s="2899"/>
      <c r="DA11" s="2899"/>
      <c r="DB11" s="2899"/>
      <c r="DC11" s="2899"/>
      <c r="DD11" s="2899"/>
      <c r="DE11" s="2899"/>
      <c r="DF11" s="2899"/>
      <c r="DG11" s="2899"/>
      <c r="DH11" s="2899"/>
      <c r="DI11" s="2899"/>
      <c r="DJ11" s="2945"/>
      <c r="DK11" s="2948"/>
      <c r="DL11" s="2946"/>
      <c r="DM11" s="2946"/>
      <c r="DN11" s="2946"/>
      <c r="DO11" s="2946"/>
      <c r="DP11" s="2946"/>
      <c r="DQ11" s="2946"/>
      <c r="DR11" s="2946"/>
      <c r="DS11" s="2946"/>
      <c r="DT11" s="2946"/>
      <c r="DU11" s="2946"/>
      <c r="DV11" s="2946"/>
      <c r="DW11" s="2946"/>
      <c r="DX11" s="2946"/>
      <c r="DY11" s="2946"/>
      <c r="DZ11" s="2946"/>
      <c r="EA11" s="2946"/>
      <c r="EB11" s="2946"/>
      <c r="EC11" s="2946"/>
      <c r="ED11" s="2946"/>
      <c r="EE11" s="2946"/>
      <c r="EF11" s="2946"/>
      <c r="EG11" s="2946"/>
      <c r="EH11" s="2946"/>
      <c r="EI11" s="2946"/>
      <c r="EJ11" s="2946"/>
      <c r="EK11" s="2946"/>
      <c r="EL11" s="2946"/>
      <c r="EM11" s="2946"/>
      <c r="EN11" s="2946"/>
      <c r="EO11" s="2946"/>
      <c r="EP11" s="2946"/>
      <c r="EQ11" s="2946"/>
      <c r="ER11" s="2946"/>
      <c r="ES11" s="2946"/>
      <c r="ET11" s="2946"/>
      <c r="EU11" s="2946"/>
      <c r="EV11" s="2946"/>
      <c r="EW11" s="2946"/>
      <c r="EX11" s="2946"/>
      <c r="EY11" s="2946"/>
      <c r="EZ11" s="2946"/>
      <c r="FA11" s="2946"/>
      <c r="FB11" s="2946"/>
      <c r="FC11" s="2946"/>
      <c r="FD11" s="2946"/>
      <c r="FE11" s="2946"/>
      <c r="FF11" s="2946"/>
      <c r="FG11" s="2946"/>
      <c r="FH11" s="2946"/>
      <c r="FI11" s="2946"/>
      <c r="FJ11" s="2946"/>
      <c r="FK11" s="2946"/>
      <c r="FL11" s="2946"/>
      <c r="FM11" s="2946"/>
      <c r="FN11" s="2946"/>
      <c r="FO11" s="2946"/>
      <c r="FP11" s="2946"/>
      <c r="FQ11" s="2946"/>
      <c r="FR11" s="2946"/>
      <c r="FS11" s="2946"/>
      <c r="FT11" s="2946"/>
      <c r="FU11" s="2946"/>
      <c r="FV11" s="2946"/>
      <c r="FW11" s="2960"/>
      <c r="FX11" s="1274"/>
      <c r="GC11" s="1438">
        <v>12</v>
      </c>
    </row>
    <row customHeight="1" ht="12.75">
      <c r="D12" s="1450"/>
      <c r="E12" s="1449"/>
      <c r="F12" s="2717"/>
      <c r="G12" s="2717"/>
      <c r="H12" s="2949"/>
      <c r="I12" s="2949"/>
      <c r="J12" s="2950"/>
      <c r="K12" s="2950"/>
      <c r="L12" s="2950"/>
      <c r="M12" s="2950"/>
      <c r="N12" s="2950"/>
      <c r="O12" s="2721" t="s">
        <v>1194</v>
      </c>
      <c r="P12" s="2721"/>
      <c r="Q12" s="2721"/>
      <c r="R12" s="2721"/>
      <c r="S12" s="2721" t="s">
        <v>1195</v>
      </c>
      <c r="T12" s="2721"/>
      <c r="U12" s="2721"/>
      <c r="V12" s="2721"/>
      <c r="W12" s="2721"/>
      <c r="X12" s="2721"/>
      <c r="Y12" s="2721"/>
      <c r="Z12" s="2721"/>
      <c r="AA12" s="2721"/>
      <c r="AB12" s="2721"/>
      <c r="AC12" s="2946"/>
      <c r="AD12" s="2946"/>
      <c r="AE12" s="2946"/>
      <c r="AF12" s="2946"/>
      <c r="AG12" s="2946"/>
      <c r="AH12" s="2946"/>
      <c r="AI12" s="2946"/>
      <c r="AJ12" s="2946"/>
      <c r="AK12" s="2946"/>
      <c r="AL12" s="2946"/>
      <c r="AM12" s="2946"/>
      <c r="AN12" s="2946"/>
      <c r="AO12" s="2946"/>
      <c r="AP12" s="2946"/>
      <c r="AQ12" s="2946"/>
      <c r="AR12" s="2946"/>
      <c r="AS12" s="2946"/>
      <c r="AT12" s="2946"/>
      <c r="AU12" s="2946"/>
      <c r="AV12" s="2946"/>
      <c r="AW12" s="2946"/>
      <c r="AX12" s="2946"/>
      <c r="AY12" s="2946"/>
      <c r="AZ12" s="2946"/>
      <c r="BA12" s="2946"/>
      <c r="BB12" s="2946"/>
      <c r="BC12" s="2946"/>
      <c r="BD12" s="2946"/>
      <c r="BE12" s="2946"/>
      <c r="BF12" s="2946"/>
      <c r="BG12" s="2946"/>
      <c r="BH12" s="2946"/>
      <c r="BI12" s="2946"/>
      <c r="BJ12" s="2946"/>
      <c r="BK12" s="2946"/>
      <c r="BL12" s="2946"/>
      <c r="BM12" s="2946"/>
      <c r="BN12" s="2946"/>
      <c r="BO12" s="2946"/>
      <c r="BP12" s="2946"/>
      <c r="BQ12" s="2946"/>
      <c r="BR12" s="2946"/>
      <c r="BS12" s="2965"/>
      <c r="BT12" s="2898" t="s">
        <v>1196</v>
      </c>
      <c r="BU12" s="2899"/>
      <c r="BV12" s="2899"/>
      <c r="BW12" s="2945"/>
      <c r="BX12" s="2898" t="s">
        <v>1197</v>
      </c>
      <c r="BY12" s="2899"/>
      <c r="BZ12" s="2899"/>
      <c r="CA12" s="2945"/>
      <c r="CB12" s="2898" t="s">
        <v>1198</v>
      </c>
      <c r="CC12" s="2945"/>
      <c r="CD12" s="2898" t="s">
        <v>1199</v>
      </c>
      <c r="CE12" s="2899"/>
      <c r="CF12" s="2899"/>
      <c r="CG12" s="2899"/>
      <c r="CH12" s="2899"/>
      <c r="CI12" s="2899"/>
      <c r="CJ12" s="2899"/>
      <c r="CK12" s="2945"/>
      <c r="CL12" s="2948"/>
      <c r="CM12" s="2946"/>
      <c r="CN12" s="2946"/>
      <c r="CO12" s="2946"/>
      <c r="CP12" s="2946"/>
      <c r="CQ12" s="2946"/>
      <c r="CR12" s="2946"/>
      <c r="CS12" s="2946"/>
      <c r="CT12" s="2946"/>
      <c r="CU12" s="2946"/>
      <c r="CV12" s="2946"/>
      <c r="CW12" s="2946"/>
      <c r="CX12" s="2965"/>
      <c r="CY12" s="2898" t="s">
        <v>1200</v>
      </c>
      <c r="CZ12" s="2899"/>
      <c r="DA12" s="2899"/>
      <c r="DB12" s="2899"/>
      <c r="DC12" s="2899"/>
      <c r="DD12" s="2945"/>
      <c r="DE12" s="2898" t="s">
        <v>1201</v>
      </c>
      <c r="DF12" s="2945"/>
      <c r="DG12" s="2898" t="s">
        <v>1199</v>
      </c>
      <c r="DH12" s="2899"/>
      <c r="DI12" s="2899"/>
      <c r="DJ12" s="2945"/>
      <c r="DK12" s="2948"/>
      <c r="DL12" s="2946"/>
      <c r="DM12" s="2946"/>
      <c r="DN12" s="2946"/>
      <c r="DO12" s="2946"/>
      <c r="DP12" s="2946"/>
      <c r="DQ12" s="2946"/>
      <c r="DR12" s="2946"/>
      <c r="DS12" s="2946"/>
      <c r="DT12" s="2946"/>
      <c r="DU12" s="2946"/>
      <c r="DV12" s="2946"/>
      <c r="DW12" s="2946"/>
      <c r="DX12" s="2946"/>
      <c r="DY12" s="2946"/>
      <c r="DZ12" s="2946"/>
      <c r="EA12" s="2946"/>
      <c r="EB12" s="2946"/>
      <c r="EC12" s="2946"/>
      <c r="ED12" s="2946"/>
      <c r="EE12" s="2946"/>
      <c r="EF12" s="2946"/>
      <c r="EG12" s="2946"/>
      <c r="EH12" s="2946"/>
      <c r="EI12" s="2946"/>
      <c r="EJ12" s="2946"/>
      <c r="EK12" s="2946"/>
      <c r="EL12" s="2946"/>
      <c r="EM12" s="2946"/>
      <c r="EN12" s="2946"/>
      <c r="EO12" s="2946"/>
      <c r="EP12" s="2946"/>
      <c r="EQ12" s="2946"/>
      <c r="ER12" s="2946"/>
      <c r="ES12" s="2946"/>
      <c r="ET12" s="2946"/>
      <c r="EU12" s="2946"/>
      <c r="EV12" s="2946"/>
      <c r="EW12" s="2946"/>
      <c r="EX12" s="2946"/>
      <c r="EY12" s="2946"/>
      <c r="EZ12" s="2946"/>
      <c r="FA12" s="2946"/>
      <c r="FB12" s="2946"/>
      <c r="FC12" s="2946"/>
      <c r="FD12" s="2946"/>
      <c r="FE12" s="2946"/>
      <c r="FF12" s="2946"/>
      <c r="FG12" s="2946"/>
      <c r="FH12" s="2946"/>
      <c r="FI12" s="2946"/>
      <c r="FJ12" s="2946"/>
      <c r="FK12" s="2946"/>
      <c r="FL12" s="2946"/>
      <c r="FM12" s="2946"/>
      <c r="FN12" s="2946"/>
      <c r="FO12" s="2946"/>
      <c r="FP12" s="2946"/>
      <c r="FQ12" s="2946"/>
      <c r="FR12" s="2946"/>
      <c r="FS12" s="2946"/>
      <c r="FT12" s="2946"/>
      <c r="FU12" s="2946"/>
      <c r="FV12" s="2946"/>
      <c r="FW12" s="2960"/>
      <c r="FX12" s="1274"/>
      <c r="GC12" s="1438">
        <v>12</v>
      </c>
    </row>
    <row customHeight="1" ht="37.8">
      <c r="D13" s="1450"/>
      <c r="E13" s="1449"/>
      <c r="F13" s="2717"/>
      <c r="G13" s="2717"/>
      <c r="H13" s="2949"/>
      <c r="I13" s="2949"/>
      <c r="J13" s="2950"/>
      <c r="K13" s="2950"/>
      <c r="L13" s="2950"/>
      <c r="M13" s="2950"/>
      <c r="N13" s="2950"/>
      <c r="O13" s="2721" t="s">
        <v>1202</v>
      </c>
      <c r="P13" s="2721"/>
      <c r="Q13" s="2721"/>
      <c r="R13" s="2721"/>
      <c r="S13" s="2848" t="s">
        <v>1203</v>
      </c>
      <c r="T13" s="2900"/>
      <c r="U13" s="2639" t="s">
        <v>1204</v>
      </c>
      <c r="V13" s="2639"/>
      <c r="W13" s="2639"/>
      <c r="X13" s="2639"/>
      <c r="Y13" s="2639" t="s">
        <v>1205</v>
      </c>
      <c r="Z13" s="2639"/>
      <c r="AA13" s="2639"/>
      <c r="AB13" s="2639"/>
      <c r="AC13" s="2946"/>
      <c r="AD13" s="2946"/>
      <c r="AE13" s="2946"/>
      <c r="AF13" s="2946"/>
      <c r="AG13" s="2946"/>
      <c r="AH13" s="2946"/>
      <c r="AI13" s="2946"/>
      <c r="AJ13" s="2946"/>
      <c r="AK13" s="2946"/>
      <c r="AL13" s="2946"/>
      <c r="AM13" s="2946"/>
      <c r="AN13" s="2946"/>
      <c r="AO13" s="2946"/>
      <c r="AP13" s="2946"/>
      <c r="AQ13" s="2946"/>
      <c r="AR13" s="2946"/>
      <c r="AS13" s="2946"/>
      <c r="AT13" s="2946"/>
      <c r="AU13" s="2946"/>
      <c r="AV13" s="2946"/>
      <c r="AW13" s="2946"/>
      <c r="AX13" s="2946"/>
      <c r="AY13" s="2946"/>
      <c r="AZ13" s="2946"/>
      <c r="BA13" s="2946"/>
      <c r="BB13" s="2946"/>
      <c r="BC13" s="2946"/>
      <c r="BD13" s="2946"/>
      <c r="BE13" s="2946"/>
      <c r="BF13" s="2946"/>
      <c r="BG13" s="2946"/>
      <c r="BH13" s="2946"/>
      <c r="BI13" s="2946"/>
      <c r="BJ13" s="2946"/>
      <c r="BK13" s="2946"/>
      <c r="BL13" s="2946"/>
      <c r="BM13" s="2946"/>
      <c r="BN13" s="2946"/>
      <c r="BO13" s="2946"/>
      <c r="BP13" s="2946"/>
      <c r="BQ13" s="2946"/>
      <c r="BR13" s="2946"/>
      <c r="BS13" s="2965"/>
      <c r="BT13" s="2848" t="s">
        <v>1206</v>
      </c>
      <c r="BU13" s="2900"/>
      <c r="BV13" s="2848" t="s">
        <v>1207</v>
      </c>
      <c r="BW13" s="2900"/>
      <c r="BX13" s="2848" t="s">
        <v>1208</v>
      </c>
      <c r="BY13" s="2900"/>
      <c r="BZ13" s="2848" t="s">
        <v>1209</v>
      </c>
      <c r="CA13" s="2900"/>
      <c r="CB13" s="2848" t="s">
        <v>1210</v>
      </c>
      <c r="CC13" s="2900"/>
      <c r="CD13" s="2848" t="s">
        <v>1211</v>
      </c>
      <c r="CE13" s="2900"/>
      <c r="CF13" s="2848" t="s">
        <v>1212</v>
      </c>
      <c r="CG13" s="2900"/>
      <c r="CH13" s="2898" t="s">
        <v>1213</v>
      </c>
      <c r="CI13" s="2899"/>
      <c r="CJ13" s="2899"/>
      <c r="CK13" s="2945"/>
      <c r="CL13" s="2948"/>
      <c r="CM13" s="2946"/>
      <c r="CN13" s="2946"/>
      <c r="CO13" s="2946"/>
      <c r="CP13" s="2946"/>
      <c r="CQ13" s="2946"/>
      <c r="CR13" s="2946"/>
      <c r="CS13" s="2946"/>
      <c r="CT13" s="2946"/>
      <c r="CU13" s="2946"/>
      <c r="CV13" s="2946"/>
      <c r="CW13" s="2946"/>
      <c r="CX13" s="2965"/>
      <c r="CY13" s="2848" t="s">
        <v>1214</v>
      </c>
      <c r="CZ13" s="2900"/>
      <c r="DA13" s="2848" t="s">
        <v>1215</v>
      </c>
      <c r="DB13" s="2900"/>
      <c r="DC13" s="2848" t="s">
        <v>1216</v>
      </c>
      <c r="DD13" s="2900"/>
      <c r="DE13" s="2848" t="s">
        <v>1217</v>
      </c>
      <c r="DF13" s="2900"/>
      <c r="DG13" s="2898" t="s">
        <v>1218</v>
      </c>
      <c r="DH13" s="2899"/>
      <c r="DI13" s="2899"/>
      <c r="DJ13" s="2945"/>
      <c r="DK13" s="2948"/>
      <c r="DL13" s="2946"/>
      <c r="DM13" s="2946"/>
      <c r="DN13" s="2946"/>
      <c r="DO13" s="2946"/>
      <c r="DP13" s="2946"/>
      <c r="DQ13" s="2946"/>
      <c r="DR13" s="2946"/>
      <c r="DS13" s="2946"/>
      <c r="DT13" s="2946"/>
      <c r="DU13" s="2946"/>
      <c r="DV13" s="2946"/>
      <c r="DW13" s="2946"/>
      <c r="DX13" s="2946"/>
      <c r="DY13" s="2946"/>
      <c r="DZ13" s="2946"/>
      <c r="EA13" s="2946"/>
      <c r="EB13" s="2946"/>
      <c r="EC13" s="2946"/>
      <c r="ED13" s="2946"/>
      <c r="EE13" s="2946"/>
      <c r="EF13" s="2946"/>
      <c r="EG13" s="2946"/>
      <c r="EH13" s="2946"/>
      <c r="EI13" s="2946"/>
      <c r="EJ13" s="2946"/>
      <c r="EK13" s="2946"/>
      <c r="EL13" s="2946"/>
      <c r="EM13" s="2946"/>
      <c r="EN13" s="2946"/>
      <c r="EO13" s="2946"/>
      <c r="EP13" s="2946"/>
      <c r="EQ13" s="2946"/>
      <c r="ER13" s="2946"/>
      <c r="ES13" s="2946"/>
      <c r="ET13" s="2946"/>
      <c r="EU13" s="2946"/>
      <c r="EV13" s="2946"/>
      <c r="EW13" s="2946"/>
      <c r="EX13" s="2946"/>
      <c r="EY13" s="2946"/>
      <c r="EZ13" s="2946"/>
      <c r="FA13" s="2946"/>
      <c r="FB13" s="2946"/>
      <c r="FC13" s="2946"/>
      <c r="FD13" s="2946"/>
      <c r="FE13" s="2946"/>
      <c r="FF13" s="2946"/>
      <c r="FG13" s="2946"/>
      <c r="FH13" s="2946"/>
      <c r="FI13" s="2946"/>
      <c r="FJ13" s="2946"/>
      <c r="FK13" s="2946"/>
      <c r="FL13" s="2946"/>
      <c r="FM13" s="2946"/>
      <c r="FN13" s="2946"/>
      <c r="FO13" s="2946"/>
      <c r="FP13" s="2946"/>
      <c r="FQ13" s="2946"/>
      <c r="FR13" s="2946"/>
      <c r="FS13" s="2946"/>
      <c r="FT13" s="2946"/>
      <c r="FU13" s="2946"/>
      <c r="FV13" s="2946"/>
      <c r="FW13" s="2960"/>
      <c r="FX13" s="1274"/>
      <c r="GC13" s="1438">
        <v>36</v>
      </c>
    </row>
    <row customHeight="1" ht="37.8">
      <c r="D14" s="1450"/>
      <c r="E14" s="1449"/>
      <c r="F14" s="2717"/>
      <c r="G14" s="2717"/>
      <c r="H14" s="2949"/>
      <c r="I14" s="2949"/>
      <c r="J14" s="2950"/>
      <c r="K14" s="2950"/>
      <c r="L14" s="2950"/>
      <c r="M14" s="2950"/>
      <c r="N14" s="2950"/>
      <c r="O14" s="2848" t="s">
        <v>1219</v>
      </c>
      <c r="P14" s="2900"/>
      <c r="Q14" s="2848" t="s">
        <v>1220</v>
      </c>
      <c r="R14" s="2900"/>
      <c r="S14" s="2849"/>
      <c r="T14" s="2725"/>
      <c r="U14" s="2848" t="s">
        <v>952</v>
      </c>
      <c r="V14" s="2900"/>
      <c r="W14" s="2848" t="s">
        <v>955</v>
      </c>
      <c r="X14" s="2900"/>
      <c r="Y14" s="2848" t="s">
        <v>952</v>
      </c>
      <c r="Z14" s="2900"/>
      <c r="AA14" s="2848" t="s">
        <v>962</v>
      </c>
      <c r="AB14" s="2900"/>
      <c r="AC14" s="2946"/>
      <c r="AD14" s="2946"/>
      <c r="AE14" s="2946"/>
      <c r="AF14" s="2946"/>
      <c r="AG14" s="2946"/>
      <c r="AH14" s="2946"/>
      <c r="AI14" s="2946"/>
      <c r="AJ14" s="2946"/>
      <c r="AK14" s="2946"/>
      <c r="AL14" s="2946"/>
      <c r="AM14" s="2946"/>
      <c r="AN14" s="2946"/>
      <c r="AO14" s="2946"/>
      <c r="AP14" s="2946"/>
      <c r="AQ14" s="2946"/>
      <c r="AR14" s="2946"/>
      <c r="AS14" s="2946"/>
      <c r="AT14" s="2946"/>
      <c r="AU14" s="2946"/>
      <c r="AV14" s="2946"/>
      <c r="AW14" s="2946"/>
      <c r="AX14" s="2946"/>
      <c r="AY14" s="2946"/>
      <c r="AZ14" s="2946"/>
      <c r="BA14" s="2946"/>
      <c r="BB14" s="2946"/>
      <c r="BC14" s="2946"/>
      <c r="BD14" s="2946"/>
      <c r="BE14" s="2946"/>
      <c r="BF14" s="2946"/>
      <c r="BG14" s="2946"/>
      <c r="BH14" s="2946"/>
      <c r="BI14" s="2946"/>
      <c r="BJ14" s="2946"/>
      <c r="BK14" s="2946"/>
      <c r="BL14" s="2946"/>
      <c r="BM14" s="2946"/>
      <c r="BN14" s="2946"/>
      <c r="BO14" s="2946"/>
      <c r="BP14" s="2946"/>
      <c r="BQ14" s="2946"/>
      <c r="BR14" s="2946"/>
      <c r="BS14" s="2965"/>
      <c r="BT14" s="2849"/>
      <c r="BU14" s="2725"/>
      <c r="BV14" s="2849"/>
      <c r="BW14" s="2725"/>
      <c r="BX14" s="2849"/>
      <c r="BY14" s="2725"/>
      <c r="BZ14" s="2849"/>
      <c r="CA14" s="2725"/>
      <c r="CB14" s="2849"/>
      <c r="CC14" s="2725"/>
      <c r="CD14" s="2849"/>
      <c r="CE14" s="2725"/>
      <c r="CF14" s="2849"/>
      <c r="CG14" s="2725"/>
      <c r="CH14" s="2848" t="s">
        <v>1221</v>
      </c>
      <c r="CI14" s="2900"/>
      <c r="CJ14" s="2848" t="s">
        <v>1222</v>
      </c>
      <c r="CK14" s="2900"/>
      <c r="CL14" s="2948"/>
      <c r="CM14" s="2946"/>
      <c r="CN14" s="2946"/>
      <c r="CO14" s="2946"/>
      <c r="CP14" s="2946"/>
      <c r="CQ14" s="2946"/>
      <c r="CR14" s="2946"/>
      <c r="CS14" s="2946"/>
      <c r="CT14" s="2946"/>
      <c r="CU14" s="2946"/>
      <c r="CV14" s="2946"/>
      <c r="CW14" s="2946"/>
      <c r="CX14" s="2965"/>
      <c r="CY14" s="2849"/>
      <c r="CZ14" s="2725"/>
      <c r="DA14" s="2849"/>
      <c r="DB14" s="2725"/>
      <c r="DC14" s="2849"/>
      <c r="DD14" s="2725"/>
      <c r="DE14" s="2849"/>
      <c r="DF14" s="2725"/>
      <c r="DG14" s="2848" t="s">
        <v>1223</v>
      </c>
      <c r="DH14" s="2900"/>
      <c r="DI14" s="2848" t="s">
        <v>1224</v>
      </c>
      <c r="DJ14" s="2900"/>
      <c r="DK14" s="2948"/>
      <c r="DL14" s="2946"/>
      <c r="DM14" s="2946"/>
      <c r="DN14" s="2946"/>
      <c r="DO14" s="2946"/>
      <c r="DP14" s="2946"/>
      <c r="DQ14" s="2946"/>
      <c r="DR14" s="2946"/>
      <c r="DS14" s="2946"/>
      <c r="DT14" s="2946"/>
      <c r="DU14" s="2946"/>
      <c r="DV14" s="2946"/>
      <c r="DW14" s="2946"/>
      <c r="DX14" s="2946"/>
      <c r="DY14" s="2946"/>
      <c r="DZ14" s="2946"/>
      <c r="EA14" s="2946"/>
      <c r="EB14" s="2946"/>
      <c r="EC14" s="2946"/>
      <c r="ED14" s="2946"/>
      <c r="EE14" s="2946"/>
      <c r="EF14" s="2946"/>
      <c r="EG14" s="2946"/>
      <c r="EH14" s="2946"/>
      <c r="EI14" s="2946"/>
      <c r="EJ14" s="2946"/>
      <c r="EK14" s="2946"/>
      <c r="EL14" s="2946"/>
      <c r="EM14" s="2946"/>
      <c r="EN14" s="2946"/>
      <c r="EO14" s="2946"/>
      <c r="EP14" s="2946"/>
      <c r="EQ14" s="2946"/>
      <c r="ER14" s="2946"/>
      <c r="ES14" s="2946"/>
      <c r="ET14" s="2946"/>
      <c r="EU14" s="2946"/>
      <c r="EV14" s="2946"/>
      <c r="EW14" s="2946"/>
      <c r="EX14" s="2946"/>
      <c r="EY14" s="2946"/>
      <c r="EZ14" s="2946"/>
      <c r="FA14" s="2946"/>
      <c r="FB14" s="2946"/>
      <c r="FC14" s="2946"/>
      <c r="FD14" s="2946"/>
      <c r="FE14" s="2946"/>
      <c r="FF14" s="2946"/>
      <c r="FG14" s="2946"/>
      <c r="FH14" s="2946"/>
      <c r="FI14" s="2946"/>
      <c r="FJ14" s="2946"/>
      <c r="FK14" s="2946"/>
      <c r="FL14" s="2946"/>
      <c r="FM14" s="2946"/>
      <c r="FN14" s="2946"/>
      <c r="FO14" s="2946"/>
      <c r="FP14" s="2946"/>
      <c r="FQ14" s="2946"/>
      <c r="FR14" s="2946"/>
      <c r="FS14" s="2946"/>
      <c r="FT14" s="2946"/>
      <c r="FU14" s="2946"/>
      <c r="FV14" s="2946"/>
      <c r="FW14" s="2960"/>
      <c r="FX14" s="1274"/>
      <c r="GC14" s="1438">
        <v>36</v>
      </c>
    </row>
    <row customHeight="1" ht="37.8">
      <c r="D15" s="1450"/>
      <c r="E15" s="1449"/>
      <c r="F15" s="2717"/>
      <c r="G15" s="2717"/>
      <c r="H15" s="2949"/>
      <c r="I15" s="2949"/>
      <c r="J15" s="2950"/>
      <c r="K15" s="2950"/>
      <c r="L15" s="2950"/>
      <c r="M15" s="2950"/>
      <c r="N15" s="2950"/>
      <c r="O15" s="2850"/>
      <c r="P15" s="2947"/>
      <c r="Q15" s="2850"/>
      <c r="R15" s="2947"/>
      <c r="S15" s="2850"/>
      <c r="T15" s="2947"/>
      <c r="U15" s="2850"/>
      <c r="V15" s="2947"/>
      <c r="W15" s="2850"/>
      <c r="X15" s="2947"/>
      <c r="Y15" s="2850"/>
      <c r="Z15" s="2947"/>
      <c r="AA15" s="2850"/>
      <c r="AB15" s="2947"/>
      <c r="AC15" s="2946"/>
      <c r="AD15" s="2946"/>
      <c r="AE15" s="2946"/>
      <c r="AF15" s="2946"/>
      <c r="AG15" s="2946"/>
      <c r="AH15" s="2946"/>
      <c r="AI15" s="2946"/>
      <c r="AJ15" s="2946"/>
      <c r="AK15" s="2946"/>
      <c r="AL15" s="2946"/>
      <c r="AM15" s="2946"/>
      <c r="AN15" s="2946"/>
      <c r="AO15" s="2946"/>
      <c r="AP15" s="2946"/>
      <c r="AQ15" s="2946"/>
      <c r="AR15" s="2946"/>
      <c r="AS15" s="2946"/>
      <c r="AT15" s="2946"/>
      <c r="AU15" s="2946"/>
      <c r="AV15" s="2946"/>
      <c r="AW15" s="2946"/>
      <c r="AX15" s="2946"/>
      <c r="AY15" s="2946"/>
      <c r="AZ15" s="2946"/>
      <c r="BA15" s="2946"/>
      <c r="BB15" s="2946"/>
      <c r="BC15" s="2946"/>
      <c r="BD15" s="2946"/>
      <c r="BE15" s="2946"/>
      <c r="BF15" s="2946"/>
      <c r="BG15" s="2946"/>
      <c r="BH15" s="2946"/>
      <c r="BI15" s="2946"/>
      <c r="BJ15" s="2946"/>
      <c r="BK15" s="2946"/>
      <c r="BL15" s="2946"/>
      <c r="BM15" s="2946"/>
      <c r="BN15" s="2946"/>
      <c r="BO15" s="2946"/>
      <c r="BP15" s="2946"/>
      <c r="BQ15" s="2946"/>
      <c r="BR15" s="2946"/>
      <c r="BS15" s="2965"/>
      <c r="BT15" s="2850"/>
      <c r="BU15" s="2947"/>
      <c r="BV15" s="2850"/>
      <c r="BW15" s="2947"/>
      <c r="BX15" s="2850"/>
      <c r="BY15" s="2947"/>
      <c r="BZ15" s="2850"/>
      <c r="CA15" s="2947"/>
      <c r="CB15" s="2850"/>
      <c r="CC15" s="2947"/>
      <c r="CD15" s="2850"/>
      <c r="CE15" s="2947"/>
      <c r="CF15" s="2850"/>
      <c r="CG15" s="2947"/>
      <c r="CH15" s="2850"/>
      <c r="CI15" s="2947"/>
      <c r="CJ15" s="2850"/>
      <c r="CK15" s="2947"/>
      <c r="CL15" s="2948"/>
      <c r="CM15" s="2946"/>
      <c r="CN15" s="2946"/>
      <c r="CO15" s="2946"/>
      <c r="CP15" s="2946"/>
      <c r="CQ15" s="2946"/>
      <c r="CR15" s="2946"/>
      <c r="CS15" s="2946"/>
      <c r="CT15" s="2946"/>
      <c r="CU15" s="2946"/>
      <c r="CV15" s="2946"/>
      <c r="CW15" s="2946"/>
      <c r="CX15" s="2965"/>
      <c r="CY15" s="2850"/>
      <c r="CZ15" s="2947"/>
      <c r="DA15" s="2850"/>
      <c r="DB15" s="2947"/>
      <c r="DC15" s="2850"/>
      <c r="DD15" s="2947"/>
      <c r="DE15" s="2850"/>
      <c r="DF15" s="2947"/>
      <c r="DG15" s="2850"/>
      <c r="DH15" s="2947"/>
      <c r="DI15" s="2850"/>
      <c r="DJ15" s="2947"/>
      <c r="DK15" s="2948"/>
      <c r="DL15" s="2946"/>
      <c r="DM15" s="2946"/>
      <c r="DN15" s="2946"/>
      <c r="DO15" s="2946"/>
      <c r="DP15" s="2946"/>
      <c r="DQ15" s="2946"/>
      <c r="DR15" s="2946"/>
      <c r="DS15" s="2946"/>
      <c r="DT15" s="2946"/>
      <c r="DU15" s="2946"/>
      <c r="DV15" s="2946"/>
      <c r="DW15" s="2946"/>
      <c r="DX15" s="2946"/>
      <c r="DY15" s="2946"/>
      <c r="DZ15" s="2946"/>
      <c r="EA15" s="2946"/>
      <c r="EB15" s="2946"/>
      <c r="EC15" s="2946"/>
      <c r="ED15" s="2946"/>
      <c r="EE15" s="2946"/>
      <c r="EF15" s="2946"/>
      <c r="EG15" s="2946"/>
      <c r="EH15" s="2946"/>
      <c r="EI15" s="2946"/>
      <c r="EJ15" s="2946"/>
      <c r="EK15" s="2946"/>
      <c r="EL15" s="2946"/>
      <c r="EM15" s="2946"/>
      <c r="EN15" s="2946"/>
      <c r="EO15" s="2946"/>
      <c r="EP15" s="2946"/>
      <c r="EQ15" s="2946"/>
      <c r="ER15" s="2946"/>
      <c r="ES15" s="2946"/>
      <c r="ET15" s="2946"/>
      <c r="EU15" s="2946"/>
      <c r="EV15" s="2946"/>
      <c r="EW15" s="2946"/>
      <c r="EX15" s="2946"/>
      <c r="EY15" s="2946"/>
      <c r="EZ15" s="2946"/>
      <c r="FA15" s="2946"/>
      <c r="FB15" s="2946"/>
      <c r="FC15" s="2946"/>
      <c r="FD15" s="2946"/>
      <c r="FE15" s="2946"/>
      <c r="FF15" s="2946"/>
      <c r="FG15" s="2946"/>
      <c r="FH15" s="2946"/>
      <c r="FI15" s="2946"/>
      <c r="FJ15" s="2946"/>
      <c r="FK15" s="2946"/>
      <c r="FL15" s="2946"/>
      <c r="FM15" s="2946"/>
      <c r="FN15" s="2946"/>
      <c r="FO15" s="2946"/>
      <c r="FP15" s="2946"/>
      <c r="FQ15" s="2946"/>
      <c r="FR15" s="2946"/>
      <c r="FS15" s="2946"/>
      <c r="FT15" s="2946"/>
      <c r="FU15" s="2946"/>
      <c r="FV15" s="2946"/>
      <c r="FW15" s="2960"/>
      <c r="FX15" s="1274"/>
      <c r="GC15" s="1438">
        <v>36</v>
      </c>
    </row>
    <row customHeight="1" ht="12.75">
      <c r="D16" s="1450"/>
      <c r="E16" s="1449"/>
      <c r="F16" s="2717"/>
      <c r="G16" s="2717"/>
      <c r="H16" s="2949"/>
      <c r="I16" s="2949"/>
      <c r="J16" s="2950"/>
      <c r="K16" s="2950"/>
      <c r="L16" s="2950"/>
      <c r="M16" s="2950"/>
      <c r="N16" s="2950"/>
      <c r="O16" s="2898" t="s">
        <v>942</v>
      </c>
      <c r="P16" s="2945"/>
      <c r="Q16" s="2898" t="s">
        <v>944</v>
      </c>
      <c r="R16" s="2945"/>
      <c r="S16" s="2898" t="s">
        <v>948</v>
      </c>
      <c r="T16" s="2945"/>
      <c r="U16" s="2898" t="s">
        <v>953</v>
      </c>
      <c r="V16" s="2945"/>
      <c r="W16" s="2898" t="s">
        <v>956</v>
      </c>
      <c r="X16" s="2945"/>
      <c r="Y16" s="2898" t="s">
        <v>960</v>
      </c>
      <c r="Z16" s="2945"/>
      <c r="AA16" s="2898" t="s">
        <v>963</v>
      </c>
      <c r="AB16" s="2945"/>
      <c r="AC16" s="2946"/>
      <c r="AD16" s="2946"/>
      <c r="AE16" s="2946"/>
      <c r="AF16" s="2946"/>
      <c r="AG16" s="2946"/>
      <c r="AH16" s="2946"/>
      <c r="AI16" s="2946"/>
      <c r="AJ16" s="2946"/>
      <c r="AK16" s="2946"/>
      <c r="AL16" s="2946"/>
      <c r="AM16" s="2946"/>
      <c r="AN16" s="2946"/>
      <c r="AO16" s="2946"/>
      <c r="AP16" s="2946"/>
      <c r="AQ16" s="2946"/>
      <c r="AR16" s="2946"/>
      <c r="AS16" s="2946"/>
      <c r="AT16" s="2946"/>
      <c r="AU16" s="2946"/>
      <c r="AV16" s="2946"/>
      <c r="AW16" s="2946"/>
      <c r="AX16" s="2946"/>
      <c r="AY16" s="2946"/>
      <c r="AZ16" s="2946"/>
      <c r="BA16" s="2946"/>
      <c r="BB16" s="2946"/>
      <c r="BC16" s="2946"/>
      <c r="BD16" s="2946"/>
      <c r="BE16" s="2946"/>
      <c r="BF16" s="2946"/>
      <c r="BG16" s="2946"/>
      <c r="BH16" s="2946"/>
      <c r="BI16" s="2946"/>
      <c r="BJ16" s="2946"/>
      <c r="BK16" s="2946"/>
      <c r="BL16" s="2946"/>
      <c r="BM16" s="2946"/>
      <c r="BN16" s="2946"/>
      <c r="BO16" s="2946"/>
      <c r="BP16" s="2946"/>
      <c r="BQ16" s="2946"/>
      <c r="BR16" s="2946"/>
      <c r="BS16" s="2965"/>
      <c r="BT16" s="2898" t="s">
        <v>675</v>
      </c>
      <c r="BU16" s="2945"/>
      <c r="BV16" s="2898" t="s">
        <v>675</v>
      </c>
      <c r="BW16" s="2945"/>
      <c r="BX16" s="2898" t="s">
        <v>675</v>
      </c>
      <c r="BY16" s="2945"/>
      <c r="BZ16" s="2898" t="s">
        <v>675</v>
      </c>
      <c r="CA16" s="2945"/>
      <c r="CB16" s="2898" t="s">
        <v>1225</v>
      </c>
      <c r="CC16" s="2945"/>
      <c r="CD16" s="2898" t="s">
        <v>675</v>
      </c>
      <c r="CE16" s="2945"/>
      <c r="CF16" s="2898" t="s">
        <v>1226</v>
      </c>
      <c r="CG16" s="2945"/>
      <c r="CH16" s="2898" t="s">
        <v>1227</v>
      </c>
      <c r="CI16" s="2945"/>
      <c r="CJ16" s="2898" t="s">
        <v>1227</v>
      </c>
      <c r="CK16" s="2945"/>
      <c r="CL16" s="2948"/>
      <c r="CM16" s="2946"/>
      <c r="CN16" s="2946"/>
      <c r="CO16" s="2946"/>
      <c r="CP16" s="2946"/>
      <c r="CQ16" s="2946"/>
      <c r="CR16" s="2946"/>
      <c r="CS16" s="2946"/>
      <c r="CT16" s="2946"/>
      <c r="CU16" s="2946"/>
      <c r="CV16" s="2946"/>
      <c r="CW16" s="2946"/>
      <c r="CX16" s="2965"/>
      <c r="CY16" s="2848" t="s">
        <v>675</v>
      </c>
      <c r="CZ16" s="2900"/>
      <c r="DA16" s="2848" t="s">
        <v>675</v>
      </c>
      <c r="DB16" s="2900"/>
      <c r="DC16" s="2848" t="s">
        <v>675</v>
      </c>
      <c r="DD16" s="2900"/>
      <c r="DE16" s="2898" t="s">
        <v>1225</v>
      </c>
      <c r="DF16" s="2945"/>
      <c r="DG16" s="2898" t="s">
        <v>1228</v>
      </c>
      <c r="DH16" s="2945"/>
      <c r="DI16" s="2898" t="s">
        <v>1228</v>
      </c>
      <c r="DJ16" s="2945"/>
      <c r="DK16" s="2948"/>
      <c r="DL16" s="2946"/>
      <c r="DM16" s="2946"/>
      <c r="DN16" s="2946"/>
      <c r="DO16" s="2946"/>
      <c r="DP16" s="2946"/>
      <c r="DQ16" s="2946"/>
      <c r="DR16" s="2946"/>
      <c r="DS16" s="2946"/>
      <c r="DT16" s="2946"/>
      <c r="DU16" s="2946"/>
      <c r="DV16" s="2946"/>
      <c r="DW16" s="2946"/>
      <c r="DX16" s="2946"/>
      <c r="DY16" s="2946"/>
      <c r="DZ16" s="2946"/>
      <c r="EA16" s="2946"/>
      <c r="EB16" s="2946"/>
      <c r="EC16" s="2946"/>
      <c r="ED16" s="2946"/>
      <c r="EE16" s="2946"/>
      <c r="EF16" s="2946"/>
      <c r="EG16" s="2946"/>
      <c r="EH16" s="2946"/>
      <c r="EI16" s="2946"/>
      <c r="EJ16" s="2946"/>
      <c r="EK16" s="2946"/>
      <c r="EL16" s="2946"/>
      <c r="EM16" s="2946"/>
      <c r="EN16" s="2946"/>
      <c r="EO16" s="2946"/>
      <c r="EP16" s="2946"/>
      <c r="EQ16" s="2946"/>
      <c r="ER16" s="2946"/>
      <c r="ES16" s="2946"/>
      <c r="ET16" s="2946"/>
      <c r="EU16" s="2946"/>
      <c r="EV16" s="2946"/>
      <c r="EW16" s="2946"/>
      <c r="EX16" s="2946"/>
      <c r="EY16" s="2946"/>
      <c r="EZ16" s="2946"/>
      <c r="FA16" s="2946"/>
      <c r="FB16" s="2946"/>
      <c r="FC16" s="2946"/>
      <c r="FD16" s="2946"/>
      <c r="FE16" s="2946"/>
      <c r="FF16" s="2946"/>
      <c r="FG16" s="2946"/>
      <c r="FH16" s="2946"/>
      <c r="FI16" s="2946"/>
      <c r="FJ16" s="2946"/>
      <c r="FK16" s="2946"/>
      <c r="FL16" s="2946"/>
      <c r="FM16" s="2946"/>
      <c r="FN16" s="2946"/>
      <c r="FO16" s="2946"/>
      <c r="FP16" s="2946"/>
      <c r="FQ16" s="2946"/>
      <c r="FR16" s="2946"/>
      <c r="FS16" s="2946"/>
      <c r="FT16" s="2946"/>
      <c r="FU16" s="2946"/>
      <c r="FV16" s="2946"/>
      <c r="FW16" s="2960"/>
      <c r="FX16" s="1274"/>
      <c r="GC16" s="1438">
        <v>12</v>
      </c>
    </row>
    <row customHeight="1" ht="15.75">
      <c r="E17" s="1449"/>
      <c r="F17" s="2717"/>
      <c r="G17" s="2717"/>
      <c r="H17" s="2949"/>
      <c r="I17" s="2949"/>
      <c r="J17" s="2950"/>
      <c r="K17" s="2950"/>
      <c r="L17" s="2950"/>
      <c r="M17" s="2950"/>
      <c r="N17" s="2950"/>
      <c r="O17" s="1703" t="s">
        <v>1229</v>
      </c>
      <c r="P17" s="1703" t="s">
        <v>1230</v>
      </c>
      <c r="Q17" s="1703" t="s">
        <v>1229</v>
      </c>
      <c r="R17" s="1703" t="s">
        <v>1230</v>
      </c>
      <c r="S17" s="1703" t="s">
        <v>1229</v>
      </c>
      <c r="T17" s="1703" t="s">
        <v>1230</v>
      </c>
      <c r="U17" s="1703" t="s">
        <v>1229</v>
      </c>
      <c r="V17" s="1703" t="s">
        <v>1230</v>
      </c>
      <c r="W17" s="1703" t="s">
        <v>1229</v>
      </c>
      <c r="X17" s="1703" t="s">
        <v>1230</v>
      </c>
      <c r="Y17" s="1703" t="s">
        <v>1229</v>
      </c>
      <c r="Z17" s="1703" t="s">
        <v>1230</v>
      </c>
      <c r="AA17" s="1703" t="s">
        <v>1229</v>
      </c>
      <c r="AB17" s="1703" t="s">
        <v>1230</v>
      </c>
      <c r="AC17" s="2946"/>
      <c r="AD17" s="2946"/>
      <c r="AE17" s="2946"/>
      <c r="AF17" s="2946"/>
      <c r="AG17" s="2946"/>
      <c r="AH17" s="2946"/>
      <c r="AI17" s="2946"/>
      <c r="AJ17" s="2946"/>
      <c r="AK17" s="2946"/>
      <c r="AL17" s="2946"/>
      <c r="AM17" s="2946"/>
      <c r="AN17" s="2946"/>
      <c r="AO17" s="2946"/>
      <c r="AP17" s="2946"/>
      <c r="AQ17" s="2946"/>
      <c r="AR17" s="2946"/>
      <c r="AS17" s="2946"/>
      <c r="AT17" s="2946"/>
      <c r="AU17" s="2946"/>
      <c r="AV17" s="2946"/>
      <c r="AW17" s="2946"/>
      <c r="AX17" s="2946"/>
      <c r="AY17" s="2946"/>
      <c r="AZ17" s="2946"/>
      <c r="BA17" s="2946"/>
      <c r="BB17" s="2946"/>
      <c r="BC17" s="2946"/>
      <c r="BD17" s="2946"/>
      <c r="BE17" s="2946"/>
      <c r="BF17" s="2946"/>
      <c r="BG17" s="2946"/>
      <c r="BH17" s="2946"/>
      <c r="BI17" s="2946"/>
      <c r="BJ17" s="2946"/>
      <c r="BK17" s="2946"/>
      <c r="BL17" s="2946"/>
      <c r="BM17" s="2946"/>
      <c r="BN17" s="2946"/>
      <c r="BO17" s="2946"/>
      <c r="BP17" s="2946"/>
      <c r="BQ17" s="2946"/>
      <c r="BR17" s="2946"/>
      <c r="BS17" s="2965"/>
      <c r="BT17" s="1703" t="s">
        <v>1229</v>
      </c>
      <c r="BU17" s="1703" t="s">
        <v>1230</v>
      </c>
      <c r="BV17" s="1703" t="s">
        <v>1229</v>
      </c>
      <c r="BW17" s="1703" t="s">
        <v>1230</v>
      </c>
      <c r="BX17" s="1703" t="s">
        <v>1229</v>
      </c>
      <c r="BY17" s="1703" t="s">
        <v>1230</v>
      </c>
      <c r="BZ17" s="1703" t="s">
        <v>1229</v>
      </c>
      <c r="CA17" s="1703" t="s">
        <v>1230</v>
      </c>
      <c r="CB17" s="1703" t="s">
        <v>1229</v>
      </c>
      <c r="CC17" s="1703" t="s">
        <v>1230</v>
      </c>
      <c r="CD17" s="1703" t="s">
        <v>1229</v>
      </c>
      <c r="CE17" s="1703" t="s">
        <v>1230</v>
      </c>
      <c r="CF17" s="1703" t="s">
        <v>1229</v>
      </c>
      <c r="CG17" s="1703" t="s">
        <v>1230</v>
      </c>
      <c r="CH17" s="1703" t="s">
        <v>1229</v>
      </c>
      <c r="CI17" s="1703" t="s">
        <v>1230</v>
      </c>
      <c r="CJ17" s="1703" t="s">
        <v>1229</v>
      </c>
      <c r="CK17" s="1703" t="s">
        <v>1230</v>
      </c>
      <c r="CL17" s="2948"/>
      <c r="CM17" s="2946"/>
      <c r="CN17" s="2946"/>
      <c r="CO17" s="2946"/>
      <c r="CP17" s="2946"/>
      <c r="CQ17" s="2946"/>
      <c r="CR17" s="2946"/>
      <c r="CS17" s="2946"/>
      <c r="CT17" s="2946"/>
      <c r="CU17" s="2946"/>
      <c r="CV17" s="2946"/>
      <c r="CW17" s="2946"/>
      <c r="CX17" s="2965"/>
      <c r="CY17" s="1703" t="s">
        <v>1229</v>
      </c>
      <c r="CZ17" s="1703" t="s">
        <v>1230</v>
      </c>
      <c r="DA17" s="1703" t="s">
        <v>1229</v>
      </c>
      <c r="DB17" s="1703" t="s">
        <v>1230</v>
      </c>
      <c r="DC17" s="1703" t="s">
        <v>1229</v>
      </c>
      <c r="DD17" s="1703" t="s">
        <v>1230</v>
      </c>
      <c r="DE17" s="1703" t="s">
        <v>1229</v>
      </c>
      <c r="DF17" s="1703" t="s">
        <v>1230</v>
      </c>
      <c r="DG17" s="1703" t="s">
        <v>1229</v>
      </c>
      <c r="DH17" s="1703" t="s">
        <v>1230</v>
      </c>
      <c r="DI17" s="1703" t="s">
        <v>1229</v>
      </c>
      <c r="DJ17" s="1703" t="s">
        <v>1230</v>
      </c>
      <c r="DK17" s="2948"/>
      <c r="DL17" s="2946"/>
      <c r="DM17" s="2946"/>
      <c r="DN17" s="2946"/>
      <c r="DO17" s="2946"/>
      <c r="DP17" s="2946"/>
      <c r="DQ17" s="2946"/>
      <c r="DR17" s="2946"/>
      <c r="DS17" s="2946"/>
      <c r="DT17" s="2946"/>
      <c r="DU17" s="2946"/>
      <c r="DV17" s="2946"/>
      <c r="DW17" s="2946"/>
      <c r="DX17" s="2946"/>
      <c r="DY17" s="2946"/>
      <c r="DZ17" s="2946"/>
      <c r="EA17" s="2946"/>
      <c r="EB17" s="2946"/>
      <c r="EC17" s="2946"/>
      <c r="ED17" s="2946"/>
      <c r="EE17" s="2946"/>
      <c r="EF17" s="2946"/>
      <c r="EG17" s="2946"/>
      <c r="EH17" s="2946"/>
      <c r="EI17" s="2946"/>
      <c r="EJ17" s="2946"/>
      <c r="EK17" s="2946"/>
      <c r="EL17" s="2946"/>
      <c r="EM17" s="2946"/>
      <c r="EN17" s="2946"/>
      <c r="EO17" s="2946"/>
      <c r="EP17" s="2946"/>
      <c r="EQ17" s="2946"/>
      <c r="ER17" s="2946"/>
      <c r="ES17" s="2946"/>
      <c r="ET17" s="2946"/>
      <c r="EU17" s="2946"/>
      <c r="EV17" s="2946"/>
      <c r="EW17" s="2946"/>
      <c r="EX17" s="2946"/>
      <c r="EY17" s="2946"/>
      <c r="EZ17" s="2946"/>
      <c r="FA17" s="2946"/>
      <c r="FB17" s="2946"/>
      <c r="FC17" s="2946"/>
      <c r="FD17" s="2946"/>
      <c r="FE17" s="2946"/>
      <c r="FF17" s="2946"/>
      <c r="FG17" s="2946"/>
      <c r="FH17" s="2946"/>
      <c r="FI17" s="2946"/>
      <c r="FJ17" s="2946"/>
      <c r="FK17" s="2946"/>
      <c r="FL17" s="2946"/>
      <c r="FM17" s="2946"/>
      <c r="FN17" s="2946"/>
      <c r="FO17" s="2946"/>
      <c r="FP17" s="2946"/>
      <c r="FQ17" s="2946"/>
      <c r="FR17" s="2946"/>
      <c r="FS17" s="2946"/>
      <c r="FT17" s="2946"/>
      <c r="FU17" s="2946"/>
      <c r="FV17" s="2946"/>
      <c r="FW17" s="2961"/>
      <c r="FX17" s="1274"/>
      <c r="GC17" s="1438">
        <v>15</v>
      </c>
    </row>
    <row s="55041" customFormat="1" customHeight="1" ht="12" hidden="1">
      <c r="B18" s="1435"/>
      <c r="E18" s="1451"/>
      <c r="F18" s="1704"/>
      <c r="G18" s="1704"/>
      <c r="H18" s="1704"/>
      <c r="I18" s="1704"/>
      <c r="J18" s="1705"/>
      <c r="K18" s="1705"/>
      <c r="L18" s="1705"/>
      <c r="M18" s="1705"/>
      <c r="N18" s="1705"/>
      <c r="O18" s="1704"/>
      <c r="P18" s="1704"/>
      <c r="Q18" s="1704"/>
      <c r="R18" s="1704"/>
      <c r="S18" s="1704"/>
      <c r="T18" s="1704"/>
      <c r="U18" s="1706"/>
      <c r="V18" s="1706"/>
      <c r="W18" s="1706"/>
      <c r="X18" s="1706"/>
      <c r="Y18" s="1706"/>
      <c r="Z18" s="1706"/>
      <c r="AA18" s="1706"/>
      <c r="AB18" s="1704"/>
      <c r="AC18" s="1705"/>
      <c r="AD18" s="1705"/>
      <c r="AE18" s="1705"/>
      <c r="AF18" s="1705"/>
      <c r="AG18" s="1705"/>
      <c r="AH18" s="1705"/>
      <c r="AI18" s="1705"/>
      <c r="AJ18" s="1705"/>
      <c r="AK18" s="1705"/>
      <c r="AL18" s="1705"/>
      <c r="AM18" s="1705"/>
      <c r="AN18" s="1705"/>
      <c r="AO18" s="1705"/>
      <c r="AP18" s="1705"/>
      <c r="AQ18" s="1705"/>
      <c r="AR18" s="1705"/>
      <c r="AS18" s="1705"/>
      <c r="AT18" s="1705"/>
      <c r="AU18" s="1705"/>
      <c r="AV18" s="1705"/>
      <c r="AW18" s="1705"/>
      <c r="AX18" s="1705"/>
      <c r="AY18" s="1705"/>
      <c r="AZ18" s="1705"/>
      <c r="BA18" s="1705"/>
      <c r="BB18" s="1705"/>
      <c r="BC18" s="1705"/>
      <c r="BD18" s="1705"/>
      <c r="BE18" s="1705"/>
      <c r="BF18" s="1705"/>
      <c r="BG18" s="1705"/>
      <c r="BH18" s="1705"/>
      <c r="BI18" s="1705"/>
      <c r="BJ18" s="1705"/>
      <c r="BK18" s="1705"/>
      <c r="BL18" s="1705"/>
      <c r="BM18" s="1705"/>
      <c r="BN18" s="1705"/>
      <c r="BO18" s="1705"/>
      <c r="BP18" s="1705"/>
      <c r="BQ18" s="1705"/>
      <c r="BR18" s="1705"/>
      <c r="BS18" s="1705"/>
      <c r="BT18" s="1707"/>
      <c r="BU18" s="1707"/>
      <c r="BV18" s="1707"/>
      <c r="BW18" s="1707"/>
      <c r="BX18" s="1707"/>
      <c r="BY18" s="1707"/>
      <c r="BZ18" s="1707"/>
      <c r="CA18" s="1707"/>
      <c r="CB18" s="1707"/>
      <c r="CC18" s="1707"/>
      <c r="CD18" s="1707"/>
      <c r="CE18" s="1707"/>
      <c r="CF18" s="1707"/>
      <c r="CG18" s="1707"/>
      <c r="CH18" s="1707"/>
      <c r="CI18" s="1707"/>
      <c r="CJ18" s="1707"/>
      <c r="CK18" s="1707"/>
      <c r="CL18" s="1705"/>
      <c r="CM18" s="1705"/>
      <c r="CN18" s="1705"/>
      <c r="CO18" s="1705"/>
      <c r="CP18" s="1705"/>
      <c r="CQ18" s="1705"/>
      <c r="CR18" s="1705"/>
      <c r="CS18" s="1705"/>
      <c r="CT18" s="1705"/>
      <c r="CU18" s="1705"/>
      <c r="CV18" s="1705"/>
      <c r="CW18" s="1705"/>
      <c r="CX18" s="1705"/>
      <c r="CY18" s="1707"/>
      <c r="CZ18" s="1707"/>
      <c r="DA18" s="1707"/>
      <c r="DB18" s="1707"/>
      <c r="DC18" s="1707"/>
      <c r="DD18" s="1707"/>
      <c r="DE18" s="1707"/>
      <c r="DF18" s="1707"/>
      <c r="DG18" s="1707"/>
      <c r="DH18" s="1707"/>
      <c r="DI18" s="1707"/>
      <c r="DJ18" s="1707"/>
      <c r="DK18" s="1705"/>
      <c r="DL18" s="1705"/>
      <c r="DM18" s="1705"/>
      <c r="DN18" s="1705"/>
      <c r="DO18" s="1705"/>
      <c r="DP18" s="1705"/>
      <c r="DQ18" s="1705"/>
      <c r="DR18" s="1705"/>
      <c r="DS18" s="1705"/>
      <c r="DT18" s="1705"/>
      <c r="DU18" s="1705"/>
      <c r="DV18" s="1705"/>
      <c r="DW18" s="1705"/>
      <c r="DX18" s="1705"/>
      <c r="DY18" s="1705"/>
      <c r="DZ18" s="1705"/>
      <c r="EA18" s="1705"/>
      <c r="EB18" s="1705"/>
      <c r="EC18" s="1705"/>
      <c r="ED18" s="1705"/>
      <c r="EE18" s="1705"/>
      <c r="EF18" s="1705"/>
      <c r="EG18" s="1705"/>
      <c r="EH18" s="1705"/>
      <c r="EI18" s="1705"/>
      <c r="EJ18" s="1705"/>
      <c r="EK18" s="1705"/>
      <c r="EL18" s="1705"/>
      <c r="EM18" s="1705"/>
      <c r="EN18" s="1705"/>
      <c r="EO18" s="1705"/>
      <c r="EP18" s="1705"/>
      <c r="EQ18" s="1705"/>
      <c r="ER18" s="1705"/>
      <c r="ES18" s="1705"/>
      <c r="ET18" s="1705"/>
      <c r="EU18" s="1705"/>
      <c r="EV18" s="1705"/>
      <c r="EW18" s="1705"/>
      <c r="EX18" s="1705"/>
      <c r="EY18" s="1705"/>
      <c r="EZ18" s="1705"/>
      <c r="FA18" s="1705"/>
      <c r="FB18" s="1705"/>
      <c r="FC18" s="1705"/>
      <c r="FD18" s="1705"/>
      <c r="FE18" s="1705"/>
      <c r="FF18" s="1705"/>
      <c r="FG18" s="1705"/>
      <c r="FH18" s="1705"/>
      <c r="FI18" s="1705"/>
      <c r="FJ18" s="1705"/>
      <c r="FK18" s="1705"/>
      <c r="FL18" s="1705"/>
      <c r="FM18" s="1705"/>
      <c r="FN18" s="1705"/>
      <c r="FO18" s="1705"/>
      <c r="FP18" s="1705"/>
      <c r="FQ18" s="1705"/>
      <c r="FR18" s="1705"/>
      <c r="FS18" s="1705"/>
      <c r="FT18" s="1705"/>
      <c r="FU18" s="1705"/>
      <c r="FV18" s="1705"/>
      <c r="FW18" s="1704"/>
      <c r="FX18" s="1708"/>
      <c r="GC18" s="1436">
        <v>0</v>
      </c>
    </row>
    <row s="55041" customFormat="1" customHeight="1" ht="11.25" hidden="1">
      <c r="B19" s="1435"/>
      <c r="E19" s="1451"/>
      <c r="F19" s="1704"/>
      <c r="G19" s="1704"/>
      <c r="H19" s="1704"/>
      <c r="I19" s="1704"/>
      <c r="J19" s="1704"/>
      <c r="K19" s="1704"/>
      <c r="L19" s="1704"/>
      <c r="M19" s="1704"/>
      <c r="N19" s="1704"/>
      <c r="O19" s="1704"/>
      <c r="P19" s="1704"/>
      <c r="Q19" s="1704"/>
      <c r="R19" s="1704"/>
      <c r="S19" s="1704"/>
      <c r="T19" s="1704"/>
      <c r="U19" s="1706"/>
      <c r="V19" s="1706"/>
      <c r="W19" s="1706"/>
      <c r="X19" s="1706"/>
      <c r="Y19" s="1706"/>
      <c r="Z19" s="1706"/>
      <c r="AA19" s="1706"/>
      <c r="AB19" s="1704"/>
      <c r="AC19" s="1704"/>
      <c r="AD19" s="1704"/>
      <c r="AE19" s="1704"/>
      <c r="AF19" s="1704"/>
      <c r="AG19" s="1704"/>
      <c r="AH19" s="1704"/>
      <c r="AI19" s="1704"/>
      <c r="AJ19" s="1704"/>
      <c r="AK19" s="1704"/>
      <c r="AL19" s="1704"/>
      <c r="AM19" s="1704"/>
      <c r="AN19" s="1704"/>
      <c r="AO19" s="1704"/>
      <c r="AP19" s="1704"/>
      <c r="AQ19" s="1704"/>
      <c r="AR19" s="1704"/>
      <c r="AS19" s="1704"/>
      <c r="AT19" s="1704"/>
      <c r="AU19" s="1704"/>
      <c r="AV19" s="1704"/>
      <c r="AW19" s="1704"/>
      <c r="AX19" s="1704"/>
      <c r="AY19" s="1704"/>
      <c r="AZ19" s="1704"/>
      <c r="BA19" s="1704"/>
      <c r="BB19" s="1704"/>
      <c r="BC19" s="1704"/>
      <c r="BD19" s="1704"/>
      <c r="BE19" s="1704"/>
      <c r="BF19" s="1704"/>
      <c r="BG19" s="1704"/>
      <c r="BH19" s="1704"/>
      <c r="BI19" s="1704"/>
      <c r="BJ19" s="1704"/>
      <c r="BK19" s="1704"/>
      <c r="BL19" s="1704"/>
      <c r="BM19" s="1704"/>
      <c r="BN19" s="1704"/>
      <c r="BO19" s="1704"/>
      <c r="BP19" s="1704"/>
      <c r="BQ19" s="1704"/>
      <c r="BR19" s="1704"/>
      <c r="BS19" s="1704"/>
      <c r="BT19" s="1704"/>
      <c r="BU19" s="1704"/>
      <c r="BV19" s="1704"/>
      <c r="BW19" s="1704"/>
      <c r="BX19" s="1704"/>
      <c r="BY19" s="1704"/>
      <c r="BZ19" s="1704"/>
      <c r="CA19" s="1704"/>
      <c r="CB19" s="1704"/>
      <c r="CC19" s="1704"/>
      <c r="CD19" s="1704"/>
      <c r="CE19" s="1704"/>
      <c r="CF19" s="1704"/>
      <c r="CG19" s="1704"/>
      <c r="CH19" s="1704"/>
      <c r="CI19" s="1704"/>
      <c r="CJ19" s="1704"/>
      <c r="CK19" s="1704"/>
      <c r="CL19" s="1704"/>
      <c r="CM19" s="1704"/>
      <c r="CN19" s="1704"/>
      <c r="CO19" s="1704"/>
      <c r="CP19" s="1704"/>
      <c r="CQ19" s="1704"/>
      <c r="CR19" s="1704"/>
      <c r="CS19" s="1704"/>
      <c r="CT19" s="1704"/>
      <c r="CU19" s="1704"/>
      <c r="CV19" s="1704"/>
      <c r="CW19" s="1704"/>
      <c r="CX19" s="1704"/>
      <c r="CY19" s="1704"/>
      <c r="CZ19" s="1704"/>
      <c r="DA19" s="1704"/>
      <c r="DB19" s="1704"/>
      <c r="DC19" s="1704"/>
      <c r="DD19" s="1704"/>
      <c r="DE19" s="1704"/>
      <c r="DF19" s="1704"/>
      <c r="DG19" s="1704"/>
      <c r="DH19" s="1704"/>
      <c r="DI19" s="1704"/>
      <c r="DJ19" s="1704"/>
      <c r="DK19" s="1704"/>
      <c r="DL19" s="1704"/>
      <c r="DM19" s="1704"/>
      <c r="DN19" s="1704"/>
      <c r="DO19" s="1704"/>
      <c r="DP19" s="1704"/>
      <c r="DQ19" s="1704"/>
      <c r="DR19" s="1704"/>
      <c r="DS19" s="1704"/>
      <c r="DT19" s="1704"/>
      <c r="DU19" s="1704"/>
      <c r="DV19" s="1704"/>
      <c r="DW19" s="1704"/>
      <c r="DX19" s="1704"/>
      <c r="DY19" s="1704"/>
      <c r="DZ19" s="1704"/>
      <c r="EA19" s="1704"/>
      <c r="EB19" s="1704"/>
      <c r="EC19" s="1704"/>
      <c r="ED19" s="1704"/>
      <c r="EE19" s="1704"/>
      <c r="EF19" s="1704"/>
      <c r="EG19" s="1704"/>
      <c r="EH19" s="1704"/>
      <c r="EI19" s="1704"/>
      <c r="EJ19" s="1704"/>
      <c r="EK19" s="1704"/>
      <c r="EL19" s="1704"/>
      <c r="EM19" s="1704"/>
      <c r="EN19" s="1704"/>
      <c r="EO19" s="1704"/>
      <c r="EP19" s="1704"/>
      <c r="EQ19" s="1704"/>
      <c r="ER19" s="1704"/>
      <c r="ES19" s="1704"/>
      <c r="ET19" s="1704"/>
      <c r="EU19" s="1704"/>
      <c r="EV19" s="1704"/>
      <c r="EW19" s="1704"/>
      <c r="EX19" s="1704"/>
      <c r="EY19" s="1704"/>
      <c r="EZ19" s="1704"/>
      <c r="FA19" s="1704"/>
      <c r="FB19" s="1704"/>
      <c r="FC19" s="1704"/>
      <c r="FD19" s="1704"/>
      <c r="FE19" s="1704"/>
      <c r="FF19" s="1704"/>
      <c r="FG19" s="1704"/>
      <c r="FH19" s="1704"/>
      <c r="FI19" s="1704"/>
      <c r="FJ19" s="1704"/>
      <c r="FK19" s="1704"/>
      <c r="FL19" s="1704"/>
      <c r="FM19" s="1704"/>
      <c r="FN19" s="1704"/>
      <c r="FO19" s="1704"/>
      <c r="FP19" s="1704"/>
      <c r="FQ19" s="1704"/>
      <c r="FR19" s="1704"/>
      <c r="FS19" s="1704"/>
      <c r="FT19" s="1704"/>
      <c r="FU19" s="1704"/>
      <c r="FV19" s="1704"/>
      <c r="FW19" s="1704"/>
      <c r="FX19" s="1708"/>
      <c r="GC19" s="1436">
        <v>0</v>
      </c>
    </row>
    <row s="55041" customFormat="1" customHeight="1" ht="11.25" hidden="1">
      <c r="B20" s="1452"/>
      <c r="D20" s="1436"/>
      <c r="E20" s="1451"/>
      <c r="F20" s="1709" t="s">
        <v>494</v>
      </c>
      <c r="G20" s="1710"/>
      <c r="H20" s="1711"/>
      <c r="I20" s="1711"/>
      <c r="J20" s="1711"/>
      <c r="K20" s="1711"/>
      <c r="L20" s="1711"/>
      <c r="M20" s="1711"/>
      <c r="N20" s="1711"/>
      <c r="O20" s="1710"/>
      <c r="P20" s="1710"/>
      <c r="Q20" s="1710"/>
      <c r="R20" s="1710"/>
      <c r="S20" s="1710"/>
      <c r="T20" s="1710"/>
      <c r="U20" s="1712"/>
      <c r="V20" s="1712"/>
      <c r="W20" s="1712"/>
      <c r="X20" s="1712"/>
      <c r="Y20" s="1712"/>
      <c r="Z20" s="1712"/>
      <c r="AA20" s="1712"/>
      <c r="AB20" s="1710"/>
      <c r="AC20" s="1711"/>
      <c r="AD20" s="1711"/>
      <c r="AE20" s="1711"/>
      <c r="AF20" s="1711"/>
      <c r="AG20" s="1711"/>
      <c r="AH20" s="1711"/>
      <c r="AI20" s="1711"/>
      <c r="AJ20" s="1711"/>
      <c r="AK20" s="1711"/>
      <c r="AL20" s="1711"/>
      <c r="AM20" s="1711"/>
      <c r="AN20" s="1711"/>
      <c r="AO20" s="1711"/>
      <c r="AP20" s="1711"/>
      <c r="AQ20" s="1711"/>
      <c r="AR20" s="1711"/>
      <c r="AS20" s="1711"/>
      <c r="AT20" s="1711"/>
      <c r="AU20" s="1711"/>
      <c r="AV20" s="1711"/>
      <c r="AW20" s="1711"/>
      <c r="AX20" s="1711"/>
      <c r="AY20" s="1711"/>
      <c r="AZ20" s="1711"/>
      <c r="BA20" s="1711"/>
      <c r="BB20" s="1711"/>
      <c r="BC20" s="1711"/>
      <c r="BD20" s="1711"/>
      <c r="BE20" s="1711"/>
      <c r="BF20" s="1711"/>
      <c r="BG20" s="1711"/>
      <c r="BH20" s="1711"/>
      <c r="BI20" s="1711"/>
      <c r="BJ20" s="1711"/>
      <c r="BK20" s="1711"/>
      <c r="BL20" s="1711"/>
      <c r="BM20" s="1711"/>
      <c r="BN20" s="1711"/>
      <c r="BO20" s="1711"/>
      <c r="BP20" s="1711"/>
      <c r="BQ20" s="1711"/>
      <c r="BR20" s="1711"/>
      <c r="BS20" s="1711"/>
      <c r="BT20" s="1711"/>
      <c r="BU20" s="1711"/>
      <c r="BV20" s="1711"/>
      <c r="BW20" s="1711"/>
      <c r="BX20" s="1711"/>
      <c r="BY20" s="1711"/>
      <c r="BZ20" s="1711"/>
      <c r="CA20" s="1711"/>
      <c r="CB20" s="1711"/>
      <c r="CC20" s="1711"/>
      <c r="CD20" s="1711"/>
      <c r="CE20" s="1711"/>
      <c r="CF20" s="1711"/>
      <c r="CG20" s="1711"/>
      <c r="CH20" s="1711"/>
      <c r="CI20" s="1711"/>
      <c r="CJ20" s="1711"/>
      <c r="CK20" s="1711"/>
      <c r="CL20" s="1713"/>
      <c r="CM20" s="1713"/>
      <c r="CN20" s="1713"/>
      <c r="CO20" s="1713"/>
      <c r="CP20" s="1713"/>
      <c r="CQ20" s="1713"/>
      <c r="CR20" s="1713"/>
      <c r="CS20" s="1713"/>
      <c r="CT20" s="1713"/>
      <c r="CU20" s="1713"/>
      <c r="CV20" s="1713"/>
      <c r="CW20" s="1713"/>
      <c r="CX20" s="1713"/>
      <c r="CY20" s="1713"/>
      <c r="CZ20" s="1713"/>
      <c r="DA20" s="1713"/>
      <c r="DB20" s="1713"/>
      <c r="DC20" s="1713"/>
      <c r="DD20" s="1713"/>
      <c r="DE20" s="1713"/>
      <c r="DF20" s="1713"/>
      <c r="DG20" s="1713"/>
      <c r="DH20" s="1713"/>
      <c r="DI20" s="1713"/>
      <c r="DJ20" s="1713"/>
      <c r="DK20" s="1713"/>
      <c r="DL20" s="1713"/>
      <c r="DM20" s="1713"/>
      <c r="DN20" s="1713"/>
      <c r="DO20" s="1713"/>
      <c r="DP20" s="1713"/>
      <c r="DQ20" s="1713"/>
      <c r="DR20" s="1713"/>
      <c r="DS20" s="1713"/>
      <c r="DT20" s="1713"/>
      <c r="DU20" s="1713"/>
      <c r="DV20" s="1713"/>
      <c r="DW20" s="1713"/>
      <c r="DX20" s="1713"/>
      <c r="DY20" s="1713"/>
      <c r="DZ20" s="1713"/>
      <c r="EA20" s="1713"/>
      <c r="EB20" s="1713"/>
      <c r="EC20" s="1713"/>
      <c r="ED20" s="1713"/>
      <c r="EE20" s="1713"/>
      <c r="EF20" s="1713"/>
      <c r="EG20" s="1713"/>
      <c r="EH20" s="1713"/>
      <c r="EI20" s="1713"/>
      <c r="EJ20" s="1713"/>
      <c r="EK20" s="1713"/>
      <c r="EL20" s="1713"/>
      <c r="EM20" s="1713"/>
      <c r="EN20" s="1713"/>
      <c r="EO20" s="1713"/>
      <c r="EP20" s="1713"/>
      <c r="EQ20" s="1713"/>
      <c r="ER20" s="1713"/>
      <c r="ES20" s="1713"/>
      <c r="ET20" s="1713"/>
      <c r="EU20" s="1713"/>
      <c r="EV20" s="1713"/>
      <c r="EW20" s="1713"/>
      <c r="EX20" s="1713"/>
      <c r="EY20" s="1713"/>
      <c r="EZ20" s="1713"/>
      <c r="FA20" s="1713"/>
      <c r="FB20" s="1713"/>
      <c r="FC20" s="1713"/>
      <c r="FD20" s="1713"/>
      <c r="FE20" s="1713"/>
      <c r="FF20" s="1713"/>
      <c r="FG20" s="1713"/>
      <c r="FH20" s="1713"/>
      <c r="FI20" s="1713"/>
      <c r="FJ20" s="1713"/>
      <c r="FK20" s="1713"/>
      <c r="FL20" s="1713"/>
      <c r="FM20" s="1713"/>
      <c r="FN20" s="1713"/>
      <c r="FO20" s="1713"/>
      <c r="FP20" s="1713"/>
      <c r="FQ20" s="1713"/>
      <c r="FR20" s="1713"/>
      <c r="FS20" s="1713"/>
      <c r="FT20" s="1713"/>
      <c r="FU20" s="1713"/>
      <c r="FV20" s="1713"/>
      <c r="FW20" s="1713"/>
      <c r="FX20" s="1714"/>
      <c r="GC20" s="1434">
        <v>0</v>
      </c>
    </row>
    <row s="55041" customFormat="1" customHeight="1" ht="12.75">
      <c r="A21" s="1453"/>
      <c r="B21" s="1453"/>
      <c r="C21" s="1453"/>
      <c r="D21" s="1453"/>
      <c r="E21" s="1453"/>
      <c r="F21" s="1451"/>
      <c r="G21" s="1451"/>
      <c r="H21" s="1451"/>
      <c r="I21" s="1451"/>
      <c r="J21" s="1451"/>
      <c r="K21" s="1451"/>
      <c r="L21" s="1451"/>
      <c r="M21" s="1451"/>
      <c r="N21" s="1451"/>
      <c r="O21" s="1451"/>
      <c r="P21" s="1451"/>
      <c r="Q21" s="1451"/>
      <c r="R21" s="1451"/>
      <c r="S21" s="1454"/>
      <c r="T21" s="1454"/>
      <c r="U21" s="1451"/>
      <c r="V21" s="1451"/>
      <c r="W21" s="1451"/>
      <c r="X21" s="1451"/>
      <c r="Y21" s="1451"/>
      <c r="Z21" s="1451"/>
      <c r="AA21" s="1451"/>
      <c r="AB21" s="1451"/>
      <c r="AC21" s="1451"/>
      <c r="AD21" s="1451"/>
      <c r="AE21" s="1451"/>
      <c r="AF21" s="1451"/>
      <c r="AG21" s="1451"/>
      <c r="AH21" s="1451"/>
      <c r="AI21" s="1451"/>
      <c r="AJ21" s="1451"/>
      <c r="AK21" s="1451"/>
      <c r="AL21" s="1451"/>
      <c r="AM21" s="1451"/>
      <c r="AN21" s="1451"/>
      <c r="AO21" s="1451"/>
      <c r="AP21" s="1451"/>
      <c r="AQ21" s="1451"/>
      <c r="AR21" s="1451"/>
      <c r="AS21" s="1451"/>
      <c r="AT21" s="1451"/>
      <c r="AU21" s="1451"/>
      <c r="AV21" s="1451"/>
      <c r="AW21" s="1451"/>
      <c r="AX21" s="1451"/>
      <c r="AY21" s="1451"/>
      <c r="AZ21" s="1451"/>
      <c r="BA21" s="1451"/>
      <c r="BB21" s="1451"/>
      <c r="BC21" s="1451"/>
      <c r="BD21" s="1451"/>
      <c r="BE21" s="1451"/>
      <c r="BF21" s="1451"/>
      <c r="BG21" s="1451"/>
      <c r="BH21" s="1451"/>
      <c r="BI21" s="1451"/>
      <c r="BJ21" s="1451"/>
      <c r="BK21" s="1451"/>
      <c r="BL21" s="1451"/>
      <c r="BM21" s="1451"/>
      <c r="BN21" s="1451"/>
      <c r="BO21" s="1451"/>
      <c r="BP21" s="1451"/>
      <c r="BQ21" s="1451"/>
      <c r="BR21" s="1451"/>
      <c r="BS21" s="1451"/>
      <c r="BT21" s="1451"/>
      <c r="BU21" s="1451"/>
      <c r="BV21" s="1451"/>
      <c r="BW21" s="1451"/>
      <c r="BX21" s="1451"/>
      <c r="BY21" s="1451"/>
      <c r="BZ21" s="1451"/>
      <c r="CA21" s="1451"/>
      <c r="CB21" s="1451"/>
      <c r="CC21" s="1451"/>
      <c r="CD21" s="1451"/>
      <c r="CE21" s="1451"/>
      <c r="CF21" s="1451"/>
      <c r="CG21" s="1451"/>
      <c r="CH21" s="1451"/>
      <c r="CI21" s="1451"/>
      <c r="CJ21" s="1451"/>
      <c r="CK21" s="1451"/>
      <c r="CL21" s="1451"/>
      <c r="CM21" s="1451"/>
      <c r="CN21" s="1451"/>
      <c r="CO21" s="1451"/>
      <c r="CP21" s="1451"/>
      <c r="CQ21" s="1451"/>
      <c r="CR21" s="1451"/>
      <c r="CS21" s="1451"/>
      <c r="CT21" s="1451"/>
      <c r="CU21" s="1451"/>
      <c r="CV21" s="1451"/>
      <c r="CW21" s="1451"/>
      <c r="CX21" s="1451"/>
      <c r="CY21" s="1451"/>
      <c r="CZ21" s="1451"/>
      <c r="DA21" s="1451"/>
      <c r="DB21" s="1451"/>
      <c r="DC21" s="1451"/>
      <c r="DD21" s="1451"/>
      <c r="DE21" s="1451"/>
      <c r="DF21" s="1451"/>
      <c r="DG21" s="1451"/>
      <c r="DH21" s="1451"/>
      <c r="DI21" s="1451"/>
      <c r="DJ21" s="1451"/>
      <c r="DK21" s="1451"/>
      <c r="DL21" s="1451"/>
      <c r="DM21" s="1451"/>
      <c r="DN21" s="1451"/>
      <c r="DO21" s="1451"/>
      <c r="DP21" s="1451"/>
      <c r="DQ21" s="1451"/>
      <c r="DR21" s="1451"/>
      <c r="DS21" s="1451"/>
      <c r="DT21" s="1451"/>
      <c r="DU21" s="1451"/>
      <c r="DV21" s="1451"/>
      <c r="DW21" s="1451"/>
      <c r="DX21" s="1451"/>
      <c r="DY21" s="1451"/>
      <c r="DZ21" s="1451"/>
      <c r="EA21" s="1451"/>
      <c r="EB21" s="1451"/>
      <c r="EC21" s="1451"/>
      <c r="ED21" s="1451"/>
      <c r="EE21" s="1451"/>
      <c r="EF21" s="1451"/>
      <c r="EG21" s="1451"/>
      <c r="EH21" s="1451"/>
      <c r="EI21" s="1451"/>
      <c r="EJ21" s="1451"/>
      <c r="EK21" s="1451"/>
      <c r="EL21" s="1451"/>
      <c r="EM21" s="1451"/>
      <c r="EN21" s="1451"/>
      <c r="EO21" s="1451"/>
      <c r="EP21" s="1451"/>
      <c r="EQ21" s="1451"/>
      <c r="ER21" s="1451"/>
      <c r="ES21" s="1451"/>
      <c r="ET21" s="1451"/>
      <c r="EU21" s="1451"/>
      <c r="EV21" s="1451"/>
      <c r="EW21" s="1451"/>
      <c r="EX21" s="1451"/>
      <c r="EY21" s="1451"/>
      <c r="EZ21" s="1451"/>
      <c r="FA21" s="1451"/>
      <c r="FB21" s="1451"/>
      <c r="FC21" s="1451"/>
      <c r="FD21" s="1451"/>
      <c r="FE21" s="1451"/>
      <c r="FF21" s="1451"/>
      <c r="FG21" s="1451"/>
      <c r="FH21" s="1451"/>
      <c r="FI21" s="1451"/>
      <c r="FJ21" s="1451"/>
      <c r="FK21" s="1451"/>
      <c r="FL21" s="1451"/>
      <c r="FM21" s="1451"/>
      <c r="FN21" s="1451"/>
      <c r="FO21" s="1451"/>
      <c r="FP21" s="1451"/>
      <c r="FQ21" s="1451"/>
      <c r="FR21" s="1451"/>
      <c r="FS21" s="1451"/>
      <c r="FT21" s="1451"/>
      <c r="FU21" s="1451"/>
      <c r="FV21" s="1451"/>
      <c r="FW21" s="1451"/>
      <c r="FX21" s="1453"/>
      <c r="FY21" s="1453"/>
      <c r="FZ21" s="1453"/>
      <c r="GA21" s="1453"/>
      <c r="GB21" s="1453"/>
      <c r="GC21" s="1434">
        <v>12</v>
      </c>
    </row>
    <row s="55041" customFormat="1" customHeight="1" ht="12.75">
      <c r="A22" s="1453"/>
      <c r="B22" s="1453"/>
      <c r="C22" s="1453"/>
      <c r="D22" s="1453"/>
      <c r="E22" s="1453"/>
      <c r="FX22" s="1453"/>
      <c r="FY22" s="1453"/>
      <c r="FZ22" s="1453"/>
      <c r="GA22" s="1453"/>
      <c r="GB22" s="1453"/>
      <c r="GC22" s="1434">
        <v>12</v>
      </c>
    </row>
    <row s="55111" customFormat="1" customHeight="1" ht="12.75">
      <c r="A23" s="1574"/>
      <c r="B23" s="1574"/>
      <c r="C23" s="1574"/>
      <c r="D23" s="1574"/>
      <c r="E23" s="1574"/>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c r="AL23" s="1576"/>
      <c r="AM23" s="1576"/>
      <c r="AN23" s="1576"/>
      <c r="AO23" s="1576"/>
      <c r="AP23" s="1576"/>
      <c r="AQ23" s="1576"/>
      <c r="AR23" s="1576"/>
      <c r="AS23" s="1576"/>
      <c r="AT23" s="1576"/>
      <c r="AU23" s="1576"/>
      <c r="AV23" s="1576"/>
      <c r="AW23" s="1576"/>
      <c r="AX23" s="1576"/>
      <c r="AY23" s="1576"/>
      <c r="AZ23" s="1576"/>
      <c r="BA23" s="1576"/>
      <c r="BB23" s="1576"/>
      <c r="BC23" s="1576"/>
      <c r="BD23" s="1576"/>
      <c r="BE23" s="1576"/>
      <c r="BF23" s="1576"/>
      <c r="BG23" s="1576"/>
      <c r="BH23" s="1576"/>
      <c r="BI23" s="1576"/>
      <c r="BJ23" s="1576"/>
      <c r="BK23" s="1576"/>
      <c r="BL23" s="1576"/>
      <c r="BM23" s="1576"/>
      <c r="BN23" s="1576"/>
      <c r="BO23" s="1576"/>
      <c r="BP23" s="1576"/>
      <c r="BQ23" s="1576"/>
      <c r="BR23" s="1576"/>
      <c r="BS23" s="1576"/>
      <c r="BT23" s="1577"/>
      <c r="BU23" s="1577"/>
      <c r="BV23" s="1577"/>
      <c r="BW23" s="1577"/>
      <c r="BX23" s="1577"/>
      <c r="BY23" s="1577"/>
      <c r="BZ23" s="1577"/>
      <c r="CA23" s="1577"/>
      <c r="CB23" s="1577"/>
      <c r="CC23" s="1577"/>
      <c r="CD23" s="1577"/>
      <c r="CE23" s="1577"/>
      <c r="CF23" s="1577"/>
      <c r="CG23" s="1577"/>
      <c r="CH23" s="1577"/>
      <c r="CI23" s="1577"/>
      <c r="CJ23" s="1577"/>
      <c r="CK23" s="1577"/>
      <c r="CL23" s="1577"/>
      <c r="CM23" s="1577"/>
      <c r="CN23" s="1577"/>
      <c r="CO23" s="1577"/>
      <c r="CP23" s="1577"/>
      <c r="CQ23" s="1577"/>
      <c r="CR23" s="1577"/>
      <c r="CS23" s="1577"/>
      <c r="CT23" s="1577"/>
      <c r="CU23" s="1577"/>
      <c r="CV23" s="1577"/>
      <c r="CW23" s="1577"/>
      <c r="CX23" s="1577"/>
      <c r="CY23" s="1577"/>
      <c r="CZ23" s="1577"/>
      <c r="DA23" s="1577"/>
      <c r="DB23" s="1577"/>
      <c r="DC23" s="1577"/>
      <c r="DD23" s="1577"/>
      <c r="DE23" s="1577"/>
      <c r="DF23" s="1577"/>
      <c r="DG23" s="1577"/>
      <c r="DH23" s="1577"/>
      <c r="DI23" s="1577"/>
      <c r="DJ23" s="1577"/>
      <c r="DK23" s="1577"/>
      <c r="DL23" s="1577"/>
      <c r="DM23" s="1577"/>
      <c r="DN23" s="1577"/>
      <c r="DO23" s="1577"/>
      <c r="DP23" s="1577"/>
      <c r="DQ23" s="1577"/>
      <c r="DR23" s="1577"/>
      <c r="DS23" s="1577"/>
      <c r="DT23" s="1577"/>
      <c r="DU23" s="1577"/>
      <c r="DV23" s="1577"/>
      <c r="DW23" s="1577"/>
      <c r="DX23" s="1577"/>
      <c r="FX23" s="1574"/>
      <c r="FY23" s="1574"/>
      <c r="FZ23" s="1574"/>
      <c r="GA23" s="1574"/>
      <c r="GB23" s="1574"/>
      <c r="GC23" s="1575">
        <v>12</v>
      </c>
    </row>
    <row customHeight="1" ht="12.75">
      <c r="S24" s="1450"/>
      <c r="T24" s="1450"/>
      <c r="U24" s="1450"/>
      <c r="V24" s="1450"/>
      <c r="W24" s="1450"/>
      <c r="X24" s="1450"/>
      <c r="Y24" s="1450"/>
      <c r="Z24" s="1450"/>
      <c r="AA24" s="1450"/>
      <c r="AB24" s="1450"/>
      <c r="FX24" s="1450"/>
      <c r="FY24" s="1450"/>
      <c r="FZ24" s="1450"/>
      <c r="GA24" s="1450"/>
      <c r="GB24" s="1450"/>
      <c r="GC24" s="1438">
        <v>12</v>
      </c>
    </row>
    <row customHeight="1" ht="12" hidden="1">
      <c r="A25" s="1438" t="s">
        <v>84</v>
      </c>
      <c r="B25" s="1448">
        <v>0</v>
      </c>
      <c r="C25" s="1438">
        <v>0</v>
      </c>
      <c r="D25" s="1438">
        <v>0</v>
      </c>
      <c r="E25" s="1438">
        <v>3</v>
      </c>
      <c r="F25" s="1438">
        <v>6</v>
      </c>
      <c r="G25" s="1438">
        <v>18</v>
      </c>
      <c r="H25" s="1438">
        <v>27</v>
      </c>
      <c r="I25" s="1438">
        <v>18</v>
      </c>
      <c r="J25" s="1438">
        <v>0</v>
      </c>
      <c r="K25" s="1438">
        <v>0</v>
      </c>
      <c r="L25" s="1438">
        <v>0</v>
      </c>
      <c r="M25" s="1438">
        <v>0</v>
      </c>
      <c r="N25" s="1438">
        <v>0</v>
      </c>
      <c r="O25" s="1438">
        <v>0</v>
      </c>
      <c r="P25" s="1438">
        <v>0</v>
      </c>
      <c r="Q25" s="1438">
        <v>0</v>
      </c>
      <c r="R25" s="1438">
        <v>0</v>
      </c>
      <c r="S25" s="1438">
        <v>0</v>
      </c>
      <c r="T25" s="1438">
        <v>0</v>
      </c>
      <c r="U25" s="1438">
        <v>0</v>
      </c>
      <c r="V25" s="1438">
        <v>0</v>
      </c>
      <c r="W25" s="1438">
        <v>0</v>
      </c>
      <c r="X25" s="1438">
        <v>0</v>
      </c>
      <c r="Y25" s="1438">
        <v>0</v>
      </c>
      <c r="Z25" s="1438">
        <v>0</v>
      </c>
      <c r="AA25" s="1438">
        <v>0</v>
      </c>
      <c r="AB25" s="1438">
        <v>0</v>
      </c>
      <c r="AC25" s="1438">
        <v>0</v>
      </c>
      <c r="AD25" s="1438">
        <v>0</v>
      </c>
      <c r="AE25" s="1438">
        <v>0</v>
      </c>
      <c r="AF25" s="1438">
        <v>0</v>
      </c>
      <c r="AG25" s="1438">
        <v>0</v>
      </c>
      <c r="AH25" s="1438">
        <v>0</v>
      </c>
      <c r="AI25" s="1438">
        <v>0</v>
      </c>
      <c r="AJ25" s="1438">
        <v>0</v>
      </c>
      <c r="AK25" s="1438">
        <v>0</v>
      </c>
      <c r="AL25" s="1438">
        <v>0</v>
      </c>
      <c r="AM25" s="1438">
        <v>0</v>
      </c>
      <c r="AN25" s="1438">
        <v>0</v>
      </c>
      <c r="AO25" s="1438">
        <v>0</v>
      </c>
      <c r="AP25" s="1438">
        <v>0</v>
      </c>
      <c r="AQ25" s="1438">
        <v>0</v>
      </c>
      <c r="AR25" s="1438">
        <v>0</v>
      </c>
      <c r="AS25" s="1438">
        <v>0</v>
      </c>
      <c r="AT25" s="1438">
        <v>0</v>
      </c>
      <c r="AU25" s="1438">
        <v>0</v>
      </c>
      <c r="AV25" s="1438">
        <v>0</v>
      </c>
      <c r="AW25" s="1438">
        <v>0</v>
      </c>
      <c r="AX25" s="1438">
        <v>0</v>
      </c>
      <c r="AY25" s="1438">
        <v>0</v>
      </c>
      <c r="AZ25" s="1438">
        <v>0</v>
      </c>
      <c r="BA25" s="1438">
        <v>0</v>
      </c>
      <c r="BB25" s="1438">
        <v>0</v>
      </c>
      <c r="BC25" s="1438">
        <v>0</v>
      </c>
      <c r="BD25" s="1438">
        <v>0</v>
      </c>
      <c r="BE25" s="1438">
        <v>0</v>
      </c>
      <c r="BF25" s="1438">
        <v>0</v>
      </c>
      <c r="BG25" s="1438">
        <v>0</v>
      </c>
      <c r="BH25" s="1438">
        <v>0</v>
      </c>
      <c r="BI25" s="1438">
        <v>0</v>
      </c>
      <c r="BJ25" s="1438">
        <v>0</v>
      </c>
      <c r="BK25" s="1438">
        <v>0</v>
      </c>
      <c r="BL25" s="1438">
        <v>0</v>
      </c>
      <c r="BM25" s="1438">
        <v>0</v>
      </c>
      <c r="BN25" s="1438">
        <v>0</v>
      </c>
      <c r="BO25" s="1438">
        <v>0</v>
      </c>
      <c r="BP25" s="1438">
        <v>0</v>
      </c>
      <c r="BQ25" s="1438">
        <v>0</v>
      </c>
      <c r="BR25" s="1438">
        <v>0</v>
      </c>
      <c r="BS25" s="1438">
        <v>0</v>
      </c>
      <c r="BT25" s="1438">
        <v>0</v>
      </c>
      <c r="BU25" s="1438">
        <v>0</v>
      </c>
      <c r="BV25" s="1438">
        <v>0</v>
      </c>
      <c r="BW25" s="1438">
        <v>0</v>
      </c>
      <c r="BX25" s="1438">
        <v>0</v>
      </c>
      <c r="BY25" s="1438">
        <v>0</v>
      </c>
      <c r="BZ25" s="1438">
        <v>0</v>
      </c>
      <c r="CA25" s="1438">
        <v>0</v>
      </c>
      <c r="CB25" s="1438">
        <v>0</v>
      </c>
      <c r="CC25" s="1438">
        <v>0</v>
      </c>
      <c r="CD25" s="1438">
        <v>0</v>
      </c>
      <c r="CE25" s="1438">
        <v>0</v>
      </c>
      <c r="CF25" s="1438">
        <v>0</v>
      </c>
      <c r="CG25" s="1438">
        <v>0</v>
      </c>
      <c r="CH25" s="1438">
        <v>0</v>
      </c>
      <c r="CI25" s="1438">
        <v>0</v>
      </c>
      <c r="CJ25" s="1438">
        <v>0</v>
      </c>
      <c r="CK25" s="1438">
        <v>0</v>
      </c>
      <c r="CL25" s="1438">
        <v>0</v>
      </c>
      <c r="CM25" s="1438">
        <v>0</v>
      </c>
      <c r="CN25" s="1438">
        <v>0</v>
      </c>
      <c r="CO25" s="1438">
        <v>0</v>
      </c>
      <c r="CP25" s="1438">
        <v>0</v>
      </c>
      <c r="CQ25" s="1438">
        <v>0</v>
      </c>
      <c r="CR25" s="1438">
        <v>0</v>
      </c>
      <c r="CS25" s="1438">
        <v>0</v>
      </c>
      <c r="CT25" s="1438">
        <v>0</v>
      </c>
      <c r="CU25" s="1438">
        <v>0</v>
      </c>
      <c r="CV25" s="1438">
        <v>0</v>
      </c>
      <c r="CW25" s="1438">
        <v>0</v>
      </c>
      <c r="CX25" s="1438">
        <v>0</v>
      </c>
      <c r="CY25" s="1438">
        <v>0</v>
      </c>
      <c r="CZ25" s="1438">
        <v>0</v>
      </c>
      <c r="DA25" s="1438">
        <v>0</v>
      </c>
      <c r="DB25" s="1438">
        <v>0</v>
      </c>
      <c r="DC25" s="1438">
        <v>0</v>
      </c>
      <c r="DD25" s="1438">
        <v>0</v>
      </c>
      <c r="DE25" s="1438">
        <v>0</v>
      </c>
      <c r="DF25" s="1438">
        <v>0</v>
      </c>
      <c r="DG25" s="1438">
        <v>0</v>
      </c>
      <c r="DH25" s="1438">
        <v>0</v>
      </c>
      <c r="DI25" s="1438">
        <v>0</v>
      </c>
      <c r="DJ25" s="1438">
        <v>0</v>
      </c>
      <c r="DK25" s="1438">
        <v>0</v>
      </c>
      <c r="DL25" s="1438">
        <v>0</v>
      </c>
      <c r="DM25" s="1438">
        <v>0</v>
      </c>
      <c r="DN25" s="1438">
        <v>0</v>
      </c>
      <c r="DO25" s="1438">
        <v>0</v>
      </c>
      <c r="DP25" s="1438">
        <v>0</v>
      </c>
      <c r="DQ25" s="1438">
        <v>0</v>
      </c>
      <c r="DR25" s="1438">
        <v>0</v>
      </c>
      <c r="DS25" s="1438">
        <v>0</v>
      </c>
      <c r="DT25" s="1438">
        <v>0</v>
      </c>
      <c r="DU25" s="1438">
        <v>0</v>
      </c>
      <c r="DV25" s="1438">
        <v>0</v>
      </c>
      <c r="DW25" s="1438">
        <v>0</v>
      </c>
      <c r="DX25" s="1438">
        <v>0</v>
      </c>
      <c r="DY25" s="1438">
        <v>0</v>
      </c>
      <c r="DZ25" s="1438">
        <v>0</v>
      </c>
      <c r="EA25" s="1438">
        <v>0</v>
      </c>
      <c r="EB25" s="1438">
        <v>0</v>
      </c>
      <c r="EC25" s="1438">
        <v>0</v>
      </c>
      <c r="ED25" s="1438">
        <v>0</v>
      </c>
      <c r="EE25" s="1438">
        <v>0</v>
      </c>
      <c r="EF25" s="1438">
        <v>0</v>
      </c>
      <c r="EG25" s="1438">
        <v>0</v>
      </c>
      <c r="EH25" s="1438">
        <v>0</v>
      </c>
      <c r="EI25" s="1438">
        <v>0</v>
      </c>
      <c r="EJ25" s="1438">
        <v>0</v>
      </c>
      <c r="EK25" s="1438">
        <v>0</v>
      </c>
      <c r="EL25" s="1438">
        <v>0</v>
      </c>
      <c r="EM25" s="1438">
        <v>0</v>
      </c>
      <c r="EN25" s="1438">
        <v>0</v>
      </c>
      <c r="EO25" s="1438">
        <v>0</v>
      </c>
      <c r="EP25" s="1438">
        <v>0</v>
      </c>
      <c r="EQ25" s="1438">
        <v>0</v>
      </c>
      <c r="ER25" s="1438">
        <v>0</v>
      </c>
      <c r="ES25" s="1438">
        <v>0</v>
      </c>
      <c r="ET25" s="1438">
        <v>0</v>
      </c>
      <c r="EU25" s="1438">
        <v>0</v>
      </c>
      <c r="EV25" s="1438">
        <v>0</v>
      </c>
      <c r="EW25" s="1438">
        <v>0</v>
      </c>
      <c r="EX25" s="1438">
        <v>0</v>
      </c>
      <c r="EY25" s="1438">
        <v>0</v>
      </c>
      <c r="EZ25" s="1438">
        <v>0</v>
      </c>
      <c r="FA25" s="1438">
        <v>0</v>
      </c>
      <c r="FB25" s="1438">
        <v>0</v>
      </c>
      <c r="FC25" s="1438">
        <v>0</v>
      </c>
      <c r="FD25" s="1438">
        <v>0</v>
      </c>
      <c r="FE25" s="1438">
        <v>0</v>
      </c>
      <c r="FF25" s="1438">
        <v>0</v>
      </c>
      <c r="FG25" s="1438">
        <v>0</v>
      </c>
      <c r="FH25" s="1438">
        <v>0</v>
      </c>
      <c r="FI25" s="1438">
        <v>0</v>
      </c>
      <c r="FJ25" s="1438">
        <v>0</v>
      </c>
      <c r="FK25" s="1438">
        <v>0</v>
      </c>
      <c r="FL25" s="1438">
        <v>0</v>
      </c>
      <c r="FM25" s="1438">
        <v>0</v>
      </c>
      <c r="FN25" s="1438">
        <v>0</v>
      </c>
      <c r="FO25" s="1438">
        <v>0</v>
      </c>
      <c r="FP25" s="1438">
        <v>0</v>
      </c>
      <c r="FQ25" s="1438">
        <v>0</v>
      </c>
      <c r="FR25" s="1438">
        <v>0</v>
      </c>
      <c r="FS25" s="1438">
        <v>0</v>
      </c>
      <c r="FT25" s="1438">
        <v>0</v>
      </c>
      <c r="FU25" s="1438">
        <v>0</v>
      </c>
      <c r="FV25" s="1438">
        <v>0</v>
      </c>
      <c r="FW25" s="1438">
        <v>0</v>
      </c>
      <c r="FX25" s="1438">
        <v>8</v>
      </c>
      <c r="FY25" s="1438">
        <v>8</v>
      </c>
      <c r="FZ25" s="1438">
        <v>8</v>
      </c>
      <c r="GA25" s="1438">
        <v>8</v>
      </c>
      <c r="GB25" s="1438">
        <v>8</v>
      </c>
      <c r="GC25" s="1438">
        <v>12</v>
      </c>
    </row>
  </sheetData>
  <sheetProtection formatColumns="0" formatRows="0" autoFilter="0" sort="0" insertRows="0" insertColumns="1" deleteRows="0" deleteColumns="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2D0D85C-4126-000C-D4CA-0661C11578C4}" mc:Ignorable="x14ac xr xr2 xr3">
  <sheetPr>
    <tabColor theme="2" tint="-0.1"/>
  </sheetPr>
  <dimension ref="A1:S23"/>
  <sheetViews>
    <sheetView topLeftCell="A1" showGridLines="0" zoomScale="90" workbookViewId="0">
      <selection activeCell="A1" sqref="A1"/>
    </sheetView>
  </sheetViews>
  <sheetFormatPr defaultColWidth="10.57421875" customHeight="1" defaultRowHeight="15"/>
  <cols>
    <col min="1" max="1" style="46772" width="9.140625" hidden="1" customWidth="1"/>
    <col min="2" max="2" style="46808" width="9.140625" hidden="1" customWidth="1"/>
    <col min="3" max="3" style="54936" width="4.00390625" customWidth="1"/>
    <col min="4" max="4" style="46808" width="6.00390625" customWidth="1"/>
    <col min="5" max="5" style="46808" width="36.00390625" customWidth="1"/>
    <col min="6" max="6" style="46808" width="9.00390625" customWidth="1"/>
    <col min="7" max="7" style="46808" width="42.421875" hidden="1" customWidth="1"/>
    <col min="8" max="8" style="46808" width="40.7109375" customWidth="1"/>
    <col min="9" max="9" style="46889" width="93.00390625" customWidth="1"/>
    <col min="10" max="17" style="46808" width="10.00390625" customWidth="1"/>
    <col min="18" max="18" style="54937" width="10.00390625" customWidth="1"/>
    <col min="19" max="19" style="46808" width="10.57421875" hidden="1"/>
  </cols>
  <sheetData>
    <row s="46889" customFormat="1" customHeight="1" ht="15" hidden="1">
      <c r="C1" s="1184"/>
      <c r="H1" s="929">
        <v>4</v>
      </c>
      <c r="R1" s="932"/>
      <c r="S1" s="929" t="s">
        <v>14</v>
      </c>
    </row>
    <row customHeight="1" ht="22.5" hidden="1">
      <c r="C2" s="2440" t="s">
        <v>106</v>
      </c>
      <c r="D2" s="1051"/>
      <c r="E2" s="1175"/>
      <c r="F2" s="2273" t="str">
        <f>IF(TEMPLATE_SPHERE="HEAT","Гкал/час","тыс. куб. м/сутки")</f>
        <v>тыс. куб. м/сутки</v>
      </c>
      <c r="G2" s="1192"/>
      <c r="H2" s="1192"/>
      <c r="I2" s="801"/>
      <c r="S2" s="1017">
        <v>0</v>
      </c>
    </row>
    <row s="46889" customFormat="1" customHeight="1" ht="15" hidden="1">
      <c r="C3" s="1184"/>
      <c r="R3" s="932"/>
      <c r="S3" s="929">
        <v>0</v>
      </c>
    </row>
    <row customHeight="1" ht="15.75">
      <c r="C4" s="688"/>
      <c r="D4" s="1021"/>
      <c r="E4" s="1021"/>
      <c r="F4" s="1021"/>
      <c r="G4" s="1021"/>
      <c r="H4" s="1021"/>
      <c r="S4" s="1017">
        <v>15</v>
      </c>
    </row>
    <row customHeight="1" ht="39.75">
      <c r="C5" s="688"/>
      <c r="D5" s="2749"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E5" s="2749"/>
      <c r="F5" s="2749"/>
      <c r="G5" s="2749"/>
      <c r="H5" s="2749"/>
      <c r="I5" s="1049"/>
      <c r="S5" s="1017">
        <v>38</v>
      </c>
    </row>
    <row customHeight="1" ht="15.75">
      <c r="C6" s="688"/>
      <c r="D6" s="2688" t="str">
        <f>IF(org=0,"Не определено",org)</f>
        <v>КГУП "Примтеплоэнерго"</v>
      </c>
      <c r="E6" s="2688"/>
      <c r="F6" s="2688"/>
      <c r="G6" s="2688"/>
      <c r="H6" s="2688"/>
      <c r="I6" s="1049"/>
      <c r="S6" s="1017">
        <v>15</v>
      </c>
    </row>
    <row s="46808" customFormat="1" customHeight="1" ht="15.75">
      <c r="A7" s="1271"/>
      <c r="C7" s="688"/>
      <c r="D7" s="1188"/>
      <c r="E7" s="1188"/>
      <c r="F7" s="1188"/>
      <c r="G7" s="1188"/>
      <c r="H7" s="1264"/>
      <c r="I7" s="1049"/>
      <c r="R7" s="1187"/>
      <c r="S7" s="1270">
        <v>15</v>
      </c>
    </row>
    <row customHeight="1" ht="1.05">
      <c r="C8" s="688"/>
      <c r="D8" s="1021"/>
      <c r="E8" s="1021"/>
      <c r="F8" s="1021"/>
      <c r="G8" s="1021"/>
      <c r="H8" s="1049" t="s">
        <v>173</v>
      </c>
      <c r="S8" s="1017">
        <v>1</v>
      </c>
    </row>
    <row customHeight="1" ht="15.75">
      <c r="C9" s="688"/>
      <c r="D9" s="1223"/>
      <c r="E9" s="2879" t="s">
        <v>165</v>
      </c>
      <c r="F9" s="2880"/>
      <c r="G9" s="1328" t="str">
        <f>IF(G8="","",INDEX(DIFFERENTIATION_UNMERGE_VD,MATCH(G8,DIFFERENTIATION_ID_DIFF,0)))</f>
        <v/>
      </c>
      <c r="H9" s="1328">
        <f>IF(H8="","",INDEX(DIFFERENTIATION_UNMERGE_VD,MATCH(H8,DIFFERENTIATION_ID_DIFF,0)))</f>
        <v>0</v>
      </c>
      <c r="I9" s="2639" t="s">
        <v>419</v>
      </c>
      <c r="S9" s="1017">
        <v>15</v>
      </c>
    </row>
    <row s="46808" customFormat="1" customHeight="1" ht="15.75">
      <c r="A10" s="1271"/>
      <c r="C10" s="688"/>
      <c r="D10" s="1223"/>
      <c r="E10" s="2879" t="s">
        <v>681</v>
      </c>
      <c r="F10" s="2880"/>
      <c r="G10" s="1328" t="str">
        <f>IF(G8="","",INDEX(DIFFERENTIATION_UNMERGE_AREA,MATCH(G8,DIFFERENTIATION_ID_DIFF,0)))</f>
        <v/>
      </c>
      <c r="H10" s="1328" t="str">
        <f>IF(H8="","",INDEX(DIFFERENTIATION_UNMERGE_AREA,MATCH(H8,DIFFERENTIATION_ID_DIFF,0)))</f>
        <v/>
      </c>
      <c r="I10" s="2639"/>
      <c r="R10" s="1187"/>
      <c r="S10" s="1270">
        <v>15</v>
      </c>
    </row>
    <row s="46808" customFormat="1" customHeight="1" ht="15.75">
      <c r="A11" s="1271"/>
      <c r="C11" s="688"/>
      <c r="D11" s="1223"/>
      <c r="E11" s="2879" t="s">
        <v>682</v>
      </c>
      <c r="F11" s="2880"/>
      <c r="G11" s="1328" t="str">
        <f>IF(G8="","",INDEX(DIFFERENTIATION_UNMERGE_SYSTEM,MATCH(G8,DIFFERENTIATION_ID_DIFF,0)))</f>
        <v/>
      </c>
      <c r="H11" s="1328" t="str">
        <f>IF(H8="","",INDEX(DIFFERENTIATION_UNMERGE_SYSTEM,MATCH(H8,DIFFERENTIATION_ID_DIFF,0)))</f>
        <v>без дифференциации</v>
      </c>
      <c r="I11" s="2639"/>
      <c r="R11" s="1187"/>
      <c r="S11" s="1270">
        <v>15</v>
      </c>
    </row>
    <row s="46808" customFormat="1" customHeight="1" ht="15.75">
      <c r="A12" s="1271"/>
      <c r="C12" s="688"/>
      <c r="D12" s="2881" t="s">
        <v>418</v>
      </c>
      <c r="E12" s="2882"/>
      <c r="F12" s="2882"/>
      <c r="G12" s="1399"/>
      <c r="H12" s="1399"/>
      <c r="I12" s="2639"/>
      <c r="R12" s="1187"/>
      <c r="S12" s="1270">
        <v>15</v>
      </c>
    </row>
    <row customHeight="1" ht="35.699999999999996">
      <c r="C13" s="688"/>
      <c r="D13" s="1273" t="s">
        <v>90</v>
      </c>
      <c r="E13" s="1272" t="s">
        <v>420</v>
      </c>
      <c r="F13" s="1272" t="s">
        <v>683</v>
      </c>
      <c r="G13" s="1320" t="s">
        <v>421</v>
      </c>
      <c r="H13" s="1266" t="s">
        <v>421</v>
      </c>
      <c r="I13" s="2639"/>
      <c r="S13" s="1017">
        <v>34</v>
      </c>
    </row>
    <row customHeight="1" ht="15" hidden="1">
      <c r="C14" s="688"/>
      <c r="D14" s="1105" t="s">
        <v>101</v>
      </c>
      <c r="E14" s="1105" t="s">
        <v>105</v>
      </c>
      <c r="F14" s="1105" t="s">
        <v>92</v>
      </c>
      <c r="G14" s="1171" t="str">
        <f>G1&amp;".1"</f>
        <v>.1</v>
      </c>
      <c r="H14" s="1171" t="str">
        <f>H1&amp;".1"</f>
        <v>4.1</v>
      </c>
      <c r="I14" s="801"/>
      <c r="S14" s="1017">
        <v>0</v>
      </c>
    </row>
    <row customHeight="1" ht="15.75">
      <c r="A15" s="1017"/>
      <c r="C15" s="1038"/>
      <c r="D15" s="1033">
        <v>1</v>
      </c>
      <c r="E15" s="2442" t="str">
        <f>TP_P_A</f>
        <v>Количество поданных заявлений </v>
      </c>
      <c r="F15" s="1033" t="s">
        <v>1231</v>
      </c>
      <c r="G15" s="1197"/>
      <c r="H15" s="1197"/>
      <c r="I15" s="720"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5" s="1017">
        <v>15</v>
      </c>
    </row>
    <row customHeight="1" ht="15.75">
      <c r="A16" s="1017"/>
      <c r="C16" s="1038"/>
      <c r="D16" s="1033">
        <v>2</v>
      </c>
      <c r="E16" s="2442" t="str">
        <f>TP_P_B</f>
        <v>Количество исполненных заявлений </v>
      </c>
      <c r="F16" s="1033" t="s">
        <v>1231</v>
      </c>
      <c r="G16" s="1197"/>
      <c r="H16" s="1197"/>
      <c r="I16" s="720"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6" s="1017">
        <v>15</v>
      </c>
    </row>
    <row customHeight="1" ht="77.7">
      <c r="A17" s="1017"/>
      <c r="C17" s="1038"/>
      <c r="D17" s="1033">
        <v>3</v>
      </c>
      <c r="E17" s="2442"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1033" t="s">
        <v>1231</v>
      </c>
      <c r="G17" s="1197"/>
      <c r="H17" s="1197"/>
      <c r="I17" s="720" t="str">
        <f>TP_P_NOTE_V</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S17" s="1017">
        <v>74</v>
      </c>
    </row>
    <row customHeight="1" ht="54.75">
      <c r="A18" s="1017"/>
      <c r="C18" s="1038"/>
      <c r="D18" s="1033">
        <v>4</v>
      </c>
      <c r="E18" s="2442" t="str">
        <f>TP_P_V_1</f>
        <v>Причины отказа в заключении договора о подключении (технологическом присоединении) к централизованной системе водоотведения</v>
      </c>
      <c r="F18" s="1033" t="s">
        <v>424</v>
      </c>
      <c r="G18" s="1198"/>
      <c r="H18" s="1198"/>
      <c r="I18" s="1350"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c r="S18" s="1017">
        <v>52</v>
      </c>
    </row>
    <row customHeight="1" ht="60">
      <c r="A19" s="1017"/>
      <c r="C19" s="1038"/>
      <c r="D19" s="1033">
        <v>5</v>
      </c>
      <c r="E19" s="2442" t="str">
        <f>TP_P_G</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F19" s="1033" t="str">
        <f>IF(TEMPLATE_SPHERE="HEAT","Гкал/час","тыс. куб. м/сутки")</f>
        <v>тыс. куб. м/сутки</v>
      </c>
      <c r="G19" s="1199">
        <f>SUM(G20:G22)</f>
        <v>0</v>
      </c>
      <c r="H19" s="1199">
        <f>SUM(H20:H22)</f>
        <v>0</v>
      </c>
      <c r="I19" s="720" t="str">
        <f>TP_P_NOTE_G</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S19" s="1017">
        <v>57</v>
      </c>
    </row>
    <row customHeight="1" ht="15" hidden="1">
      <c r="D20" s="1021" t="s">
        <v>1232</v>
      </c>
      <c r="E20" s="1200"/>
      <c r="F20" s="1021"/>
      <c r="G20" s="1021"/>
      <c r="H20" s="1021"/>
      <c r="I20" s="2275"/>
      <c r="S20" s="1017">
        <v>0</v>
      </c>
    </row>
    <row customHeight="1" ht="29.25">
      <c r="C21" s="963"/>
      <c r="D21" s="1051" t="s">
        <v>431</v>
      </c>
      <c r="E21" s="1182"/>
      <c r="F21" s="2273" t="str">
        <f>IF(TEMPLATE_SPHERE="HEAT","Гкал/час","тыс. куб. м/сутки")</f>
        <v>тыс. куб. м/сутки</v>
      </c>
      <c r="G21" s="1192"/>
      <c r="H21" s="1192"/>
      <c r="I21" s="2681" t="str">
        <f>TP_P_NOTE_G_1</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S21" s="1017">
        <v>28</v>
      </c>
    </row>
    <row customHeight="1" ht="15.75">
      <c r="A22" s="1017"/>
      <c r="C22" s="1017"/>
      <c r="D22" s="859"/>
      <c r="E22" s="1092" t="s">
        <v>1233</v>
      </c>
      <c r="F22" s="1084"/>
      <c r="G22" s="1084"/>
      <c r="H22" s="1084"/>
      <c r="I22" s="2683"/>
      <c r="R22" s="1017"/>
      <c r="S22" s="1017">
        <v>15</v>
      </c>
    </row>
    <row customHeight="1" ht="22.5" hidden="1">
      <c r="A23" s="961" t="s">
        <v>84</v>
      </c>
      <c r="B23" s="1017">
        <v>0</v>
      </c>
      <c r="C23" s="1195">
        <v>4</v>
      </c>
      <c r="D23" s="1017">
        <v>6</v>
      </c>
      <c r="E23" s="1017">
        <v>36</v>
      </c>
      <c r="F23" s="1017">
        <v>9</v>
      </c>
      <c r="G23" s="1270">
        <v>0</v>
      </c>
      <c r="H23" s="1017">
        <v>40</v>
      </c>
      <c r="I23" s="929">
        <v>93</v>
      </c>
      <c r="J23" s="1017">
        <v>10</v>
      </c>
      <c r="K23" s="1017">
        <v>10</v>
      </c>
      <c r="L23" s="1017">
        <v>10</v>
      </c>
      <c r="M23" s="1017">
        <v>10</v>
      </c>
      <c r="N23" s="1017">
        <v>10</v>
      </c>
      <c r="O23" s="1017">
        <v>10</v>
      </c>
      <c r="P23" s="1017">
        <v>10</v>
      </c>
      <c r="Q23" s="1017">
        <v>10</v>
      </c>
      <c r="R23" s="1187">
        <v>10</v>
      </c>
      <c r="S23" s="1017">
        <v>23</v>
      </c>
    </row>
  </sheetData>
  <sheetProtection formatColumns="0" formatRows="0" autoFilter="0" sort="0" insertRows="0" insertColumns="1" deleteRows="0" deleteColumns="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10CD813-3E6D-9D23-CE46-3036FDB62605}" mc:Ignorable="x14ac xr xr2 xr3">
  <sheetPr>
    <tabColor theme="6" tint="0.4"/>
    <pageSetUpPr fitToPage="1"/>
  </sheetPr>
  <dimension ref="A1:Q32"/>
  <sheetViews>
    <sheetView topLeftCell="A1" showGridLines="0" zoomScale="90" workbookViewId="0">
      <selection activeCell="A1" sqref="A1"/>
    </sheetView>
  </sheetViews>
  <sheetFormatPr defaultColWidth="10.57421875" customHeight="1" defaultRowHeight="14.25"/>
  <cols>
    <col min="1" max="1" style="47740" width="9.140625" hidden="1" customWidth="1"/>
    <col min="2" max="2" style="46889" width="9.140625" hidden="1" customWidth="1"/>
    <col min="3" max="3" style="47741" width="3.00390625" customWidth="1"/>
    <col min="4" max="4" style="46808" width="6.00390625" customWidth="1"/>
    <col min="5" max="6" style="46808" width="64.00390625" customWidth="1"/>
    <col min="7" max="7" style="46808" width="140.00390625" customWidth="1"/>
    <col min="8" max="8" style="46808" width="10.00390625" customWidth="1"/>
    <col min="9" max="10" style="46989" width="10.00390625" customWidth="1"/>
    <col min="11" max="16" style="46808" width="10.00390625" customWidth="1"/>
    <col min="17" max="17" style="46808" width="10.57421875" hidden="1"/>
  </cols>
  <sheetData>
    <row customHeight="1" ht="22.5" hidden="1">
      <c r="M1" s="767"/>
      <c r="N1" s="767"/>
      <c r="P1" s="767"/>
      <c r="Q1" s="595" t="s">
        <v>14</v>
      </c>
    </row>
    <row customHeight="1" ht="14.25" hidden="1">
      <c r="Q2" s="595">
        <v>0</v>
      </c>
    </row>
    <row customHeight="1" ht="14.25" hidden="1">
      <c r="Q3" s="595">
        <v>0</v>
      </c>
    </row>
    <row customHeight="1" ht="3">
      <c r="C4" s="608"/>
      <c r="D4" s="596"/>
      <c r="E4" s="596"/>
      <c r="F4" s="597"/>
      <c r="G4" s="597"/>
      <c r="Q4" s="595">
        <v>3</v>
      </c>
    </row>
    <row customHeight="1" ht="29.25">
      <c r="C5" s="608"/>
      <c r="D5" s="2966"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E5" s="2967"/>
      <c r="F5" s="2967"/>
      <c r="G5" s="2968"/>
      <c r="Q5" s="595">
        <v>28</v>
      </c>
    </row>
    <row s="46808" customFormat="1" customHeight="1" ht="18.75">
      <c r="A6" s="1394"/>
      <c r="B6" s="929"/>
      <c r="C6" s="888"/>
      <c r="D6" s="2969" t="str">
        <f>IF(org=0,"Не определено",org)</f>
        <v>КГУП "Примтеплоэнерго"</v>
      </c>
      <c r="E6" s="2970"/>
      <c r="F6" s="2970"/>
      <c r="G6" s="2971"/>
      <c r="I6" s="1012"/>
      <c r="J6" s="1012"/>
      <c r="Q6" s="1270">
        <v>18</v>
      </c>
    </row>
    <row customHeight="1" ht="14.699999999999998">
      <c r="C7" s="608"/>
      <c r="D7" s="596"/>
      <c r="E7" s="607"/>
      <c r="F7" s="1264"/>
      <c r="G7" s="705"/>
      <c r="Q7" s="595">
        <v>14</v>
      </c>
    </row>
    <row s="46808" customFormat="1" customHeight="1" ht="1.05">
      <c r="A8" s="2181"/>
      <c r="B8" s="1672"/>
      <c r="C8" s="888"/>
      <c r="D8" s="875"/>
      <c r="E8" s="901"/>
      <c r="F8" s="1264"/>
      <c r="G8" s="705"/>
      <c r="I8" s="2136"/>
      <c r="J8" s="2136"/>
      <c r="Q8" s="2143">
        <v>1</v>
      </c>
    </row>
    <row customHeight="1" ht="14.699999999999998">
      <c r="C9" s="608"/>
      <c r="D9" s="2721" t="s">
        <v>418</v>
      </c>
      <c r="E9" s="2721"/>
      <c r="F9" s="2721"/>
      <c r="G9" s="2901" t="s">
        <v>419</v>
      </c>
      <c r="Q9" s="595">
        <v>14</v>
      </c>
    </row>
    <row customHeight="1" ht="24">
      <c r="C10" s="608"/>
      <c r="D10" s="617" t="s">
        <v>90</v>
      </c>
      <c r="E10" s="620" t="s">
        <v>420</v>
      </c>
      <c r="F10" s="620" t="s">
        <v>508</v>
      </c>
      <c r="G10" s="2901"/>
      <c r="Q10" s="595">
        <v>23</v>
      </c>
    </row>
    <row customHeight="1" ht="12" hidden="1">
      <c r="C11" s="608"/>
      <c r="D11" s="599"/>
      <c r="E11" s="599"/>
      <c r="F11" s="599"/>
      <c r="G11" s="599"/>
      <c r="Q11" s="595">
        <v>0</v>
      </c>
    </row>
    <row customHeight="1" ht="65.25">
      <c r="A12" s="704"/>
      <c r="C12" s="608"/>
      <c r="D12" s="659">
        <v>1</v>
      </c>
      <c r="E12" s="709"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F12" s="710" t="s">
        <v>424</v>
      </c>
      <c r="G12" s="663"/>
      <c r="Q12" s="595">
        <v>62</v>
      </c>
    </row>
    <row customHeight="1" ht="24">
      <c r="A13" s="704"/>
      <c r="C13" s="608"/>
      <c r="D13" s="659" t="s">
        <v>1138</v>
      </c>
      <c r="E13" s="706"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710" t="s">
        <v>424</v>
      </c>
      <c r="G13" s="663"/>
      <c r="Q13" s="595">
        <v>23</v>
      </c>
    </row>
    <row customHeight="1" ht="14.699999999999998">
      <c r="A14" s="704"/>
      <c r="C14" s="608"/>
      <c r="D14" s="659" t="s">
        <v>1174</v>
      </c>
      <c r="E14" s="707"/>
      <c r="F14" s="725"/>
      <c r="G14" s="2681"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595">
        <v>14</v>
      </c>
    </row>
    <row customHeight="1" ht="15.75">
      <c r="A15" s="704"/>
      <c r="C15" s="608"/>
      <c r="D15" s="621"/>
      <c r="E15" s="861" t="s">
        <v>1234</v>
      </c>
      <c r="F15" s="713"/>
      <c r="G15" s="2683"/>
      <c r="Q15" s="595">
        <v>15</v>
      </c>
    </row>
    <row customHeight="1" ht="14.699999999999998">
      <c r="A16" s="704"/>
      <c r="C16" s="608"/>
      <c r="D16" s="659" t="s">
        <v>1140</v>
      </c>
      <c r="E16" s="706"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водоотведения</v>
      </c>
      <c r="F16" s="710" t="s">
        <v>424</v>
      </c>
      <c r="G16" s="849"/>
      <c r="Q16" s="595">
        <v>14</v>
      </c>
    </row>
    <row customHeight="1" ht="14.699999999999998">
      <c r="A17" s="704"/>
      <c r="C17" s="608"/>
      <c r="D17" s="659" t="s">
        <v>1182</v>
      </c>
      <c r="E17" s="707"/>
      <c r="F17" s="897"/>
      <c r="G17" s="2681"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водоотведения.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водоотведения информация по каждому из них указывается в отдельной строке.</v>
      </c>
      <c r="Q17" s="595">
        <v>14</v>
      </c>
    </row>
    <row s="46808" customFormat="1" customHeight="1" ht="22.049999999999997">
      <c r="A18" s="855"/>
      <c r="B18" s="658"/>
      <c r="C18" s="819"/>
      <c r="D18" s="859"/>
      <c r="E18" s="861" t="s">
        <v>1235</v>
      </c>
      <c r="F18" s="850"/>
      <c r="G18" s="2683"/>
      <c r="I18" s="862"/>
      <c r="J18" s="862"/>
      <c r="Q18" s="854">
        <v>21</v>
      </c>
    </row>
    <row s="46808" customFormat="1" customHeight="1" ht="256.5" hidden="1">
      <c r="A19" s="855"/>
      <c r="B19" s="929"/>
      <c r="C19" s="888"/>
      <c r="D19" s="1396" t="s">
        <v>1142</v>
      </c>
      <c r="E19" s="1395" t="s">
        <v>1236</v>
      </c>
      <c r="F19" s="897"/>
      <c r="G19" s="849" t="s">
        <v>1237</v>
      </c>
      <c r="I19" s="1012"/>
      <c r="J19" s="1012"/>
      <c r="Q19" s="1270">
        <v>0</v>
      </c>
    </row>
    <row s="46808" customFormat="1" customHeight="1" ht="14.699999999999998">
      <c r="A20" s="855"/>
      <c r="B20" s="658"/>
      <c r="C20" s="819"/>
      <c r="D20" s="1397">
        <v>2</v>
      </c>
      <c r="E20" s="842" t="s">
        <v>1238</v>
      </c>
      <c r="F20" s="710" t="s">
        <v>424</v>
      </c>
      <c r="G20" s="849"/>
      <c r="I20" s="862"/>
      <c r="J20" s="862"/>
      <c r="Q20" s="854">
        <v>14</v>
      </c>
    </row>
    <row s="46808" customFormat="1" customHeight="1" ht="18.75" hidden="1">
      <c r="A21" s="855"/>
      <c r="B21" s="658"/>
      <c r="C21" s="819"/>
      <c r="D21" s="845" t="s">
        <v>753</v>
      </c>
      <c r="E21" s="844"/>
      <c r="F21" s="843"/>
      <c r="G21" s="853"/>
      <c r="H21" s="846"/>
      <c r="I21" s="862"/>
      <c r="J21" s="862"/>
      <c r="Q21" s="854">
        <v>0</v>
      </c>
    </row>
    <row customHeight="1" ht="15.75">
      <c r="A22" s="704"/>
      <c r="C22" s="608"/>
      <c r="D22" s="621"/>
      <c r="E22" s="715" t="s">
        <v>440</v>
      </c>
      <c r="F22" s="850"/>
      <c r="G22" s="851"/>
      <c r="Q22" s="595">
        <v>15</v>
      </c>
    </row>
    <row s="46808" customFormat="1" customHeight="1" ht="22.5" hidden="1">
      <c r="A23" s="855"/>
      <c r="B23" s="1672"/>
      <c r="C23" s="888"/>
      <c r="D23" s="2185" t="s">
        <v>105</v>
      </c>
      <c r="E23" s="709" t="s">
        <v>1239</v>
      </c>
      <c r="F23" s="2182" t="s">
        <v>424</v>
      </c>
      <c r="G23" s="857"/>
      <c r="I23" s="2136"/>
      <c r="J23" s="2136"/>
      <c r="Q23" s="2143">
        <v>0</v>
      </c>
    </row>
    <row s="46808" customFormat="1" customHeight="1" ht="14.25" hidden="1">
      <c r="A24" s="855"/>
      <c r="B24" s="1672"/>
      <c r="C24" s="888"/>
      <c r="D24" s="2185" t="s">
        <v>825</v>
      </c>
      <c r="E24" s="2184" t="s">
        <v>1240</v>
      </c>
      <c r="F24" s="2182" t="s">
        <v>424</v>
      </c>
      <c r="G24" s="849"/>
      <c r="I24" s="2136"/>
      <c r="J24" s="2136"/>
      <c r="Q24" s="2143">
        <v>0</v>
      </c>
    </row>
    <row s="46808" customFormat="1" customHeight="1" ht="14.25" hidden="1">
      <c r="A25" s="855"/>
      <c r="B25" s="1672"/>
      <c r="C25" s="888"/>
      <c r="D25" s="2185" t="s">
        <v>828</v>
      </c>
      <c r="E25" s="707"/>
      <c r="F25" s="897"/>
      <c r="G25" s="2681" t="s">
        <v>1241</v>
      </c>
      <c r="I25" s="2136"/>
      <c r="J25" s="2136"/>
      <c r="Q25" s="2143">
        <v>0</v>
      </c>
    </row>
    <row s="46808" customFormat="1" customHeight="1" ht="22.5" hidden="1">
      <c r="A26" s="855"/>
      <c r="B26" s="1672"/>
      <c r="C26" s="888"/>
      <c r="D26" s="859"/>
      <c r="E26" s="861" t="s">
        <v>1242</v>
      </c>
      <c r="F26" s="850"/>
      <c r="G26" s="2683"/>
      <c r="I26" s="2136"/>
      <c r="J26" s="2136"/>
      <c r="Q26" s="2143">
        <v>0</v>
      </c>
    </row>
    <row customHeight="1" ht="3">
      <c r="Q27" s="595">
        <v>3</v>
      </c>
    </row>
    <row customHeight="1" ht="14.699999999999998">
      <c r="D28" s="848"/>
      <c r="E28" s="847"/>
      <c r="F28" s="827"/>
      <c r="G28" s="827"/>
      <c r="H28" s="827"/>
      <c r="I28" s="827"/>
      <c r="J28" s="827"/>
      <c r="K28" s="827"/>
      <c r="L28" s="827"/>
      <c r="M28" s="827"/>
      <c r="N28" s="827"/>
      <c r="O28" s="827"/>
      <c r="P28" s="827"/>
      <c r="Q28" s="595">
        <v>14</v>
      </c>
    </row>
    <row customHeight="1" ht="14.699999999999998">
      <c r="D29" s="848"/>
      <c r="E29" s="1094"/>
      <c r="Q29" s="595">
        <v>14</v>
      </c>
    </row>
    <row customHeight="1" ht="14.699999999999998">
      <c r="Q30" s="595">
        <v>14</v>
      </c>
    </row>
    <row customHeight="1" ht="14.699999999999998">
      <c r="E31" s="1270"/>
      <c r="Q31" s="595">
        <v>14</v>
      </c>
    </row>
    <row customHeight="1" ht="22.5" hidden="1">
      <c r="A32" s="613" t="s">
        <v>84</v>
      </c>
      <c r="B32" s="658">
        <v>0</v>
      </c>
      <c r="C32" s="609">
        <v>3</v>
      </c>
      <c r="D32" s="595">
        <v>6</v>
      </c>
      <c r="E32" s="595">
        <v>64</v>
      </c>
      <c r="F32" s="595">
        <v>64</v>
      </c>
      <c r="G32" s="595">
        <v>140</v>
      </c>
      <c r="H32" s="595">
        <v>10</v>
      </c>
      <c r="I32" s="667">
        <v>10</v>
      </c>
      <c r="J32" s="667">
        <v>10</v>
      </c>
      <c r="K32" s="595">
        <v>10</v>
      </c>
      <c r="L32" s="595">
        <v>10</v>
      </c>
      <c r="M32" s="595">
        <v>10</v>
      </c>
      <c r="N32" s="595">
        <v>10</v>
      </c>
      <c r="O32" s="595">
        <v>10</v>
      </c>
      <c r="P32" s="595">
        <v>10</v>
      </c>
      <c r="Q32" s="595">
        <v>23</v>
      </c>
    </row>
  </sheetData>
  <sheetProtection formatColumns="0" formatRows="0" autoFilter="0" sort="0" insertRows="0" insertColumns="1" deleteRows="0" deleteColumns="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00" right="0.00" top="0.00" bottom="0.00" header="0.00" footer="0.79"/>
  <pageSetup paperSize="9" scale="41" fitToHeight="0" pageOrder="downThenOver"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784033F-AAF6-D2AB-DE22-118B37FAEB84}" mc:Ignorable="x14ac xr xr2 xr3">
  <sheetPr>
    <tabColor theme="6" tint="0.4"/>
  </sheetPr>
  <dimension ref="A1:M43"/>
  <sheetViews>
    <sheetView topLeftCell="A1" showGridLines="0" zoomScale="90" workbookViewId="0">
      <selection activeCell="G22" sqref="G22"/>
    </sheetView>
  </sheetViews>
  <sheetFormatPr defaultColWidth="10.57421875" customHeight="1" defaultRowHeight="14.25"/>
  <cols>
    <col min="1" max="1" style="47739" width="9.140625" hidden="1" customWidth="1"/>
    <col min="2" max="2" style="46889" width="9.140625" hidden="1" customWidth="1"/>
    <col min="3" max="3" style="47741" width="3.00390625" customWidth="1"/>
    <col min="4" max="4" style="46808" width="6.00390625" customWidth="1"/>
    <col min="5" max="5" style="46808" width="63.00390625" customWidth="1"/>
    <col min="6" max="6" style="46808" width="1.7109375" hidden="1" customWidth="1"/>
    <col min="7" max="8" style="46808" width="35.00390625" customWidth="1"/>
    <col min="9" max="9" style="46808" width="91.00390625" customWidth="1"/>
    <col min="10" max="10" style="46808" width="68.00390625" customWidth="1"/>
    <col min="11" max="12" style="46989" width="10.00390625" customWidth="1"/>
    <col min="13" max="13" style="46808" width="10.57421875" hidden="1"/>
  </cols>
  <sheetData>
    <row customHeight="1" ht="22.5" hidden="1">
      <c r="M1" s="595" t="s">
        <v>14</v>
      </c>
    </row>
    <row s="46808" customFormat="1" customHeight="1" ht="18.75" hidden="1">
      <c r="A2" s="2195"/>
      <c r="B2" s="1672"/>
      <c r="C2" s="2242" t="s">
        <v>106</v>
      </c>
      <c r="D2" s="2185"/>
      <c r="E2" s="711"/>
      <c r="F2" s="2182"/>
      <c r="G2" s="2182" t="s">
        <v>424</v>
      </c>
      <c r="H2" s="1673"/>
      <c r="K2" s="2136"/>
      <c r="L2" s="2136"/>
      <c r="M2" s="2143">
        <v>0</v>
      </c>
    </row>
    <row s="46808" customFormat="1" customHeight="1" ht="14.25" hidden="1">
      <c r="A3" s="1874"/>
      <c r="B3" s="1672"/>
      <c r="C3" s="856"/>
      <c r="K3" s="2136"/>
      <c r="L3" s="2136"/>
      <c r="M3" s="2143">
        <v>0</v>
      </c>
    </row>
    <row s="46808" customFormat="1" customHeight="1" ht="18.75" hidden="1">
      <c r="A4" s="2195"/>
      <c r="B4" s="1672"/>
      <c r="C4" s="2242" t="s">
        <v>106</v>
      </c>
      <c r="D4" s="2185"/>
      <c r="E4" s="717" t="s">
        <v>1243</v>
      </c>
      <c r="F4" s="2182"/>
      <c r="G4" s="769"/>
      <c r="H4" s="2182" t="s">
        <v>424</v>
      </c>
      <c r="K4" s="2136"/>
      <c r="L4" s="2136"/>
      <c r="M4" s="2143">
        <v>0</v>
      </c>
    </row>
    <row s="46808" customFormat="1" customHeight="1" ht="14.25" hidden="1">
      <c r="A5" s="1874"/>
      <c r="B5" s="1672"/>
      <c r="C5" s="856"/>
      <c r="K5" s="2136"/>
      <c r="L5" s="2136"/>
      <c r="M5" s="2143">
        <v>0</v>
      </c>
    </row>
    <row s="46808" customFormat="1" customHeight="1" ht="18.75" hidden="1">
      <c r="A6" s="2195"/>
      <c r="B6" s="1672"/>
      <c r="C6" s="2242" t="s">
        <v>106</v>
      </c>
      <c r="D6" s="2185"/>
      <c r="E6" s="718" t="s">
        <v>1244</v>
      </c>
      <c r="F6" s="2182"/>
      <c r="G6" s="769"/>
      <c r="H6" s="2182" t="s">
        <v>424</v>
      </c>
      <c r="K6" s="2136"/>
      <c r="L6" s="2136"/>
      <c r="M6" s="2143">
        <v>0</v>
      </c>
    </row>
    <row s="46808" customFormat="1" customHeight="1" ht="14.25" hidden="1">
      <c r="A7" s="1874"/>
      <c r="B7" s="1672"/>
      <c r="C7" s="856"/>
      <c r="K7" s="2136"/>
      <c r="L7" s="2136"/>
      <c r="M7" s="2143">
        <v>0</v>
      </c>
    </row>
    <row s="46808" customFormat="1" customHeight="1" ht="18.75" hidden="1">
      <c r="A8" s="2195"/>
      <c r="B8" s="1672"/>
      <c r="C8" s="2242" t="s">
        <v>106</v>
      </c>
      <c r="D8" s="2185"/>
      <c r="E8" s="718" t="s">
        <v>1245</v>
      </c>
      <c r="F8" s="2182"/>
      <c r="G8" s="769"/>
      <c r="H8" s="2182" t="s">
        <v>424</v>
      </c>
      <c r="K8" s="2136"/>
      <c r="L8" s="2136"/>
      <c r="M8" s="2143">
        <v>0</v>
      </c>
    </row>
    <row s="46808" customFormat="1" customHeight="1" ht="14.25" hidden="1">
      <c r="A9" s="1874"/>
      <c r="B9" s="1672"/>
      <c r="C9" s="856"/>
      <c r="K9" s="2136"/>
      <c r="L9" s="2136"/>
      <c r="M9" s="2143">
        <v>0</v>
      </c>
    </row>
    <row s="46808" customFormat="1" customHeight="1" ht="18.75" hidden="1">
      <c r="A10" s="2195"/>
      <c r="B10" s="1672"/>
      <c r="C10" s="2242" t="s">
        <v>106</v>
      </c>
      <c r="D10" s="2185"/>
      <c r="E10" s="718" t="s">
        <v>1246</v>
      </c>
      <c r="F10" s="2182"/>
      <c r="G10" s="2186"/>
      <c r="H10" s="2182" t="s">
        <v>424</v>
      </c>
      <c r="K10" s="2136"/>
      <c r="L10" s="2136" t="s">
        <v>1247</v>
      </c>
      <c r="M10" s="2143">
        <v>0</v>
      </c>
    </row>
    <row customHeight="1" ht="14.25" hidden="1">
      <c r="M11" s="595">
        <v>0</v>
      </c>
    </row>
    <row customHeight="1" ht="14.25" hidden="1">
      <c r="M12" s="595">
        <v>0</v>
      </c>
    </row>
    <row customHeight="1" ht="14.699999999999998">
      <c r="C13" s="608"/>
      <c r="D13" s="596"/>
      <c r="E13" s="596"/>
      <c r="F13" s="596"/>
      <c r="G13" s="596"/>
      <c r="H13" s="597"/>
      <c r="I13" s="597"/>
      <c r="M13" s="595">
        <v>14</v>
      </c>
    </row>
    <row customHeight="1" ht="29.25">
      <c r="C14" s="608"/>
      <c r="D14" s="2966"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E14" s="2967"/>
      <c r="F14" s="2967"/>
      <c r="G14" s="2967"/>
      <c r="H14" s="2968"/>
      <c r="J14" s="2143"/>
      <c r="M14" s="595">
        <v>28</v>
      </c>
    </row>
    <row s="46808" customFormat="1" customHeight="1" ht="14.699999999999998">
      <c r="A15" s="1874"/>
      <c r="B15" s="1672"/>
      <c r="C15" s="888"/>
      <c r="D15" s="2969" t="str">
        <f>IF(org=0,"Не определено",org)</f>
        <v>КГУП "Примтеплоэнерго"</v>
      </c>
      <c r="E15" s="2970"/>
      <c r="F15" s="2970"/>
      <c r="G15" s="2970"/>
      <c r="H15" s="2971"/>
      <c r="J15" s="1364"/>
      <c r="K15" s="2136"/>
      <c r="L15" s="2136"/>
      <c r="M15" s="2143">
        <v>14</v>
      </c>
    </row>
    <row customHeight="1" ht="14.699999999999998">
      <c r="C16" s="608"/>
      <c r="D16" s="596"/>
      <c r="E16" s="607"/>
      <c r="F16" s="607"/>
      <c r="G16" s="607"/>
      <c r="H16" s="1264"/>
      <c r="I16" s="705"/>
      <c r="M16" s="595">
        <v>14</v>
      </c>
    </row>
    <row s="46808" customFormat="1" customHeight="1" ht="14.25" hidden="1">
      <c r="A17" s="1874"/>
      <c r="B17" s="1672"/>
      <c r="C17" s="888"/>
      <c r="D17" s="875"/>
      <c r="E17" s="901"/>
      <c r="F17" s="901"/>
      <c r="G17" s="901"/>
      <c r="H17" s="1264"/>
      <c r="I17" s="705"/>
      <c r="K17" s="2136"/>
      <c r="L17" s="2136"/>
      <c r="M17" s="2143">
        <v>0</v>
      </c>
    </row>
    <row customHeight="1" ht="22.049999999999997">
      <c r="C18" s="608"/>
      <c r="D18" s="2721" t="s">
        <v>418</v>
      </c>
      <c r="E18" s="2721"/>
      <c r="F18" s="2721"/>
      <c r="G18" s="2721"/>
      <c r="H18" s="2721"/>
      <c r="I18" s="2901" t="s">
        <v>419</v>
      </c>
      <c r="M18" s="595">
        <v>21</v>
      </c>
    </row>
    <row customHeight="1" ht="22.049999999999997">
      <c r="C19" s="608"/>
      <c r="D19" s="617" t="s">
        <v>90</v>
      </c>
      <c r="E19" s="620" t="s">
        <v>420</v>
      </c>
      <c r="F19" s="620"/>
      <c r="G19" s="620" t="s">
        <v>421</v>
      </c>
      <c r="H19" s="620" t="s">
        <v>508</v>
      </c>
      <c r="I19" s="2901"/>
      <c r="M19" s="595">
        <v>21</v>
      </c>
    </row>
    <row customHeight="1" ht="12" hidden="1">
      <c r="C20" s="608"/>
      <c r="D20" s="599"/>
      <c r="E20" s="599"/>
      <c r="F20" s="599"/>
      <c r="G20" s="599"/>
      <c r="H20" s="599"/>
      <c r="I20" s="599"/>
      <c r="M20" s="595">
        <v>0</v>
      </c>
    </row>
    <row customHeight="1" ht="14.699999999999998">
      <c r="A21" s="2195"/>
      <c r="C21" s="608"/>
      <c r="D21" s="659">
        <v>1</v>
      </c>
      <c r="E21" s="2973" t="s">
        <v>1248</v>
      </c>
      <c r="F21" s="2973"/>
      <c r="G21" s="2973"/>
      <c r="H21" s="2973"/>
      <c r="I21" s="720"/>
      <c r="M21" s="595">
        <v>14</v>
      </c>
    </row>
    <row customHeight="1" ht="21">
      <c r="A22" s="2195"/>
      <c r="C22" s="608"/>
      <c r="D22" s="659" t="s">
        <v>1138</v>
      </c>
      <c r="E22" s="706" t="s">
        <v>1249</v>
      </c>
      <c r="F22" s="710"/>
      <c r="G22" s="21639">
        <v>45646.52674768519</v>
      </c>
      <c r="H22" s="710" t="s">
        <v>424</v>
      </c>
      <c r="I22" s="663" t="s">
        <v>1250</v>
      </c>
      <c r="M22" s="595">
        <v>20</v>
      </c>
    </row>
    <row customHeight="1" ht="60">
      <c r="A23" s="2195"/>
      <c r="C23" s="608"/>
      <c r="D23" s="659" t="s">
        <v>1140</v>
      </c>
      <c r="E23" s="706" t="s">
        <v>1251</v>
      </c>
      <c r="F23" s="710"/>
      <c r="G23" s="8086" t="s">
        <v>1252</v>
      </c>
      <c r="H23" s="8087" t="s">
        <v>1253</v>
      </c>
      <c r="I23" s="770" t="s">
        <v>1254</v>
      </c>
      <c r="M23" s="595">
        <v>57</v>
      </c>
    </row>
    <row customHeight="1" ht="15">
      <c r="A24" s="2195"/>
      <c r="B24" s="658">
        <v>3</v>
      </c>
      <c r="C24" s="608"/>
      <c r="D24" s="659">
        <v>2</v>
      </c>
      <c r="E24" s="734"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водоотведения</v>
      </c>
      <c r="F24" s="710"/>
      <c r="G24" s="710" t="s">
        <v>424</v>
      </c>
      <c r="H24" s="8087" t="s">
        <v>1255</v>
      </c>
      <c r="I24" s="771" t="s">
        <v>748</v>
      </c>
      <c r="M24" s="595">
        <v>14</v>
      </c>
    </row>
    <row customHeight="1" ht="48.29999999999999">
      <c r="A25" s="2195"/>
      <c r="C25" s="608"/>
      <c r="D25" s="659">
        <v>3</v>
      </c>
      <c r="E25" s="2972"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водоотведения,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972"/>
      <c r="G25" s="2972"/>
      <c r="H25" s="2972"/>
      <c r="I25" s="768"/>
      <c r="M25" s="595">
        <v>46</v>
      </c>
    </row>
    <row customHeight="1" ht="15">
      <c r="A26" s="2195"/>
      <c r="C26" s="608"/>
      <c r="D26" s="659" t="s">
        <v>442</v>
      </c>
      <c r="E26" s="711" t="s">
        <v>1256</v>
      </c>
      <c r="F26" s="710"/>
      <c r="G26" s="710" t="s">
        <v>424</v>
      </c>
      <c r="H26" s="8087" t="s">
        <v>1255</v>
      </c>
      <c r="I26" s="2681" t="s">
        <v>1257</v>
      </c>
      <c r="M26" s="595">
        <v>14</v>
      </c>
    </row>
    <row customHeight="1" ht="15.75">
      <c r="A27" s="2195" t="s">
        <v>101</v>
      </c>
      <c r="C27" s="608"/>
      <c r="D27" s="621"/>
      <c r="E27" s="715" t="s">
        <v>440</v>
      </c>
      <c r="F27" s="716"/>
      <c r="G27" s="716"/>
      <c r="H27" s="713"/>
      <c r="I27" s="2683"/>
      <c r="M27" s="595">
        <v>15</v>
      </c>
    </row>
    <row customHeight="1" ht="39.75">
      <c r="A28" s="2195"/>
      <c r="B28" s="658">
        <v>3</v>
      </c>
      <c r="C28" s="608"/>
      <c r="D28" s="659">
        <v>4</v>
      </c>
      <c r="E28" s="2972"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водоотведения при подаче, приеме, обработке заявления о заключении договора о подключении (технологическом присоединении) к системе водоотведения (в том числе в форме электронного документа)</v>
      </c>
      <c r="F28" s="2972"/>
      <c r="G28" s="2972"/>
      <c r="H28" s="2972"/>
      <c r="I28" s="768"/>
      <c r="M28" s="595">
        <v>38</v>
      </c>
    </row>
    <row customHeight="1" ht="21">
      <c r="A29" s="2195"/>
      <c r="C29" s="608"/>
      <c r="D29" s="659" t="s">
        <v>870</v>
      </c>
      <c r="E29" s="717" t="s">
        <v>1243</v>
      </c>
      <c r="F29" s="710"/>
      <c r="G29" s="769" t="s">
        <v>1258</v>
      </c>
      <c r="H29" s="710" t="s">
        <v>424</v>
      </c>
      <c r="I29" s="2681" t="s">
        <v>1259</v>
      </c>
      <c r="M29" s="595">
        <v>20</v>
      </c>
    </row>
    <row customHeight="1" ht="15.75">
      <c r="A30" s="2195" t="s">
        <v>105</v>
      </c>
      <c r="C30" s="608"/>
      <c r="D30" s="621"/>
      <c r="E30" s="715" t="s">
        <v>440</v>
      </c>
      <c r="F30" s="716"/>
      <c r="G30" s="716"/>
      <c r="H30" s="713"/>
      <c r="I30" s="2683"/>
      <c r="M30" s="595">
        <v>15</v>
      </c>
    </row>
    <row customHeight="1" ht="31.5">
      <c r="A31" s="2195"/>
      <c r="B31" s="658">
        <v>3</v>
      </c>
      <c r="C31" s="608"/>
      <c r="D31" s="659">
        <v>5</v>
      </c>
      <c r="E31" s="2972"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1" s="2972"/>
      <c r="G31" s="2972"/>
      <c r="H31" s="2972"/>
      <c r="I31" s="768"/>
      <c r="M31" s="595">
        <v>30</v>
      </c>
    </row>
    <row customHeight="1" ht="27.299999999999997">
      <c r="A32" s="2195"/>
      <c r="C32" s="608"/>
      <c r="D32" s="659" t="s">
        <v>431</v>
      </c>
      <c r="E32" s="2915"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водоотведения</v>
      </c>
      <c r="F32" s="2915"/>
      <c r="G32" s="2915"/>
      <c r="H32" s="2915"/>
      <c r="I32" s="768"/>
      <c r="M32" s="595">
        <v>26</v>
      </c>
    </row>
    <row customHeight="1" ht="15">
      <c r="A33" s="2195"/>
      <c r="C33" s="608"/>
      <c r="D33" s="659" t="s">
        <v>1260</v>
      </c>
      <c r="E33" s="718" t="s">
        <v>1244</v>
      </c>
      <c r="F33" s="710"/>
      <c r="G33" s="769" t="s">
        <v>1261</v>
      </c>
      <c r="H33" s="710" t="s">
        <v>424</v>
      </c>
      <c r="I33" s="2681" t="s">
        <v>1262</v>
      </c>
      <c r="M33" s="595">
        <v>14</v>
      </c>
    </row>
    <row customHeight="1" ht="15.75">
      <c r="A34" s="2195" t="s">
        <v>92</v>
      </c>
      <c r="C34" s="608"/>
      <c r="D34" s="621"/>
      <c r="E34" s="716" t="s">
        <v>440</v>
      </c>
      <c r="F34" s="712"/>
      <c r="G34" s="712"/>
      <c r="H34" s="713"/>
      <c r="I34" s="2683"/>
      <c r="M34" s="595">
        <v>15</v>
      </c>
    </row>
    <row customHeight="1" ht="25.2">
      <c r="A35" s="2195"/>
      <c r="C35" s="608"/>
      <c r="D35" s="659" t="s">
        <v>998</v>
      </c>
      <c r="E35" s="2915"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водоотведения</v>
      </c>
      <c r="F35" s="2915"/>
      <c r="G35" s="2915"/>
      <c r="H35" s="2915"/>
      <c r="I35" s="768"/>
      <c r="M35" s="595">
        <v>24</v>
      </c>
    </row>
    <row customHeight="1" ht="15">
      <c r="A36" s="2195"/>
      <c r="C36" s="608"/>
      <c r="D36" s="659" t="s">
        <v>1263</v>
      </c>
      <c r="E36" s="718" t="s">
        <v>1245</v>
      </c>
      <c r="F36" s="710"/>
      <c r="G36" s="769" t="s">
        <v>1264</v>
      </c>
      <c r="H36" s="710" t="s">
        <v>424</v>
      </c>
      <c r="I36" s="2655" t="s">
        <v>1265</v>
      </c>
      <c r="M36" s="595">
        <v>14</v>
      </c>
    </row>
    <row customHeight="1" ht="15.75">
      <c r="A37" s="2195" t="s">
        <v>93</v>
      </c>
      <c r="C37" s="608"/>
      <c r="D37" s="621"/>
      <c r="E37" s="716" t="s">
        <v>440</v>
      </c>
      <c r="F37" s="712"/>
      <c r="G37" s="712"/>
      <c r="H37" s="713"/>
      <c r="I37" s="2655"/>
      <c r="M37" s="595">
        <v>15</v>
      </c>
    </row>
    <row customHeight="1" ht="27.299999999999997">
      <c r="A38" s="2195"/>
      <c r="C38" s="608"/>
      <c r="D38" s="659" t="s">
        <v>999</v>
      </c>
      <c r="E38" s="2915"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8" s="2915"/>
      <c r="G38" s="2915"/>
      <c r="H38" s="2915"/>
      <c r="I38" s="768"/>
      <c r="M38" s="595">
        <v>26</v>
      </c>
    </row>
    <row customHeight="1" ht="15">
      <c r="A39" s="2195"/>
      <c r="C39" s="608"/>
      <c r="D39" s="659" t="s">
        <v>1000</v>
      </c>
      <c r="E39" s="718" t="s">
        <v>1246</v>
      </c>
      <c r="F39" s="710"/>
      <c r="G39" s="719" t="s">
        <v>1266</v>
      </c>
      <c r="H39" s="710" t="s">
        <v>424</v>
      </c>
      <c r="I39" s="2681" t="s">
        <v>1267</v>
      </c>
      <c r="L39" s="667" t="s">
        <v>1247</v>
      </c>
      <c r="M39" s="595">
        <v>14</v>
      </c>
    </row>
    <row customHeight="1" ht="15.75">
      <c r="A40" s="2195" t="s">
        <v>120</v>
      </c>
      <c r="C40" s="608"/>
      <c r="D40" s="621"/>
      <c r="E40" s="716" t="s">
        <v>440</v>
      </c>
      <c r="F40" s="712"/>
      <c r="G40" s="712"/>
      <c r="H40" s="713"/>
      <c r="I40" s="2683"/>
      <c r="M40" s="595">
        <v>15</v>
      </c>
    </row>
    <row s="55196" customFormat="1" customHeight="1" ht="3">
      <c r="A41" s="2195"/>
      <c r="K41" s="708"/>
      <c r="L41" s="708"/>
      <c r="M41" s="652">
        <v>3</v>
      </c>
    </row>
    <row customHeight="1" ht="26.25">
      <c r="D42" s="2193" t="s">
        <v>920</v>
      </c>
      <c r="E42" s="2797"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водоотведения.</v>
      </c>
      <c r="F42" s="2797"/>
      <c r="G42" s="2797"/>
      <c r="H42" s="2797"/>
      <c r="I42" s="2797"/>
      <c r="M42" s="595">
        <v>25</v>
      </c>
    </row>
    <row customHeight="1" ht="22.5" hidden="1">
      <c r="A43" s="1874" t="s">
        <v>84</v>
      </c>
      <c r="B43" s="658">
        <v>0</v>
      </c>
      <c r="C43" s="609">
        <v>3</v>
      </c>
      <c r="D43" s="595">
        <v>6</v>
      </c>
      <c r="E43" s="595">
        <v>63</v>
      </c>
      <c r="F43" s="595">
        <v>0</v>
      </c>
      <c r="G43" s="595">
        <v>35</v>
      </c>
      <c r="H43" s="595">
        <v>35</v>
      </c>
      <c r="I43" s="595">
        <v>91</v>
      </c>
      <c r="J43" s="595">
        <v>68</v>
      </c>
      <c r="K43" s="667">
        <v>10</v>
      </c>
      <c r="L43" s="667">
        <v>10</v>
      </c>
      <c r="M43" s="595">
        <v>23</v>
      </c>
    </row>
  </sheetData>
  <sheetProtection formatColumns="0" formatRows="0" autoFilter="0" sort="0" insertRows="0" insertColumns="1" deleteRows="0" deleteColumns="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hyperlinks>
    <hyperlink ref="G23" r:id="rId2" xr:uid="{3B1E530C-870C-EE4F-B10D-C8E2C6138A4C}"/>
    <hyperlink ref="H23" r:id="rId3" xr:uid="{FD1BF6CE-2353-2E4E-B13A-18F78E742B07}"/>
    <hyperlink ref="H24" r:id="rId4" xr:uid="{A2CCC54F-0737-13F5-CD09-6170BC752F44}"/>
    <hyperlink ref="H26" r:id="rId5" xr:uid="{978AB484-0B97-BC1E-23C7-D472179C45FB}"/>
  </hyperlink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F55A127-6B92-346D-64D7-7ADBF680F82F}" mc:Ignorable="x14ac xr xr2 xr3">
  <sheetPr>
    <tabColor theme="6" tint="0.4"/>
  </sheetPr>
  <dimension ref="A1:AH332"/>
  <sheetViews>
    <sheetView topLeftCell="A1" showGridLines="0" zoomScale="90" workbookViewId="0">
      <selection activeCell="A1" sqref="A1"/>
    </sheetView>
  </sheetViews>
  <sheetFormatPr defaultColWidth="10.57421875" customHeight="1" defaultRowHeight="14.25"/>
  <cols>
    <col min="1" max="2" style="55235" width="25.140625" hidden="1" customWidth="1"/>
    <col min="3" max="3" style="55236" width="9.140625" hidden="1" customWidth="1"/>
    <col min="4" max="4" style="47741" width="3.00390625" customWidth="1"/>
    <col min="5" max="5" style="46808" width="6.00390625" customWidth="1"/>
    <col min="6" max="6" style="46808" width="46.7109375" customWidth="1"/>
    <col min="7" max="7" style="46808" width="35.00390625" customWidth="1"/>
    <col min="8" max="8" style="46808" width="3.00390625" customWidth="1"/>
    <col min="9" max="10" style="46808" width="11.00390625" customWidth="1"/>
    <col min="11" max="12" style="46808" width="35.00390625" customWidth="1"/>
    <col min="13" max="13" style="46808" width="84.00390625" customWidth="1"/>
    <col min="14" max="14" style="46808" width="10.00390625" customWidth="1"/>
    <col min="15" max="16" style="46989" width="10.00390625" customWidth="1"/>
    <col min="17" max="33" style="46808" width="10.00390625" customWidth="1"/>
    <col min="34" max="34" style="46808" width="10.57421875" hidden="1"/>
  </cols>
  <sheetData>
    <row s="46808" customFormat="1" customHeight="1" ht="22.5" hidden="1">
      <c r="A1" s="2291"/>
      <c r="B1" s="2291"/>
      <c r="C1" s="881"/>
      <c r="D1" s="856"/>
      <c r="N1" s="2148">
        <f>_xlfn.IFERROR(MATCH("метод экономически обоснованных расходов (затрат)",OFFER_METHOD,0),0)</f>
        <v>0</v>
      </c>
      <c r="O1" s="2136"/>
      <c r="P1" s="2136"/>
      <c r="T1" s="1343"/>
      <c r="AG1" s="767"/>
      <c r="AH1" s="2143" t="s">
        <v>14</v>
      </c>
    </row>
    <row s="46808" customFormat="1" customHeight="1" ht="18.75" hidden="1">
      <c r="A2" s="2292" t="s">
        <v>206</v>
      </c>
      <c r="B2" s="2292" t="s">
        <v>207</v>
      </c>
      <c r="C2" s="881"/>
      <c r="D2" s="856"/>
      <c r="E2" s="1543"/>
      <c r="F2" s="1543"/>
      <c r="G2" s="2939" t="str">
        <f>INDEX(PT_DIFFERENTIATION_NTAR,MATCH(B2,PT_DIFFERENTIATION_NTAR_ID,0))</f>
        <v/>
      </c>
      <c r="H2" s="2376"/>
      <c r="I2" s="2251"/>
      <c r="J2" s="2285"/>
      <c r="K2" s="2377"/>
      <c r="L2" s="2376" t="s">
        <v>424</v>
      </c>
      <c r="M2" s="2387"/>
      <c r="N2" s="846"/>
      <c r="O2" s="2136"/>
      <c r="P2" s="2136"/>
      <c r="AH2" s="2143">
        <v>0</v>
      </c>
    </row>
    <row s="46808" customFormat="1" customHeight="1" ht="18.75" hidden="1">
      <c r="A3" s="2292"/>
      <c r="B3" s="2292"/>
      <c r="C3" s="881" t="s">
        <v>1268</v>
      </c>
      <c r="D3" s="856"/>
      <c r="E3" s="1543"/>
      <c r="F3" s="1543"/>
      <c r="G3" s="2939"/>
      <c r="H3" s="2012"/>
      <c r="I3" s="1163" t="s">
        <v>1269</v>
      </c>
      <c r="J3" s="1083"/>
      <c r="K3" s="2012"/>
      <c r="L3" s="726"/>
      <c r="M3" s="2387"/>
      <c r="N3" s="846"/>
      <c r="O3" s="2136"/>
      <c r="P3" s="2136"/>
      <c r="AH3" s="2143">
        <v>0</v>
      </c>
    </row>
    <row s="46808" customFormat="1" customHeight="1" ht="14.25" hidden="1">
      <c r="A4" s="2291"/>
      <c r="B4" s="2291"/>
      <c r="C4" s="881"/>
      <c r="D4" s="856"/>
      <c r="N4" s="2148">
        <f>_xlfn.IFERROR(MATCH("метод экономически обоснованных расходов (затрат)",OFFER_METHOD,0),0)</f>
        <v>0</v>
      </c>
      <c r="O4" s="2136"/>
      <c r="P4" s="2136"/>
      <c r="T4" s="1343"/>
      <c r="AG4" s="767"/>
      <c r="AH4" s="2143">
        <v>0</v>
      </c>
    </row>
    <row s="46808" customFormat="1" customHeight="1" ht="18.75" hidden="1">
      <c r="A5" s="2292" t="s">
        <v>206</v>
      </c>
      <c r="B5" s="2292" t="s">
        <v>207</v>
      </c>
      <c r="C5" s="881"/>
      <c r="D5" s="856"/>
      <c r="E5" s="1543"/>
      <c r="F5" s="1543"/>
      <c r="G5" s="2939" t="str">
        <f>INDEX(PT_DIFFERENTIATION_NTAR,MATCH(B5,PT_DIFFERENTIATION_NTAR_ID,0))</f>
        <v/>
      </c>
      <c r="H5" s="2376"/>
      <c r="I5" s="2251"/>
      <c r="J5" s="2285"/>
      <c r="K5" s="2290"/>
      <c r="L5" s="2376" t="s">
        <v>424</v>
      </c>
      <c r="M5" s="2387"/>
      <c r="N5" s="846"/>
      <c r="O5" s="2136"/>
      <c r="P5" s="2136"/>
      <c r="AH5" s="2143">
        <v>0</v>
      </c>
    </row>
    <row s="46808" customFormat="1" customHeight="1" ht="18.75" hidden="1">
      <c r="A6" s="2292"/>
      <c r="B6" s="2292"/>
      <c r="C6" s="881" t="s">
        <v>1270</v>
      </c>
      <c r="D6" s="856"/>
      <c r="E6" s="1543"/>
      <c r="F6" s="1543"/>
      <c r="G6" s="2939"/>
      <c r="H6" s="2012"/>
      <c r="I6" s="1163" t="s">
        <v>1269</v>
      </c>
      <c r="J6" s="1083"/>
      <c r="K6" s="2012"/>
      <c r="L6" s="726"/>
      <c r="M6" s="2387"/>
      <c r="N6" s="846"/>
      <c r="O6" s="2136"/>
      <c r="P6" s="2136"/>
      <c r="AH6" s="2143">
        <v>0</v>
      </c>
    </row>
    <row s="46808" customFormat="1" customHeight="1" ht="14.25" hidden="1">
      <c r="A7" s="2291"/>
      <c r="B7" s="2291"/>
      <c r="C7" s="881"/>
      <c r="D7" s="856"/>
      <c r="N7" s="2148">
        <f>_xlfn.IFERROR(MATCH("метод экономически обоснованных расходов (затрат)",OFFER_METHOD,0),0)</f>
        <v>0</v>
      </c>
      <c r="O7" s="2136"/>
      <c r="P7" s="2136"/>
      <c r="T7" s="1343"/>
      <c r="AG7" s="767"/>
      <c r="AH7" s="2143">
        <v>0</v>
      </c>
    </row>
    <row s="46808" customFormat="1" customHeight="1" ht="56.25" hidden="1">
      <c r="A8" s="2292"/>
      <c r="B8" s="2292"/>
      <c r="C8" s="881"/>
      <c r="D8" s="856"/>
      <c r="E8" s="1543"/>
      <c r="F8" s="1543"/>
      <c r="G8" s="1543"/>
      <c r="H8" s="2283"/>
      <c r="I8" s="2251"/>
      <c r="J8" s="2285"/>
      <c r="K8" s="2377"/>
      <c r="L8" s="2283" t="s">
        <v>424</v>
      </c>
      <c r="M8" s="2387"/>
      <c r="N8" s="846"/>
      <c r="O8" s="2136"/>
      <c r="P8" s="2136"/>
      <c r="AH8" s="2143">
        <v>0</v>
      </c>
    </row>
    <row customHeight="1" ht="14.25" hidden="1">
      <c r="T9" s="909"/>
      <c r="AG9" s="767"/>
      <c r="AH9" s="886">
        <v>0</v>
      </c>
    </row>
    <row s="46808" customFormat="1" customHeight="1" ht="56.25" hidden="1">
      <c r="A10" s="2292"/>
      <c r="B10" s="2292"/>
      <c r="C10" s="881"/>
      <c r="D10" s="856"/>
      <c r="E10" s="1543"/>
      <c r="F10" s="1543"/>
      <c r="G10" s="1543"/>
      <c r="H10" s="2282"/>
      <c r="I10" s="2251"/>
      <c r="J10" s="2285"/>
      <c r="K10" s="2290"/>
      <c r="L10" s="2283" t="s">
        <v>424</v>
      </c>
      <c r="M10" s="2387"/>
      <c r="N10" s="846"/>
      <c r="O10" s="2136"/>
      <c r="P10" s="2136"/>
      <c r="AH10" s="2143">
        <v>0</v>
      </c>
    </row>
    <row customHeight="1" ht="14.25" hidden="1">
      <c r="AH11" s="886">
        <v>0</v>
      </c>
    </row>
    <row customHeight="1" ht="14.25" hidden="1">
      <c r="AH12" s="886">
        <v>0</v>
      </c>
    </row>
    <row customHeight="1" ht="6.3">
      <c r="D13" s="888"/>
      <c r="E13" s="875"/>
      <c r="F13" s="875"/>
      <c r="G13" s="875"/>
      <c r="H13" s="875"/>
      <c r="I13" s="875"/>
      <c r="J13" s="875"/>
      <c r="K13" s="875"/>
      <c r="L13" s="597"/>
      <c r="M13" s="597"/>
      <c r="AH13" s="886">
        <v>6</v>
      </c>
    </row>
    <row customHeight="1" ht="14.699999999999998">
      <c r="D14" s="888"/>
      <c r="E14" s="2977"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водоотведения об установлении тарифов в сфере водоотведения на очередной период регулирования</v>
      </c>
      <c r="F14" s="2977"/>
      <c r="G14" s="2977"/>
      <c r="H14" s="2977"/>
      <c r="I14" s="2977"/>
      <c r="J14" s="2977"/>
      <c r="K14" s="2977"/>
      <c r="L14" s="2977"/>
      <c r="M14" s="732"/>
      <c r="AH14" s="886">
        <v>14</v>
      </c>
    </row>
    <row customHeight="1" ht="6.3">
      <c r="D15" s="888"/>
      <c r="E15" s="875"/>
      <c r="F15" s="901"/>
      <c r="G15" s="901"/>
      <c r="H15" s="901"/>
      <c r="I15" s="901"/>
      <c r="J15" s="901"/>
      <c r="K15" s="901"/>
      <c r="L15" s="834"/>
      <c r="M15" s="705"/>
      <c r="AH15" s="886">
        <v>6</v>
      </c>
    </row>
    <row customHeight="1" ht="24">
      <c r="D16" s="888"/>
      <c r="E16" s="875"/>
      <c r="F16" s="817" t="str">
        <f>"Дата подачи заявления об "&amp;IF(TITLE_DATE_PR_CHANGE="","утверждении","изменении")&amp;" тарифов"</f>
        <v>Дата подачи заявления об изменении тарифов</v>
      </c>
      <c r="G16" s="2776" t="str">
        <f>IF(TITLE_DATE_PR_CHANGE="",IF(TITLE_DATE_PR="","",TITLE_DATE_PR),TITLE_DATE_PR_CHANGE)</f>
        <v>45631.495844907404</v>
      </c>
      <c r="H16" s="2776"/>
      <c r="I16" s="2776"/>
      <c r="J16" s="2776"/>
      <c r="K16" s="2776"/>
      <c r="L16" s="2776"/>
      <c r="M16" s="910"/>
      <c r="N16" s="838"/>
      <c r="AH16" s="886">
        <v>23</v>
      </c>
    </row>
    <row customHeight="1" ht="24">
      <c r="D17" s="888"/>
      <c r="E17" s="875"/>
      <c r="F17" s="817" t="str">
        <f>"Номер подачи заявления об "&amp;IF(TITLE_DATE_PR_CHANGE="","утверждении","изменении")&amp;" тарифов"</f>
        <v>Номер подачи заявления об изменении тарифов</v>
      </c>
      <c r="G17" s="2763" t="str">
        <f>IF(TITLE_NUMBER_PR_CHANGE="",IF(TITLE_NUMBER_PR="","",TITLE_NUMBER_PR),TITLE_NUMBER_PR_CHANGE)</f>
        <v>53/9</v>
      </c>
      <c r="H17" s="2763"/>
      <c r="I17" s="2763"/>
      <c r="J17" s="2763"/>
      <c r="K17" s="2763"/>
      <c r="L17" s="2763"/>
      <c r="M17" s="910"/>
      <c r="N17" s="838"/>
      <c r="AH17" s="886">
        <v>23</v>
      </c>
    </row>
    <row customHeight="1" ht="14.699999999999998">
      <c r="D18" s="888"/>
      <c r="E18" s="875"/>
      <c r="F18" s="901"/>
      <c r="G18" s="901"/>
      <c r="H18" s="901"/>
      <c r="I18" s="901"/>
      <c r="J18" s="901"/>
      <c r="K18" s="901"/>
      <c r="L18" s="1264"/>
      <c r="M18" s="705"/>
      <c r="AH18" s="886">
        <v>14</v>
      </c>
    </row>
    <row customHeight="1" ht="22.049999999999997">
      <c r="D19" s="888"/>
      <c r="E19" s="2721" t="s">
        <v>418</v>
      </c>
      <c r="F19" s="2721"/>
      <c r="G19" s="2721"/>
      <c r="H19" s="2721"/>
      <c r="I19" s="2721"/>
      <c r="J19" s="2721"/>
      <c r="K19" s="2721"/>
      <c r="L19" s="2721"/>
      <c r="M19" s="2901" t="s">
        <v>419</v>
      </c>
      <c r="AH19" s="886">
        <v>21</v>
      </c>
    </row>
    <row customHeight="1" ht="22.049999999999997">
      <c r="D20" s="888"/>
      <c r="E20" s="2789" t="s">
        <v>90</v>
      </c>
      <c r="F20" s="2736" t="s">
        <v>178</v>
      </c>
      <c r="G20" s="2736" t="s">
        <v>179</v>
      </c>
      <c r="H20" s="2898" t="s">
        <v>1271</v>
      </c>
      <c r="I20" s="2899"/>
      <c r="J20" s="2945"/>
      <c r="K20" s="2736" t="s">
        <v>421</v>
      </c>
      <c r="L20" s="2736" t="s">
        <v>508</v>
      </c>
      <c r="M20" s="2901"/>
      <c r="AH20" s="886">
        <v>21</v>
      </c>
    </row>
    <row customHeight="1" ht="22.049999999999997">
      <c r="D21" s="888"/>
      <c r="E21" s="2791"/>
      <c r="F21" s="2737"/>
      <c r="G21" s="2737"/>
      <c r="H21" s="2730" t="s">
        <v>1272</v>
      </c>
      <c r="I21" s="2732"/>
      <c r="J21" s="620" t="s">
        <v>1273</v>
      </c>
      <c r="K21" s="2737"/>
      <c r="L21" s="2737"/>
      <c r="M21" s="2901"/>
      <c r="AH21" s="886">
        <v>21</v>
      </c>
    </row>
    <row customHeight="1" ht="12.75">
      <c r="D22" s="888"/>
      <c r="E22" s="793"/>
      <c r="F22" s="793"/>
      <c r="G22" s="793"/>
      <c r="H22" s="2979"/>
      <c r="I22" s="2979"/>
      <c r="J22" s="793"/>
      <c r="K22" s="793"/>
      <c r="L22" s="793"/>
      <c r="M22" s="793"/>
      <c r="AH22" s="886">
        <v>12</v>
      </c>
    </row>
    <row customHeight="1" ht="19.95">
      <c r="A23" s="2292"/>
      <c r="B23" s="2292"/>
      <c r="D23" s="888"/>
      <c r="E23" s="2378" t="s">
        <v>101</v>
      </c>
      <c r="F23" s="2980" t="str">
        <f>"Предлагаемый метод регулирования"&amp;IF(TEMPLATE_SPHERE="HEAT"," в сфере "&amp;TEMPLATE_SPHERE_RUS,"")</f>
        <v>Предлагаемый метод регулирования</v>
      </c>
      <c r="G23" s="2981"/>
      <c r="H23" s="2973"/>
      <c r="I23" s="2973"/>
      <c r="J23" s="2973"/>
      <c r="K23" s="2981" t="s">
        <v>424</v>
      </c>
      <c r="L23" s="2973"/>
      <c r="M23" s="2281"/>
      <c r="N23" s="846"/>
      <c r="AH23" s="886">
        <v>19</v>
      </c>
    </row>
    <row customHeight="1" ht="60.75" hidden="1">
      <c r="A24" s="2292" t="s">
        <v>206</v>
      </c>
      <c r="B24" s="2292" t="s">
        <v>207</v>
      </c>
      <c r="D24" s="2978"/>
      <c r="E24" s="2716"/>
      <c r="F24" s="2982"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939" t="str">
        <f>INDEX(PT_DIFFERENTIATION_NTAR,MATCH(B24,PT_DIFFERENTIATION_NTAR_ID,0))</f>
        <v/>
      </c>
      <c r="H24" s="2374"/>
      <c r="I24" s="2251"/>
      <c r="J24" s="2285"/>
      <c r="K24" s="2377"/>
      <c r="L24" s="2280" t="s">
        <v>424</v>
      </c>
      <c r="M24" s="268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846"/>
      <c r="AH24" s="886">
        <v>0</v>
      </c>
    </row>
    <row s="46808" customFormat="1" customHeight="1" ht="18.75" hidden="1">
      <c r="A25" s="2292"/>
      <c r="B25" s="2292"/>
      <c r="C25" s="881" t="s">
        <v>1268</v>
      </c>
      <c r="D25" s="2978"/>
      <c r="E25" s="2716"/>
      <c r="F25" s="2982"/>
      <c r="G25" s="2939"/>
      <c r="H25" s="2012"/>
      <c r="I25" s="1163" t="s">
        <v>1269</v>
      </c>
      <c r="J25" s="1083"/>
      <c r="K25" s="2012"/>
      <c r="L25" s="726"/>
      <c r="M25" s="2682"/>
      <c r="N25" s="846"/>
      <c r="O25" s="2136"/>
      <c r="P25" s="2136"/>
      <c r="AH25" s="2143">
        <v>0</v>
      </c>
    </row>
    <row customHeight="1" ht="0.75" hidden="1">
      <c r="A26" s="2292"/>
      <c r="B26" s="2292"/>
      <c r="C26" s="881" t="s">
        <v>1274</v>
      </c>
      <c r="D26" s="2978"/>
      <c r="E26" s="2716"/>
      <c r="F26" s="2895"/>
      <c r="G26" s="912"/>
      <c r="H26" s="2012"/>
      <c r="I26" s="907"/>
      <c r="J26" s="861"/>
      <c r="K26" s="2012"/>
      <c r="L26" s="713"/>
      <c r="M26" s="2682"/>
      <c r="N26" s="846"/>
      <c r="AH26" s="886">
        <v>0</v>
      </c>
    </row>
    <row s="46808" customFormat="1" customHeight="1" ht="45" hidden="1">
      <c r="A27" s="2292" t="s">
        <v>211</v>
      </c>
      <c r="B27" s="2292" t="s">
        <v>212</v>
      </c>
      <c r="C27" s="881"/>
      <c r="D27" s="2974"/>
      <c r="E27" s="2975"/>
      <c r="F27" s="2976" t="str">
        <f>INDEX(PT_DIFFERENTIATION_VTAR,MATCH(A27,PT_DIFFERENTIATION_VTAR_ID,0))</f>
        <v/>
      </c>
      <c r="G27" s="2939" t="str">
        <f>INDEX(PT_DIFFERENTIATION_NTAR,MATCH(B27,PT_DIFFERENTIATION_NTAR_ID,0))</f>
        <v/>
      </c>
      <c r="H27" s="2374"/>
      <c r="I27" s="2251"/>
      <c r="J27" s="2285"/>
      <c r="K27" s="2377"/>
      <c r="L27" s="2374" t="s">
        <v>424</v>
      </c>
      <c r="M27" s="2682"/>
      <c r="N27" s="846"/>
      <c r="O27" s="2136"/>
      <c r="P27" s="2136"/>
      <c r="AH27" s="2143">
        <v>0</v>
      </c>
    </row>
    <row s="46808" customFormat="1" customHeight="1" ht="18.75" hidden="1">
      <c r="A28" s="2292"/>
      <c r="B28" s="2292"/>
      <c r="C28" s="881" t="s">
        <v>1268</v>
      </c>
      <c r="D28" s="2974"/>
      <c r="E28" s="2975"/>
      <c r="F28" s="2976"/>
      <c r="G28" s="2939"/>
      <c r="H28" s="2012"/>
      <c r="I28" s="1163" t="s">
        <v>1269</v>
      </c>
      <c r="J28" s="1083"/>
      <c r="K28" s="2012"/>
      <c r="L28" s="726"/>
      <c r="M28" s="2682"/>
      <c r="N28" s="846"/>
      <c r="O28" s="2136"/>
      <c r="P28" s="2136"/>
      <c r="AH28" s="2143">
        <v>0</v>
      </c>
    </row>
    <row s="46808" customFormat="1" customHeight="1" ht="0.75" hidden="1">
      <c r="A29" s="2292"/>
      <c r="B29" s="2292"/>
      <c r="C29" s="881" t="s">
        <v>1274</v>
      </c>
      <c r="D29" s="2974"/>
      <c r="E29" s="2716"/>
      <c r="F29" s="2895"/>
      <c r="G29" s="912"/>
      <c r="H29" s="2012"/>
      <c r="I29" s="1163"/>
      <c r="J29" s="1083"/>
      <c r="K29" s="2012"/>
      <c r="L29" s="726"/>
      <c r="M29" s="2682"/>
      <c r="N29" s="846"/>
      <c r="O29" s="2136"/>
      <c r="P29" s="2136"/>
      <c r="AH29" s="2143">
        <v>0</v>
      </c>
    </row>
    <row s="46808" customFormat="1" customHeight="1" ht="45" hidden="1">
      <c r="A30" s="2292" t="s">
        <v>218</v>
      </c>
      <c r="B30" s="2292" t="s">
        <v>219</v>
      </c>
      <c r="C30" s="881"/>
      <c r="D30" s="2974"/>
      <c r="E30" s="2716"/>
      <c r="F30" s="2895"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939" t="str">
        <f>INDEX(PT_DIFFERENTIATION_NTAR,MATCH(B30,PT_DIFFERENTIATION_NTAR_ID,0))</f>
        <v/>
      </c>
      <c r="H30" s="2374"/>
      <c r="I30" s="2251"/>
      <c r="J30" s="2285"/>
      <c r="K30" s="2377"/>
      <c r="L30" s="2374" t="s">
        <v>424</v>
      </c>
      <c r="M30" s="2682"/>
      <c r="N30" s="846"/>
      <c r="O30" s="2136"/>
      <c r="P30" s="2136"/>
      <c r="AH30" s="2143">
        <v>0</v>
      </c>
    </row>
    <row s="46808" customFormat="1" customHeight="1" ht="18.75" hidden="1">
      <c r="A31" s="2292"/>
      <c r="B31" s="2292"/>
      <c r="C31" s="881" t="s">
        <v>1268</v>
      </c>
      <c r="D31" s="2974"/>
      <c r="E31" s="2716"/>
      <c r="F31" s="2895"/>
      <c r="G31" s="2939"/>
      <c r="H31" s="2012"/>
      <c r="I31" s="1163" t="s">
        <v>1269</v>
      </c>
      <c r="J31" s="1083"/>
      <c r="K31" s="2012"/>
      <c r="L31" s="726"/>
      <c r="M31" s="2682"/>
      <c r="N31" s="846"/>
      <c r="O31" s="2136"/>
      <c r="P31" s="2136"/>
      <c r="AH31" s="2143">
        <v>0</v>
      </c>
    </row>
    <row s="46808" customFormat="1" customHeight="1" ht="0.75" hidden="1">
      <c r="A32" s="2292"/>
      <c r="B32" s="2292"/>
      <c r="C32" s="881" t="s">
        <v>1274</v>
      </c>
      <c r="D32" s="2974"/>
      <c r="E32" s="2716"/>
      <c r="F32" s="2895"/>
      <c r="G32" s="912"/>
      <c r="H32" s="2012"/>
      <c r="I32" s="1163"/>
      <c r="J32" s="1083"/>
      <c r="K32" s="2012"/>
      <c r="L32" s="726"/>
      <c r="M32" s="2682"/>
      <c r="N32" s="846"/>
      <c r="O32" s="2136"/>
      <c r="P32" s="2136"/>
      <c r="AH32" s="2143">
        <v>0</v>
      </c>
    </row>
    <row s="46808" customFormat="1" customHeight="1" ht="45" hidden="1">
      <c r="A33" s="2292" t="s">
        <v>224</v>
      </c>
      <c r="B33" s="2292" t="s">
        <v>225</v>
      </c>
      <c r="C33" s="881"/>
      <c r="D33" s="2974"/>
      <c r="E33" s="2716"/>
      <c r="F33" s="2895"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939" t="str">
        <f>INDEX(PT_DIFFERENTIATION_NTAR,MATCH(B33,PT_DIFFERENTIATION_NTAR_ID,0))</f>
        <v/>
      </c>
      <c r="H33" s="2374"/>
      <c r="I33" s="2251"/>
      <c r="J33" s="2285"/>
      <c r="K33" s="2377"/>
      <c r="L33" s="2374" t="s">
        <v>424</v>
      </c>
      <c r="M33" s="2682"/>
      <c r="N33" s="846"/>
      <c r="O33" s="2136"/>
      <c r="P33" s="2136"/>
      <c r="AH33" s="2143">
        <v>0</v>
      </c>
    </row>
    <row s="46808" customFormat="1" customHeight="1" ht="18.75" hidden="1">
      <c r="A34" s="2292"/>
      <c r="B34" s="2292"/>
      <c r="C34" s="881" t="s">
        <v>1268</v>
      </c>
      <c r="D34" s="2974"/>
      <c r="E34" s="2716"/>
      <c r="F34" s="2895"/>
      <c r="G34" s="2939"/>
      <c r="H34" s="2012"/>
      <c r="I34" s="1163" t="s">
        <v>1269</v>
      </c>
      <c r="J34" s="1083"/>
      <c r="K34" s="2012"/>
      <c r="L34" s="726"/>
      <c r="M34" s="2682"/>
      <c r="N34" s="846"/>
      <c r="O34" s="2136"/>
      <c r="P34" s="2136"/>
      <c r="AH34" s="2143">
        <v>0</v>
      </c>
    </row>
    <row s="46808" customFormat="1" customHeight="1" ht="0.75" hidden="1">
      <c r="A35" s="2292"/>
      <c r="B35" s="2292"/>
      <c r="C35" s="881" t="s">
        <v>1274</v>
      </c>
      <c r="D35" s="2974"/>
      <c r="E35" s="2716"/>
      <c r="F35" s="2895"/>
      <c r="G35" s="912"/>
      <c r="H35" s="2012"/>
      <c r="I35" s="1163"/>
      <c r="J35" s="1083"/>
      <c r="K35" s="2012"/>
      <c r="L35" s="726"/>
      <c r="M35" s="2682"/>
      <c r="N35" s="846"/>
      <c r="O35" s="2136"/>
      <c r="P35" s="2136"/>
      <c r="AH35" s="2143">
        <v>0</v>
      </c>
    </row>
    <row s="46808" customFormat="1" customHeight="1" ht="18.75" hidden="1">
      <c r="A36" s="2292" t="s">
        <v>230</v>
      </c>
      <c r="B36" s="2292" t="s">
        <v>231</v>
      </c>
      <c r="C36" s="881"/>
      <c r="D36" s="2974"/>
      <c r="E36" s="2716"/>
      <c r="F36" s="2895" t="str">
        <f>INDEX(PT_DIFFERENTIATION_VTAR,MATCH(A36,PT_DIFFERENTIATION_VTAR_ID,0))</f>
        <v>Тарифы на услуги по передаче тепловой энергии</v>
      </c>
      <c r="G36" s="2939" t="str">
        <f>INDEX(PT_DIFFERENTIATION_NTAR,MATCH(B36,PT_DIFFERENTIATION_NTAR_ID,0))</f>
        <v/>
      </c>
      <c r="H36" s="2374"/>
      <c r="I36" s="2251"/>
      <c r="J36" s="2285"/>
      <c r="K36" s="2377"/>
      <c r="L36" s="2374" t="s">
        <v>424</v>
      </c>
      <c r="M36" s="2682"/>
      <c r="N36" s="846"/>
      <c r="O36" s="2136"/>
      <c r="P36" s="2136"/>
      <c r="AH36" s="2143">
        <v>0</v>
      </c>
    </row>
    <row s="46808" customFormat="1" customHeight="1" ht="18.75" hidden="1">
      <c r="A37" s="2292"/>
      <c r="B37" s="2292"/>
      <c r="C37" s="881" t="s">
        <v>1268</v>
      </c>
      <c r="D37" s="2974"/>
      <c r="E37" s="2716"/>
      <c r="F37" s="2895"/>
      <c r="G37" s="2939"/>
      <c r="H37" s="2012"/>
      <c r="I37" s="1163" t="s">
        <v>1269</v>
      </c>
      <c r="J37" s="1083"/>
      <c r="K37" s="2012"/>
      <c r="L37" s="726"/>
      <c r="M37" s="2682"/>
      <c r="N37" s="846"/>
      <c r="O37" s="2136"/>
      <c r="P37" s="2136"/>
      <c r="AH37" s="2143">
        <v>0</v>
      </c>
    </row>
    <row s="46808" customFormat="1" customHeight="1" ht="0.75" hidden="1">
      <c r="A38" s="2292"/>
      <c r="B38" s="2292"/>
      <c r="C38" s="881" t="s">
        <v>1274</v>
      </c>
      <c r="D38" s="2974"/>
      <c r="E38" s="2716"/>
      <c r="F38" s="2895"/>
      <c r="G38" s="912"/>
      <c r="H38" s="2012"/>
      <c r="I38" s="1163"/>
      <c r="J38" s="1083"/>
      <c r="K38" s="2012"/>
      <c r="L38" s="726"/>
      <c r="M38" s="2682"/>
      <c r="N38" s="846"/>
      <c r="O38" s="2136"/>
      <c r="P38" s="2136"/>
      <c r="AH38" s="2143">
        <v>0</v>
      </c>
    </row>
    <row s="46808" customFormat="1" customHeight="1" ht="18.75" hidden="1">
      <c r="A39" s="2292" t="s">
        <v>236</v>
      </c>
      <c r="B39" s="2292" t="s">
        <v>237</v>
      </c>
      <c r="C39" s="881"/>
      <c r="D39" s="2974"/>
      <c r="E39" s="2716"/>
      <c r="F39" s="2895" t="str">
        <f>INDEX(PT_DIFFERENTIATION_VTAR,MATCH(A39,PT_DIFFERENTIATION_VTAR_ID,0))</f>
        <v>Тарифы на услуги по передаче теплоносителя</v>
      </c>
      <c r="G39" s="2939" t="str">
        <f>INDEX(PT_DIFFERENTIATION_NTAR,MATCH(B39,PT_DIFFERENTIATION_NTAR_ID,0))</f>
        <v/>
      </c>
      <c r="H39" s="2374"/>
      <c r="I39" s="2251"/>
      <c r="J39" s="2285"/>
      <c r="K39" s="2377"/>
      <c r="L39" s="2374" t="s">
        <v>424</v>
      </c>
      <c r="M39" s="2682"/>
      <c r="N39" s="846"/>
      <c r="O39" s="2136"/>
      <c r="P39" s="2136"/>
      <c r="AH39" s="2143">
        <v>0</v>
      </c>
    </row>
    <row s="46808" customFormat="1" customHeight="1" ht="18.75" hidden="1">
      <c r="A40" s="2292"/>
      <c r="B40" s="2292"/>
      <c r="C40" s="881" t="s">
        <v>1268</v>
      </c>
      <c r="D40" s="2974"/>
      <c r="E40" s="2716"/>
      <c r="F40" s="2895"/>
      <c r="G40" s="2939"/>
      <c r="H40" s="2012"/>
      <c r="I40" s="1163" t="s">
        <v>1269</v>
      </c>
      <c r="J40" s="1083"/>
      <c r="K40" s="2012"/>
      <c r="L40" s="726"/>
      <c r="M40" s="2682"/>
      <c r="N40" s="846"/>
      <c r="O40" s="2136"/>
      <c r="P40" s="2136"/>
      <c r="AH40" s="2143">
        <v>0</v>
      </c>
    </row>
    <row s="46808" customFormat="1" customHeight="1" ht="0.75" hidden="1">
      <c r="A41" s="2292"/>
      <c r="B41" s="2292"/>
      <c r="C41" s="881" t="s">
        <v>1274</v>
      </c>
      <c r="D41" s="2974"/>
      <c r="E41" s="2716"/>
      <c r="F41" s="2895"/>
      <c r="G41" s="912"/>
      <c r="H41" s="2012"/>
      <c r="I41" s="1163"/>
      <c r="J41" s="1083"/>
      <c r="K41" s="2012"/>
      <c r="L41" s="726"/>
      <c r="M41" s="2682"/>
      <c r="N41" s="846"/>
      <c r="O41" s="2136"/>
      <c r="P41" s="2136"/>
      <c r="AH41" s="2143">
        <v>0</v>
      </c>
    </row>
    <row s="46808" customFormat="1" customHeight="1" ht="18.75" hidden="1">
      <c r="A42" s="2292" t="s">
        <v>242</v>
      </c>
      <c r="B42" s="2292" t="s">
        <v>243</v>
      </c>
      <c r="C42" s="881"/>
      <c r="D42" s="2974"/>
      <c r="E42" s="2716"/>
      <c r="F42" s="2895" t="str">
        <f>INDEX(PT_DIFFERENTIATION_VTAR,MATCH(A42,PT_DIFFERENTIATION_VTAR_ID,0))</f>
        <v>Плата за услуги по поддержанию резервной тепловой мощности при отсутствии потребления тепловой энергии</v>
      </c>
      <c r="G42" s="2939" t="str">
        <f>INDEX(PT_DIFFERENTIATION_NTAR,MATCH(B42,PT_DIFFERENTIATION_NTAR_ID,0))</f>
        <v/>
      </c>
      <c r="H42" s="2374"/>
      <c r="I42" s="2251"/>
      <c r="J42" s="2285"/>
      <c r="K42" s="2377"/>
      <c r="L42" s="2374" t="s">
        <v>424</v>
      </c>
      <c r="M42" s="2682"/>
      <c r="N42" s="846"/>
      <c r="O42" s="2136"/>
      <c r="P42" s="2136"/>
      <c r="AH42" s="2143">
        <v>0</v>
      </c>
    </row>
    <row s="46808" customFormat="1" customHeight="1" ht="18.75" hidden="1">
      <c r="A43" s="2292"/>
      <c r="B43" s="2292"/>
      <c r="C43" s="881" t="s">
        <v>1268</v>
      </c>
      <c r="D43" s="2974"/>
      <c r="E43" s="2716"/>
      <c r="F43" s="2895"/>
      <c r="G43" s="2939"/>
      <c r="H43" s="2012"/>
      <c r="I43" s="1163" t="s">
        <v>1269</v>
      </c>
      <c r="J43" s="1083"/>
      <c r="K43" s="2012"/>
      <c r="L43" s="726"/>
      <c r="M43" s="2682"/>
      <c r="N43" s="846"/>
      <c r="O43" s="2136"/>
      <c r="P43" s="2136"/>
      <c r="AH43" s="2143">
        <v>0</v>
      </c>
    </row>
    <row s="46808" customFormat="1" customHeight="1" ht="0.75" hidden="1">
      <c r="A44" s="2292"/>
      <c r="B44" s="2292"/>
      <c r="C44" s="881" t="s">
        <v>1274</v>
      </c>
      <c r="D44" s="2974"/>
      <c r="E44" s="2716"/>
      <c r="F44" s="2895"/>
      <c r="G44" s="912"/>
      <c r="H44" s="2012"/>
      <c r="I44" s="1163"/>
      <c r="J44" s="1083"/>
      <c r="K44" s="2012"/>
      <c r="L44" s="726"/>
      <c r="M44" s="2682"/>
      <c r="N44" s="846"/>
      <c r="O44" s="2136"/>
      <c r="P44" s="2136"/>
      <c r="AH44" s="2143">
        <v>0</v>
      </c>
    </row>
    <row s="46808" customFormat="1" customHeight="1" ht="18.75" hidden="1">
      <c r="A45" s="2292" t="s">
        <v>248</v>
      </c>
      <c r="B45" s="2292" t="s">
        <v>249</v>
      </c>
      <c r="C45" s="881"/>
      <c r="D45" s="2974"/>
      <c r="E45" s="2716"/>
      <c r="F45" s="2895" t="str">
        <f>INDEX(PT_DIFFERENTIATION_VTAR,MATCH(A45,PT_DIFFERENTIATION_VTAR_ID,0))</f>
        <v>Плата за подключение (технологическое присоединение) к системе теплоснабжения</v>
      </c>
      <c r="G45" s="2939" t="str">
        <f>INDEX(PT_DIFFERENTIATION_NTAR,MATCH(B45,PT_DIFFERENTIATION_NTAR_ID,0))</f>
        <v/>
      </c>
      <c r="H45" s="2374"/>
      <c r="I45" s="2251"/>
      <c r="J45" s="2285"/>
      <c r="K45" s="2377"/>
      <c r="L45" s="2374" t="s">
        <v>424</v>
      </c>
      <c r="M45" s="2682"/>
      <c r="N45" s="846"/>
      <c r="O45" s="2136"/>
      <c r="P45" s="2136"/>
      <c r="AH45" s="2143">
        <v>0</v>
      </c>
    </row>
    <row s="46808" customFormat="1" customHeight="1" ht="18.75" hidden="1">
      <c r="A46" s="2292"/>
      <c r="B46" s="2292"/>
      <c r="C46" s="881" t="s">
        <v>1268</v>
      </c>
      <c r="D46" s="2974"/>
      <c r="E46" s="2716"/>
      <c r="F46" s="2895"/>
      <c r="G46" s="2939"/>
      <c r="H46" s="2012"/>
      <c r="I46" s="1163" t="s">
        <v>1269</v>
      </c>
      <c r="J46" s="1083"/>
      <c r="K46" s="2012"/>
      <c r="L46" s="726"/>
      <c r="M46" s="2682"/>
      <c r="N46" s="846"/>
      <c r="O46" s="2136"/>
      <c r="P46" s="2136"/>
      <c r="AH46" s="2143">
        <v>0</v>
      </c>
    </row>
    <row s="46808" customFormat="1" customHeight="1" ht="0.75" hidden="1">
      <c r="A47" s="2292"/>
      <c r="B47" s="2292"/>
      <c r="C47" s="881" t="s">
        <v>1274</v>
      </c>
      <c r="D47" s="2974"/>
      <c r="E47" s="2716"/>
      <c r="F47" s="2895"/>
      <c r="G47" s="912"/>
      <c r="H47" s="2012"/>
      <c r="I47" s="1163"/>
      <c r="J47" s="1083"/>
      <c r="K47" s="2012"/>
      <c r="L47" s="726"/>
      <c r="M47" s="2682"/>
      <c r="N47" s="846"/>
      <c r="O47" s="2136"/>
      <c r="P47" s="2136"/>
      <c r="AH47" s="2143">
        <v>0</v>
      </c>
    </row>
    <row s="46808" customFormat="1" customHeight="1" ht="18.75" hidden="1">
      <c r="A48" s="2292" t="s">
        <v>254</v>
      </c>
      <c r="B48" s="2292" t="s">
        <v>255</v>
      </c>
      <c r="C48" s="881"/>
      <c r="D48" s="2974"/>
      <c r="E48" s="2716"/>
      <c r="F48" s="2895" t="str">
        <f>INDEX(PT_DIFFERENTIATION_VTAR,MATCH(A48,PT_DIFFERENTIATION_VTAR_ID,0))</f>
        <v>Плата за подключение (технологическое присоединение) к системе теплоснабжения (индивидуальная)</v>
      </c>
      <c r="G48" s="2939" t="str">
        <f>INDEX(PT_DIFFERENTIATION_NTAR,MATCH(B48,PT_DIFFERENTIATION_NTAR_ID,0))</f>
        <v/>
      </c>
      <c r="H48" s="2501"/>
      <c r="I48" s="2251"/>
      <c r="J48" s="2285"/>
      <c r="K48" s="2377"/>
      <c r="L48" s="2501" t="s">
        <v>424</v>
      </c>
      <c r="M48" s="2682"/>
      <c r="N48" s="846"/>
      <c r="O48" s="2136"/>
      <c r="P48" s="2136"/>
      <c r="AH48" s="2143">
        <v>0</v>
      </c>
    </row>
    <row s="46808" customFormat="1" customHeight="1" ht="18.75" hidden="1">
      <c r="A49" s="2292"/>
      <c r="B49" s="2292"/>
      <c r="C49" s="881" t="s">
        <v>1268</v>
      </c>
      <c r="D49" s="2974"/>
      <c r="E49" s="2716"/>
      <c r="F49" s="2895"/>
      <c r="G49" s="2939"/>
      <c r="H49" s="2012"/>
      <c r="I49" s="1163" t="s">
        <v>1269</v>
      </c>
      <c r="J49" s="1083"/>
      <c r="K49" s="2012"/>
      <c r="L49" s="726"/>
      <c r="M49" s="2682"/>
      <c r="N49" s="846"/>
      <c r="O49" s="2136"/>
      <c r="P49" s="2136"/>
      <c r="AH49" s="2143">
        <v>0</v>
      </c>
    </row>
    <row s="46808" customFormat="1" customHeight="1" ht="0.75" hidden="1">
      <c r="A50" s="2292"/>
      <c r="B50" s="2292"/>
      <c r="C50" s="881" t="s">
        <v>1274</v>
      </c>
      <c r="D50" s="2974"/>
      <c r="E50" s="2716"/>
      <c r="F50" s="2895"/>
      <c r="G50" s="912"/>
      <c r="H50" s="2012"/>
      <c r="I50" s="1163"/>
      <c r="J50" s="1083"/>
      <c r="K50" s="2012"/>
      <c r="L50" s="726"/>
      <c r="M50" s="2682"/>
      <c r="N50" s="846"/>
      <c r="O50" s="2136"/>
      <c r="P50" s="2136"/>
      <c r="AH50" s="2143">
        <v>0</v>
      </c>
    </row>
    <row s="46808" customFormat="1" customHeight="1" ht="18.75" hidden="1">
      <c r="A51" s="2292" t="s">
        <v>274</v>
      </c>
      <c r="B51" s="2292" t="s">
        <v>275</v>
      </c>
      <c r="C51" s="881"/>
      <c r="D51" s="2974"/>
      <c r="E51" s="2716"/>
      <c r="F51" s="2895" t="str">
        <f>INDEX(PT_DIFFERENTIATION_VTAR,MATCH(A51,PT_DIFFERENTIATION_VTAR_ID,0))</f>
        <v>Тариф на питьевую воду (питьевое водоснабжение)</v>
      </c>
      <c r="G51" s="2939" t="str">
        <f>INDEX(PT_DIFFERENTIATION_NTAR,MATCH(B51,PT_DIFFERENTIATION_NTAR_ID,0))</f>
        <v/>
      </c>
      <c r="H51" s="2374"/>
      <c r="I51" s="2251"/>
      <c r="J51" s="2285"/>
      <c r="K51" s="2377"/>
      <c r="L51" s="2374" t="s">
        <v>424</v>
      </c>
      <c r="M51" s="2682"/>
      <c r="N51" s="846"/>
      <c r="O51" s="2136"/>
      <c r="P51" s="2136"/>
      <c r="AH51" s="2143">
        <v>0</v>
      </c>
    </row>
    <row s="46808" customFormat="1" customHeight="1" ht="18.75" hidden="1">
      <c r="A52" s="2292"/>
      <c r="B52" s="2292"/>
      <c r="C52" s="881" t="s">
        <v>1268</v>
      </c>
      <c r="D52" s="2974"/>
      <c r="E52" s="2716"/>
      <c r="F52" s="2895"/>
      <c r="G52" s="2939"/>
      <c r="H52" s="2012"/>
      <c r="I52" s="1163" t="s">
        <v>1269</v>
      </c>
      <c r="J52" s="1083"/>
      <c r="K52" s="2012"/>
      <c r="L52" s="726"/>
      <c r="M52" s="2682"/>
      <c r="N52" s="846"/>
      <c r="O52" s="2136"/>
      <c r="P52" s="2136"/>
      <c r="AH52" s="2143">
        <v>0</v>
      </c>
    </row>
    <row s="46808" customFormat="1" customHeight="1" ht="0.75" hidden="1">
      <c r="A53" s="2292"/>
      <c r="B53" s="2292"/>
      <c r="C53" s="881" t="s">
        <v>1274</v>
      </c>
      <c r="D53" s="2974"/>
      <c r="E53" s="2716"/>
      <c r="F53" s="2895"/>
      <c r="G53" s="912"/>
      <c r="H53" s="2012"/>
      <c r="I53" s="1163"/>
      <c r="J53" s="1083"/>
      <c r="K53" s="2012"/>
      <c r="L53" s="726"/>
      <c r="M53" s="2682"/>
      <c r="N53" s="846"/>
      <c r="O53" s="2136"/>
      <c r="P53" s="2136"/>
      <c r="AH53" s="2143">
        <v>0</v>
      </c>
    </row>
    <row s="46808" customFormat="1" customHeight="1" ht="18.75" hidden="1">
      <c r="A54" s="2292" t="s">
        <v>279</v>
      </c>
      <c r="B54" s="2292" t="s">
        <v>280</v>
      </c>
      <c r="C54" s="881"/>
      <c r="D54" s="2974"/>
      <c r="E54" s="2716"/>
      <c r="F54" s="2895" t="str">
        <f>INDEX(PT_DIFFERENTIATION_VTAR,MATCH(A54,PT_DIFFERENTIATION_VTAR_ID,0))</f>
        <v>Тариф на техническую воду</v>
      </c>
      <c r="G54" s="2939" t="str">
        <f>INDEX(PT_DIFFERENTIATION_NTAR,MATCH(B54,PT_DIFFERENTIATION_NTAR_ID,0))</f>
        <v/>
      </c>
      <c r="H54" s="2374"/>
      <c r="I54" s="2251"/>
      <c r="J54" s="2285"/>
      <c r="K54" s="2377"/>
      <c r="L54" s="2374" t="s">
        <v>424</v>
      </c>
      <c r="M54" s="2682"/>
      <c r="N54" s="846"/>
      <c r="O54" s="2136"/>
      <c r="P54" s="2136"/>
      <c r="AH54" s="2143">
        <v>0</v>
      </c>
    </row>
    <row s="46808" customFormat="1" customHeight="1" ht="18.75" hidden="1">
      <c r="A55" s="2292"/>
      <c r="B55" s="2292"/>
      <c r="C55" s="881" t="s">
        <v>1268</v>
      </c>
      <c r="D55" s="2974"/>
      <c r="E55" s="2716"/>
      <c r="F55" s="2895"/>
      <c r="G55" s="2939"/>
      <c r="H55" s="2012"/>
      <c r="I55" s="1163" t="s">
        <v>1269</v>
      </c>
      <c r="J55" s="1083"/>
      <c r="K55" s="2012"/>
      <c r="L55" s="726"/>
      <c r="M55" s="2682"/>
      <c r="N55" s="846"/>
      <c r="O55" s="2136"/>
      <c r="P55" s="2136"/>
      <c r="AH55" s="2143">
        <v>0</v>
      </c>
    </row>
    <row s="46808" customFormat="1" customHeight="1" ht="0.75" hidden="1">
      <c r="A56" s="2292"/>
      <c r="B56" s="2292"/>
      <c r="C56" s="881" t="s">
        <v>1274</v>
      </c>
      <c r="D56" s="2974"/>
      <c r="E56" s="2716"/>
      <c r="F56" s="2895"/>
      <c r="G56" s="912"/>
      <c r="H56" s="2012"/>
      <c r="I56" s="1163"/>
      <c r="J56" s="1083"/>
      <c r="K56" s="2012"/>
      <c r="L56" s="726"/>
      <c r="M56" s="2682"/>
      <c r="N56" s="846"/>
      <c r="O56" s="2136"/>
      <c r="P56" s="2136"/>
      <c r="AH56" s="2143">
        <v>0</v>
      </c>
    </row>
    <row s="46808" customFormat="1" customHeight="1" ht="18.75" hidden="1">
      <c r="A57" s="2292" t="s">
        <v>284</v>
      </c>
      <c r="B57" s="2292" t="s">
        <v>285</v>
      </c>
      <c r="C57" s="881"/>
      <c r="D57" s="2974"/>
      <c r="E57" s="2716"/>
      <c r="F57" s="2895" t="str">
        <f>INDEX(PT_DIFFERENTIATION_VTAR,MATCH(A57,PT_DIFFERENTIATION_VTAR_ID,0))</f>
        <v>Тариф на транспортировку воды</v>
      </c>
      <c r="G57" s="2939" t="str">
        <f>INDEX(PT_DIFFERENTIATION_NTAR,MATCH(B57,PT_DIFFERENTIATION_NTAR_ID,0))</f>
        <v/>
      </c>
      <c r="H57" s="2374"/>
      <c r="I57" s="2251"/>
      <c r="J57" s="2285"/>
      <c r="K57" s="2377"/>
      <c r="L57" s="2374" t="s">
        <v>424</v>
      </c>
      <c r="M57" s="2682"/>
      <c r="N57" s="846"/>
      <c r="O57" s="2136"/>
      <c r="P57" s="2136"/>
      <c r="AH57" s="2143">
        <v>0</v>
      </c>
    </row>
    <row s="46808" customFormat="1" customHeight="1" ht="18.75" hidden="1">
      <c r="A58" s="2292"/>
      <c r="B58" s="2292"/>
      <c r="C58" s="881" t="s">
        <v>1268</v>
      </c>
      <c r="D58" s="2974"/>
      <c r="E58" s="2716"/>
      <c r="F58" s="2895"/>
      <c r="G58" s="2939"/>
      <c r="H58" s="2012"/>
      <c r="I58" s="1163" t="s">
        <v>1269</v>
      </c>
      <c r="J58" s="1083"/>
      <c r="K58" s="2012"/>
      <c r="L58" s="726"/>
      <c r="M58" s="2682"/>
      <c r="N58" s="846"/>
      <c r="O58" s="2136"/>
      <c r="P58" s="2136"/>
      <c r="AH58" s="2143">
        <v>0</v>
      </c>
    </row>
    <row s="46808" customFormat="1" customHeight="1" ht="0.75" hidden="1">
      <c r="A59" s="2292"/>
      <c r="B59" s="2292"/>
      <c r="C59" s="881" t="s">
        <v>1274</v>
      </c>
      <c r="D59" s="2974"/>
      <c r="E59" s="2716"/>
      <c r="F59" s="2895"/>
      <c r="G59" s="912"/>
      <c r="H59" s="2012"/>
      <c r="I59" s="1163"/>
      <c r="J59" s="1083"/>
      <c r="K59" s="2012"/>
      <c r="L59" s="726"/>
      <c r="M59" s="2682"/>
      <c r="N59" s="846"/>
      <c r="O59" s="2136"/>
      <c r="P59" s="2136"/>
      <c r="AH59" s="2143">
        <v>0</v>
      </c>
    </row>
    <row s="46808" customFormat="1" customHeight="1" ht="18.75" hidden="1">
      <c r="A60" s="2292" t="s">
        <v>289</v>
      </c>
      <c r="B60" s="2292" t="s">
        <v>290</v>
      </c>
      <c r="C60" s="881"/>
      <c r="D60" s="2974"/>
      <c r="E60" s="2716"/>
      <c r="F60" s="2895" t="str">
        <f>INDEX(PT_DIFFERENTIATION_VTAR,MATCH(A60,PT_DIFFERENTIATION_VTAR_ID,0))</f>
        <v>Тариф на подвоз воды</v>
      </c>
      <c r="G60" s="2939" t="str">
        <f>INDEX(PT_DIFFERENTIATION_NTAR,MATCH(B60,PT_DIFFERENTIATION_NTAR_ID,0))</f>
        <v/>
      </c>
      <c r="H60" s="2374"/>
      <c r="I60" s="2251"/>
      <c r="J60" s="2285"/>
      <c r="K60" s="2377"/>
      <c r="L60" s="2374" t="s">
        <v>424</v>
      </c>
      <c r="M60" s="2682"/>
      <c r="N60" s="846"/>
      <c r="O60" s="2136"/>
      <c r="P60" s="2136"/>
      <c r="AH60" s="2143">
        <v>0</v>
      </c>
    </row>
    <row s="46808" customFormat="1" customHeight="1" ht="18.75" hidden="1">
      <c r="A61" s="2292"/>
      <c r="B61" s="2292"/>
      <c r="C61" s="881" t="s">
        <v>1268</v>
      </c>
      <c r="D61" s="2974"/>
      <c r="E61" s="2716"/>
      <c r="F61" s="2895"/>
      <c r="G61" s="2939"/>
      <c r="H61" s="2012"/>
      <c r="I61" s="1163" t="s">
        <v>1269</v>
      </c>
      <c r="J61" s="1083"/>
      <c r="K61" s="2012"/>
      <c r="L61" s="726"/>
      <c r="M61" s="2682"/>
      <c r="N61" s="846"/>
      <c r="O61" s="2136"/>
      <c r="P61" s="2136"/>
      <c r="AH61" s="2143">
        <v>0</v>
      </c>
    </row>
    <row s="46808" customFormat="1" customHeight="1" ht="0.75" hidden="1">
      <c r="A62" s="2292"/>
      <c r="B62" s="2292"/>
      <c r="C62" s="881" t="s">
        <v>1274</v>
      </c>
      <c r="D62" s="2974"/>
      <c r="E62" s="2716"/>
      <c r="F62" s="2895"/>
      <c r="G62" s="912"/>
      <c r="H62" s="2012"/>
      <c r="I62" s="1163"/>
      <c r="J62" s="1083"/>
      <c r="K62" s="2012"/>
      <c r="L62" s="726"/>
      <c r="M62" s="2682"/>
      <c r="N62" s="846"/>
      <c r="O62" s="2136"/>
      <c r="P62" s="2136"/>
      <c r="AH62" s="2143">
        <v>0</v>
      </c>
    </row>
    <row s="46808" customFormat="1" customHeight="1" ht="18.75" hidden="1">
      <c r="A63" s="2292" t="s">
        <v>294</v>
      </c>
      <c r="B63" s="2292" t="s">
        <v>295</v>
      </c>
      <c r="C63" s="881"/>
      <c r="D63" s="2974"/>
      <c r="E63" s="2716"/>
      <c r="F63" s="2895" t="str">
        <f>INDEX(PT_DIFFERENTIATION_VTAR,MATCH(A63,PT_DIFFERENTIATION_VTAR_ID,0))</f>
        <v>Тариф на подключение (технологическое присоединение) к централизованной системе холодного водоснабжения</v>
      </c>
      <c r="G63" s="2939" t="str">
        <f>INDEX(PT_DIFFERENTIATION_NTAR,MATCH(B63,PT_DIFFERENTIATION_NTAR_ID,0))</f>
        <v/>
      </c>
      <c r="H63" s="2374"/>
      <c r="I63" s="2251"/>
      <c r="J63" s="2285"/>
      <c r="K63" s="2377"/>
      <c r="L63" s="2374" t="s">
        <v>424</v>
      </c>
      <c r="M63" s="2682"/>
      <c r="N63" s="846"/>
      <c r="O63" s="2136"/>
      <c r="P63" s="2136"/>
      <c r="AH63" s="2143">
        <v>0</v>
      </c>
    </row>
    <row s="46808" customFormat="1" customHeight="1" ht="18.75" hidden="1">
      <c r="A64" s="2292"/>
      <c r="B64" s="2292"/>
      <c r="C64" s="881" t="s">
        <v>1268</v>
      </c>
      <c r="D64" s="2974"/>
      <c r="E64" s="2716"/>
      <c r="F64" s="2895"/>
      <c r="G64" s="2939"/>
      <c r="H64" s="2012"/>
      <c r="I64" s="1163" t="s">
        <v>1269</v>
      </c>
      <c r="J64" s="1083"/>
      <c r="K64" s="2012"/>
      <c r="L64" s="726"/>
      <c r="M64" s="2682"/>
      <c r="N64" s="846"/>
      <c r="O64" s="2136"/>
      <c r="P64" s="2136"/>
      <c r="AH64" s="2143">
        <v>0</v>
      </c>
    </row>
    <row s="46808" customFormat="1" customHeight="1" ht="0.75" hidden="1">
      <c r="A65" s="2292"/>
      <c r="B65" s="2292"/>
      <c r="C65" s="881" t="s">
        <v>1274</v>
      </c>
      <c r="D65" s="2974"/>
      <c r="E65" s="2716"/>
      <c r="F65" s="2895"/>
      <c r="G65" s="912"/>
      <c r="H65" s="2012"/>
      <c r="I65" s="1163"/>
      <c r="J65" s="1083"/>
      <c r="K65" s="2012"/>
      <c r="L65" s="726"/>
      <c r="M65" s="2682"/>
      <c r="N65" s="846"/>
      <c r="O65" s="2136"/>
      <c r="P65" s="2136"/>
      <c r="AH65" s="2143">
        <v>0</v>
      </c>
    </row>
    <row s="46808" customFormat="1" customHeight="1" ht="18.75" hidden="1">
      <c r="A66" s="2292" t="s">
        <v>299</v>
      </c>
      <c r="B66" s="2292" t="s">
        <v>300</v>
      </c>
      <c r="C66" s="881"/>
      <c r="D66" s="2974"/>
      <c r="E66" s="2716"/>
      <c r="F66" s="2895" t="str">
        <f>INDEX(PT_DIFFERENTIATION_VTAR,MATCH(A66,PT_DIFFERENTIATION_VTAR_ID,0))</f>
        <v>Тариф на горячую воду (горячее водоснабжение)</v>
      </c>
      <c r="G66" s="2939" t="str">
        <f>INDEX(PT_DIFFERENTIATION_NTAR,MATCH(B66,PT_DIFFERENTIATION_NTAR_ID,0))</f>
        <v/>
      </c>
      <c r="H66" s="2374"/>
      <c r="I66" s="2251"/>
      <c r="J66" s="2285"/>
      <c r="K66" s="2377"/>
      <c r="L66" s="2374" t="s">
        <v>424</v>
      </c>
      <c r="M66" s="2682"/>
      <c r="N66" s="846"/>
      <c r="O66" s="2136"/>
      <c r="P66" s="2136"/>
      <c r="AH66" s="2143">
        <v>0</v>
      </c>
    </row>
    <row s="46808" customFormat="1" customHeight="1" ht="18.75" hidden="1">
      <c r="A67" s="2292"/>
      <c r="B67" s="2292"/>
      <c r="C67" s="881" t="s">
        <v>1268</v>
      </c>
      <c r="D67" s="2974"/>
      <c r="E67" s="2716"/>
      <c r="F67" s="2895"/>
      <c r="G67" s="2939"/>
      <c r="H67" s="2012"/>
      <c r="I67" s="1163" t="s">
        <v>1269</v>
      </c>
      <c r="J67" s="1083"/>
      <c r="K67" s="2012"/>
      <c r="L67" s="726"/>
      <c r="M67" s="2682"/>
      <c r="N67" s="846"/>
      <c r="O67" s="2136"/>
      <c r="P67" s="2136"/>
      <c r="AH67" s="2143">
        <v>0</v>
      </c>
    </row>
    <row s="46808" customFormat="1" customHeight="1" ht="0.75" hidden="1">
      <c r="A68" s="2292"/>
      <c r="B68" s="2292"/>
      <c r="C68" s="881" t="s">
        <v>1274</v>
      </c>
      <c r="D68" s="2974"/>
      <c r="E68" s="2716"/>
      <c r="F68" s="2895"/>
      <c r="G68" s="912"/>
      <c r="H68" s="2012"/>
      <c r="I68" s="1163"/>
      <c r="J68" s="1083"/>
      <c r="K68" s="2012"/>
      <c r="L68" s="726"/>
      <c r="M68" s="2682"/>
      <c r="N68" s="846"/>
      <c r="O68" s="2136"/>
      <c r="P68" s="2136"/>
      <c r="AH68" s="2143">
        <v>0</v>
      </c>
    </row>
    <row s="46808" customFormat="1" customHeight="1" ht="18.75" hidden="1">
      <c r="A69" s="2292" t="s">
        <v>304</v>
      </c>
      <c r="B69" s="2292" t="s">
        <v>305</v>
      </c>
      <c r="C69" s="881"/>
      <c r="D69" s="2974"/>
      <c r="E69" s="2716"/>
      <c r="F69" s="2895" t="str">
        <f>INDEX(PT_DIFFERENTIATION_VTAR,MATCH(A69,PT_DIFFERENTIATION_VTAR_ID,0))</f>
        <v>Тариф на транспортировку горячей воды</v>
      </c>
      <c r="G69" s="2939" t="str">
        <f>INDEX(PT_DIFFERENTIATION_NTAR,MATCH(B69,PT_DIFFERENTIATION_NTAR_ID,0))</f>
        <v/>
      </c>
      <c r="H69" s="2374"/>
      <c r="I69" s="2251"/>
      <c r="J69" s="2285"/>
      <c r="K69" s="2377"/>
      <c r="L69" s="2374" t="s">
        <v>424</v>
      </c>
      <c r="M69" s="2682"/>
      <c r="N69" s="846"/>
      <c r="O69" s="2136"/>
      <c r="P69" s="2136"/>
      <c r="AH69" s="2143">
        <v>0</v>
      </c>
    </row>
    <row s="46808" customFormat="1" customHeight="1" ht="18.75" hidden="1">
      <c r="A70" s="2292"/>
      <c r="B70" s="2292"/>
      <c r="C70" s="881" t="s">
        <v>1268</v>
      </c>
      <c r="D70" s="2974"/>
      <c r="E70" s="2716"/>
      <c r="F70" s="2895"/>
      <c r="G70" s="2939"/>
      <c r="H70" s="2012"/>
      <c r="I70" s="1163" t="s">
        <v>1269</v>
      </c>
      <c r="J70" s="1083"/>
      <c r="K70" s="2012"/>
      <c r="L70" s="726"/>
      <c r="M70" s="2682"/>
      <c r="N70" s="846"/>
      <c r="O70" s="2136"/>
      <c r="P70" s="2136"/>
      <c r="AH70" s="2143">
        <v>0</v>
      </c>
    </row>
    <row s="46808" customFormat="1" customHeight="1" ht="0.75" hidden="1">
      <c r="A71" s="2292"/>
      <c r="B71" s="2292"/>
      <c r="C71" s="881" t="s">
        <v>1274</v>
      </c>
      <c r="D71" s="2974"/>
      <c r="E71" s="2716"/>
      <c r="F71" s="2895"/>
      <c r="G71" s="912"/>
      <c r="H71" s="2012"/>
      <c r="I71" s="1163"/>
      <c r="J71" s="1083"/>
      <c r="K71" s="2012"/>
      <c r="L71" s="726"/>
      <c r="M71" s="2682"/>
      <c r="N71" s="846"/>
      <c r="O71" s="2136"/>
      <c r="P71" s="2136"/>
      <c r="AH71" s="2143">
        <v>0</v>
      </c>
    </row>
    <row s="46808" customFormat="1" customHeight="1" ht="18.75" hidden="1">
      <c r="A72" s="2292" t="s">
        <v>309</v>
      </c>
      <c r="B72" s="2292" t="s">
        <v>310</v>
      </c>
      <c r="C72" s="881"/>
      <c r="D72" s="2974"/>
      <c r="E72" s="2716"/>
      <c r="F72" s="2895" t="str">
        <f>INDEX(PT_DIFFERENTIATION_VTAR,MATCH(A72,PT_DIFFERENTIATION_VTAR_ID,0))</f>
        <v>Тариф на подключение (технологическое присоединение) к централизованной системе горячего водоснабжения</v>
      </c>
      <c r="G72" s="2939" t="str">
        <f>INDEX(PT_DIFFERENTIATION_NTAR,MATCH(B72,PT_DIFFERENTIATION_NTAR_ID,0))</f>
        <v/>
      </c>
      <c r="H72" s="2374"/>
      <c r="I72" s="2251"/>
      <c r="J72" s="2285"/>
      <c r="K72" s="2377"/>
      <c r="L72" s="2374" t="s">
        <v>424</v>
      </c>
      <c r="M72" s="2682"/>
      <c r="N72" s="846"/>
      <c r="O72" s="2136"/>
      <c r="P72" s="2136"/>
      <c r="AH72" s="2143">
        <v>0</v>
      </c>
    </row>
    <row s="46808" customFormat="1" customHeight="1" ht="18.75" hidden="1">
      <c r="A73" s="2292"/>
      <c r="B73" s="2292"/>
      <c r="C73" s="881" t="s">
        <v>1268</v>
      </c>
      <c r="D73" s="2974"/>
      <c r="E73" s="2716"/>
      <c r="F73" s="2895"/>
      <c r="G73" s="2939"/>
      <c r="H73" s="2012"/>
      <c r="I73" s="1163" t="s">
        <v>1269</v>
      </c>
      <c r="J73" s="1083"/>
      <c r="K73" s="2012"/>
      <c r="L73" s="726"/>
      <c r="M73" s="2682"/>
      <c r="N73" s="846"/>
      <c r="O73" s="2136"/>
      <c r="P73" s="2136"/>
      <c r="AH73" s="2143">
        <v>0</v>
      </c>
    </row>
    <row s="46808" customFormat="1" customHeight="1" ht="0.75" hidden="1">
      <c r="A74" s="2292"/>
      <c r="B74" s="2292"/>
      <c r="C74" s="881" t="s">
        <v>1274</v>
      </c>
      <c r="D74" s="2974"/>
      <c r="E74" s="2716"/>
      <c r="F74" s="2895"/>
      <c r="G74" s="912"/>
      <c r="H74" s="2012"/>
      <c r="I74" s="1163"/>
      <c r="J74" s="1083"/>
      <c r="K74" s="2012"/>
      <c r="L74" s="726"/>
      <c r="M74" s="2682"/>
      <c r="N74" s="846"/>
      <c r="O74" s="2136"/>
      <c r="P74" s="2136"/>
      <c r="AH74" s="2143">
        <v>0</v>
      </c>
    </row>
    <row s="46808" customFormat="1" customHeight="1" ht="18.75" hidden="1">
      <c r="A75" s="2292" t="s">
        <v>317</v>
      </c>
      <c r="B75" s="2292" t="s">
        <v>318</v>
      </c>
      <c r="C75" s="881"/>
      <c r="D75" s="2974"/>
      <c r="E75" s="2716"/>
      <c r="F75" s="2895" t="str">
        <f>INDEX(PT_DIFFERENTIATION_VTAR,MATCH(A75,PT_DIFFERENTIATION_VTAR_ID,0))</f>
        <v>Тариф на водоотведение</v>
      </c>
      <c r="G75" s="2939" t="str">
        <f>INDEX(PT_DIFFERENTIATION_NTAR,MATCH(B75,PT_DIFFERENTIATION_NTAR_ID,0))</f>
        <v>Тариф на водоотведение для потребителей КГУП "Примтеплоэнерго"</v>
      </c>
      <c r="H75" s="2374"/>
      <c r="I75" s="2251"/>
      <c r="J75" s="2285"/>
      <c r="K75" s="2377"/>
      <c r="L75" s="2374" t="s">
        <v>424</v>
      </c>
      <c r="M75" s="2682"/>
      <c r="N75" s="846"/>
      <c r="O75" s="2136"/>
      <c r="P75" s="2136"/>
      <c r="AH75" s="2143">
        <v>0</v>
      </c>
    </row>
    <row s="46808" customFormat="1" customHeight="1" ht="18.75" hidden="1">
      <c r="A76" s="2292"/>
      <c r="B76" s="2292"/>
      <c r="C76" s="881" t="s">
        <v>1268</v>
      </c>
      <c r="D76" s="2974"/>
      <c r="E76" s="2716"/>
      <c r="F76" s="2895"/>
      <c r="G76" s="2939"/>
      <c r="H76" s="2012"/>
      <c r="I76" s="1163" t="s">
        <v>1269</v>
      </c>
      <c r="J76" s="1083"/>
      <c r="K76" s="2012"/>
      <c r="L76" s="726"/>
      <c r="M76" s="2682"/>
      <c r="N76" s="846"/>
      <c r="O76" s="2136"/>
      <c r="P76" s="2136"/>
      <c r="AH76" s="2143">
        <v>0</v>
      </c>
    </row>
    <row s="46808" customFormat="1" customHeight="1" ht="0.75" hidden="1">
      <c r="A77" s="2292"/>
      <c r="B77" s="2292"/>
      <c r="C77" s="881" t="s">
        <v>1274</v>
      </c>
      <c r="D77" s="2974"/>
      <c r="E77" s="2716"/>
      <c r="F77" s="2895"/>
      <c r="G77" s="912"/>
      <c r="H77" s="2012"/>
      <c r="I77" s="1163"/>
      <c r="J77" s="1083"/>
      <c r="K77" s="2012"/>
      <c r="L77" s="726"/>
      <c r="M77" s="2682"/>
      <c r="N77" s="846"/>
      <c r="O77" s="2136"/>
      <c r="P77" s="2136"/>
      <c r="AH77" s="2143">
        <v>0</v>
      </c>
    </row>
    <row s="46808" customFormat="1" customHeight="1" ht="18.75" hidden="1">
      <c r="A78" s="2292" t="s">
        <v>388</v>
      </c>
      <c r="B78" s="2292" t="s">
        <v>389</v>
      </c>
      <c r="C78" s="881"/>
      <c r="D78" s="2974"/>
      <c r="E78" s="2716"/>
      <c r="F78" s="2895" t="str">
        <f>INDEX(PT_DIFFERENTIATION_VTAR,MATCH(A78,PT_DIFFERENTIATION_VTAR_ID,0))</f>
        <v>Тариф на транспортировку сточных вод</v>
      </c>
      <c r="G78" s="2939" t="str">
        <f>INDEX(PT_DIFFERENTIATION_NTAR,MATCH(B78,PT_DIFFERENTIATION_NTAR_ID,0))</f>
        <v/>
      </c>
      <c r="H78" s="2374"/>
      <c r="I78" s="2251"/>
      <c r="J78" s="2285"/>
      <c r="K78" s="2377"/>
      <c r="L78" s="2374" t="s">
        <v>424</v>
      </c>
      <c r="M78" s="2682"/>
      <c r="N78" s="846"/>
      <c r="O78" s="2136"/>
      <c r="P78" s="2136"/>
      <c r="AH78" s="2143">
        <v>0</v>
      </c>
    </row>
    <row s="46808" customFormat="1" customHeight="1" ht="18.75" hidden="1">
      <c r="A79" s="2292"/>
      <c r="B79" s="2292"/>
      <c r="C79" s="881" t="s">
        <v>1268</v>
      </c>
      <c r="D79" s="2974"/>
      <c r="E79" s="2716"/>
      <c r="F79" s="2895"/>
      <c r="G79" s="2939"/>
      <c r="H79" s="2012"/>
      <c r="I79" s="1163" t="s">
        <v>1269</v>
      </c>
      <c r="J79" s="1083"/>
      <c r="K79" s="2012"/>
      <c r="L79" s="726"/>
      <c r="M79" s="2682"/>
      <c r="N79" s="846"/>
      <c r="O79" s="2136"/>
      <c r="P79" s="2136"/>
      <c r="AH79" s="2143">
        <v>0</v>
      </c>
    </row>
    <row s="46808" customFormat="1" customHeight="1" ht="0.75" hidden="1">
      <c r="A80" s="2292"/>
      <c r="B80" s="2292"/>
      <c r="C80" s="881" t="s">
        <v>1274</v>
      </c>
      <c r="D80" s="2974"/>
      <c r="E80" s="2716"/>
      <c r="F80" s="2895"/>
      <c r="G80" s="912"/>
      <c r="H80" s="2012"/>
      <c r="I80" s="1163"/>
      <c r="J80" s="1083"/>
      <c r="K80" s="2012"/>
      <c r="L80" s="726"/>
      <c r="M80" s="2682"/>
      <c r="N80" s="846"/>
      <c r="O80" s="2136"/>
      <c r="P80" s="2136"/>
      <c r="AH80" s="2143">
        <v>0</v>
      </c>
    </row>
    <row s="46808" customFormat="1" customHeight="1" ht="18.75" hidden="1">
      <c r="A81" s="2292" t="s">
        <v>393</v>
      </c>
      <c r="B81" s="2292" t="s">
        <v>394</v>
      </c>
      <c r="C81" s="881"/>
      <c r="D81" s="2974"/>
      <c r="E81" s="2716"/>
      <c r="F81" s="2895" t="str">
        <f>INDEX(PT_DIFFERENTIATION_VTAR,MATCH(A81,PT_DIFFERENTIATION_VTAR_ID,0))</f>
        <v>Тариф на подключение (технологическое присоединение) к централизованной системе водоотведения</v>
      </c>
      <c r="G81" s="2939" t="str">
        <f>INDEX(PT_DIFFERENTIATION_NTAR,MATCH(B81,PT_DIFFERENTIATION_NTAR_ID,0))</f>
        <v/>
      </c>
      <c r="H81" s="2374"/>
      <c r="I81" s="2251"/>
      <c r="J81" s="2285"/>
      <c r="K81" s="2377"/>
      <c r="L81" s="2374" t="s">
        <v>424</v>
      </c>
      <c r="M81" s="2682"/>
      <c r="N81" s="846"/>
      <c r="O81" s="2136"/>
      <c r="P81" s="2136"/>
      <c r="AH81" s="2143">
        <v>0</v>
      </c>
    </row>
    <row s="46808" customFormat="1" customHeight="1" ht="18.75" hidden="1">
      <c r="A82" s="2292"/>
      <c r="B82" s="2292"/>
      <c r="C82" s="881" t="s">
        <v>1268</v>
      </c>
      <c r="D82" s="2974"/>
      <c r="E82" s="2716"/>
      <c r="F82" s="2895"/>
      <c r="G82" s="2939"/>
      <c r="H82" s="2012"/>
      <c r="I82" s="1163" t="s">
        <v>1269</v>
      </c>
      <c r="J82" s="1083"/>
      <c r="K82" s="2012"/>
      <c r="L82" s="726"/>
      <c r="M82" s="2682"/>
      <c r="N82" s="846"/>
      <c r="O82" s="2136"/>
      <c r="P82" s="2136"/>
      <c r="AH82" s="2143">
        <v>0</v>
      </c>
    </row>
    <row s="46808" customFormat="1" customHeight="1" ht="1.05">
      <c r="A83" s="2292"/>
      <c r="B83" s="2292"/>
      <c r="C83" s="881" t="s">
        <v>1274</v>
      </c>
      <c r="D83" s="2974"/>
      <c r="E83" s="2716"/>
      <c r="F83" s="2895"/>
      <c r="G83" s="912"/>
      <c r="H83" s="2012"/>
      <c r="I83" s="1163"/>
      <c r="J83" s="1083"/>
      <c r="K83" s="2012"/>
      <c r="L83" s="726"/>
      <c r="M83" s="2682"/>
      <c r="N83" s="846"/>
      <c r="O83" s="2136"/>
      <c r="P83" s="2136"/>
      <c r="AH83" s="2143">
        <v>1</v>
      </c>
    </row>
    <row customHeight="1" ht="19.95">
      <c r="A84" s="2292"/>
      <c r="B84" s="2292"/>
      <c r="D84" s="888"/>
      <c r="E84" s="659" t="s">
        <v>105</v>
      </c>
      <c r="F84" s="2972"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водоотведения)</v>
      </c>
      <c r="G84" s="2972"/>
      <c r="H84" s="2972"/>
      <c r="I84" s="2972"/>
      <c r="J84" s="2972"/>
      <c r="K84" s="2972"/>
      <c r="L84" s="2972"/>
      <c r="M84" s="809"/>
      <c r="N84" s="846"/>
      <c r="AH84" s="886">
        <v>19</v>
      </c>
    </row>
    <row customHeight="1" ht="35.699999999999996">
      <c r="A85" s="2292"/>
      <c r="B85" s="2292"/>
      <c r="D85" s="888"/>
      <c r="E85" s="911"/>
      <c r="F85" s="710" t="s">
        <v>424</v>
      </c>
      <c r="G85" s="710" t="s">
        <v>424</v>
      </c>
      <c r="H85" s="2730" t="s">
        <v>424</v>
      </c>
      <c r="I85" s="2732"/>
      <c r="J85" s="710" t="s">
        <v>424</v>
      </c>
      <c r="K85" s="710" t="s">
        <v>424</v>
      </c>
      <c r="L85" s="913"/>
      <c r="M85" s="857" t="s">
        <v>1275</v>
      </c>
      <c r="N85" s="846"/>
      <c r="AH85" s="886">
        <v>34</v>
      </c>
    </row>
    <row customHeight="1" ht="19.95">
      <c r="A86" s="2292"/>
      <c r="B86" s="2292"/>
      <c r="D86" s="888"/>
      <c r="E86" s="659" t="s">
        <v>92</v>
      </c>
      <c r="F86" s="2972" t="s">
        <v>1276</v>
      </c>
      <c r="G86" s="2972"/>
      <c r="H86" s="2972"/>
      <c r="I86" s="2972"/>
      <c r="J86" s="2972"/>
      <c r="K86" s="2972"/>
      <c r="L86" s="2972"/>
      <c r="M86" s="809"/>
      <c r="N86" s="846"/>
      <c r="AH86" s="886">
        <v>19</v>
      </c>
    </row>
    <row s="46808" customFormat="1" customHeight="1" ht="60.75" hidden="1">
      <c r="A87" s="2292" t="s">
        <v>206</v>
      </c>
      <c r="B87" s="2292" t="s">
        <v>207</v>
      </c>
      <c r="C87" s="881"/>
      <c r="D87" s="2974"/>
      <c r="E87" s="2716"/>
      <c r="F87" s="2895"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939" t="str">
        <f>INDEX(PT_DIFFERENTIATION_NTAR,MATCH(B87,PT_DIFFERENTIATION_NTAR_ID,0))</f>
        <v/>
      </c>
      <c r="H87" s="2374"/>
      <c r="I87" s="2251"/>
      <c r="J87" s="2285"/>
      <c r="K87" s="2290"/>
      <c r="L87" s="2374" t="s">
        <v>424</v>
      </c>
      <c r="M87" s="268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846"/>
      <c r="O87" s="2136"/>
      <c r="P87" s="2136"/>
      <c r="AH87" s="2143">
        <v>0</v>
      </c>
    </row>
    <row s="46808" customFormat="1" customHeight="1" ht="18.75" hidden="1">
      <c r="A88" s="2292"/>
      <c r="B88" s="2292"/>
      <c r="C88" s="881" t="s">
        <v>1270</v>
      </c>
      <c r="D88" s="2974"/>
      <c r="E88" s="2716"/>
      <c r="F88" s="2895"/>
      <c r="G88" s="2939"/>
      <c r="H88" s="2012"/>
      <c r="I88" s="1163" t="s">
        <v>1269</v>
      </c>
      <c r="J88" s="1083"/>
      <c r="K88" s="2012"/>
      <c r="L88" s="726"/>
      <c r="M88" s="2682"/>
      <c r="N88" s="846"/>
      <c r="O88" s="2136"/>
      <c r="P88" s="2136"/>
      <c r="AH88" s="2143">
        <v>0</v>
      </c>
    </row>
    <row s="46808" customFormat="1" customHeight="1" ht="0.75" hidden="1">
      <c r="A89" s="2292"/>
      <c r="B89" s="2292"/>
      <c r="C89" s="881" t="s">
        <v>1277</v>
      </c>
      <c r="D89" s="2974"/>
      <c r="E89" s="2716"/>
      <c r="F89" s="2895"/>
      <c r="G89" s="912"/>
      <c r="H89" s="2012"/>
      <c r="I89" s="1163"/>
      <c r="J89" s="1083"/>
      <c r="K89" s="2012"/>
      <c r="L89" s="726"/>
      <c r="M89" s="2682"/>
      <c r="N89" s="846"/>
      <c r="O89" s="2136"/>
      <c r="P89" s="2136"/>
      <c r="AH89" s="2143">
        <v>0</v>
      </c>
    </row>
    <row s="46808" customFormat="1" customHeight="1" ht="45" hidden="1">
      <c r="A90" s="2292" t="s">
        <v>211</v>
      </c>
      <c r="B90" s="2292" t="s">
        <v>212</v>
      </c>
      <c r="C90" s="881"/>
      <c r="D90" s="2974"/>
      <c r="E90" s="2716"/>
      <c r="F90" s="2895" t="str">
        <f>INDEX(PT_DIFFERENTIATION_VTAR,MATCH(A90,PT_DIFFERENTIATION_VTAR_ID,0))</f>
        <v/>
      </c>
      <c r="G90" s="2939" t="str">
        <f>INDEX(PT_DIFFERENTIATION_NTAR,MATCH(B90,PT_DIFFERENTIATION_NTAR_ID,0))</f>
        <v/>
      </c>
      <c r="H90" s="2374"/>
      <c r="I90" s="2251"/>
      <c r="J90" s="2285"/>
      <c r="K90" s="2290"/>
      <c r="L90" s="2374" t="s">
        <v>424</v>
      </c>
      <c r="M90" s="2683"/>
      <c r="N90" s="846"/>
      <c r="O90" s="2136"/>
      <c r="P90" s="2136"/>
      <c r="AH90" s="2143">
        <v>0</v>
      </c>
    </row>
    <row s="46808" customFormat="1" customHeight="1" ht="18.75" hidden="1">
      <c r="A91" s="2292"/>
      <c r="B91" s="2292"/>
      <c r="C91" s="881" t="s">
        <v>1270</v>
      </c>
      <c r="D91" s="2974"/>
      <c r="E91" s="2716"/>
      <c r="F91" s="2895"/>
      <c r="G91" s="2939"/>
      <c r="H91" s="2012"/>
      <c r="I91" s="1163" t="s">
        <v>1269</v>
      </c>
      <c r="J91" s="1083"/>
      <c r="K91" s="2012"/>
      <c r="L91" s="726"/>
      <c r="M91" s="2373"/>
      <c r="N91" s="846"/>
      <c r="O91" s="2136"/>
      <c r="P91" s="2136"/>
      <c r="AH91" s="2143">
        <v>0</v>
      </c>
    </row>
    <row s="46808" customFormat="1" customHeight="1" ht="0.75" hidden="1">
      <c r="A92" s="2292"/>
      <c r="B92" s="2292"/>
      <c r="C92" s="881" t="s">
        <v>1277</v>
      </c>
      <c r="D92" s="2974"/>
      <c r="E92" s="2716"/>
      <c r="F92" s="2895"/>
      <c r="G92" s="912"/>
      <c r="H92" s="2012"/>
      <c r="I92" s="1163"/>
      <c r="J92" s="1083"/>
      <c r="K92" s="2012"/>
      <c r="L92" s="726"/>
      <c r="M92" s="853"/>
      <c r="N92" s="846"/>
      <c r="O92" s="2136"/>
      <c r="P92" s="2136"/>
      <c r="AH92" s="2143">
        <v>0</v>
      </c>
    </row>
    <row s="46808" customFormat="1" customHeight="1" ht="45" hidden="1">
      <c r="A93" s="2292" t="s">
        <v>218</v>
      </c>
      <c r="B93" s="2292" t="s">
        <v>219</v>
      </c>
      <c r="C93" s="881"/>
      <c r="D93" s="2974"/>
      <c r="E93" s="2716"/>
      <c r="F93" s="2895"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939" t="str">
        <f>INDEX(PT_DIFFERENTIATION_NTAR,MATCH(B93,PT_DIFFERENTIATION_NTAR_ID,0))</f>
        <v/>
      </c>
      <c r="H93" s="2374"/>
      <c r="I93" s="2251"/>
      <c r="J93" s="2285"/>
      <c r="K93" s="2290"/>
      <c r="L93" s="2374" t="s">
        <v>424</v>
      </c>
      <c r="M93" s="853"/>
      <c r="N93" s="846"/>
      <c r="O93" s="2136"/>
      <c r="P93" s="2136"/>
      <c r="AH93" s="2143">
        <v>0</v>
      </c>
    </row>
    <row s="46808" customFormat="1" customHeight="1" ht="18.75" hidden="1">
      <c r="A94" s="2292"/>
      <c r="B94" s="2292"/>
      <c r="C94" s="881" t="s">
        <v>1270</v>
      </c>
      <c r="D94" s="2974"/>
      <c r="E94" s="2716"/>
      <c r="F94" s="2895"/>
      <c r="G94" s="2939"/>
      <c r="H94" s="2012"/>
      <c r="I94" s="1163" t="s">
        <v>1269</v>
      </c>
      <c r="J94" s="1083"/>
      <c r="K94" s="2012"/>
      <c r="L94" s="726"/>
      <c r="M94" s="853"/>
      <c r="N94" s="846"/>
      <c r="O94" s="2136"/>
      <c r="P94" s="2136"/>
      <c r="AH94" s="2143">
        <v>0</v>
      </c>
    </row>
    <row s="46808" customFormat="1" customHeight="1" ht="0.75" hidden="1">
      <c r="A95" s="2292"/>
      <c r="B95" s="2292"/>
      <c r="C95" s="881" t="s">
        <v>1277</v>
      </c>
      <c r="D95" s="2974"/>
      <c r="E95" s="2716"/>
      <c r="F95" s="2895"/>
      <c r="G95" s="912"/>
      <c r="H95" s="2012"/>
      <c r="I95" s="1163"/>
      <c r="J95" s="1083"/>
      <c r="K95" s="2012"/>
      <c r="L95" s="726"/>
      <c r="M95" s="853"/>
      <c r="N95" s="846"/>
      <c r="O95" s="2136"/>
      <c r="P95" s="2136"/>
      <c r="AH95" s="2143">
        <v>0</v>
      </c>
    </row>
    <row s="46808" customFormat="1" customHeight="1" ht="45" hidden="1">
      <c r="A96" s="2292" t="s">
        <v>224</v>
      </c>
      <c r="B96" s="2292" t="s">
        <v>225</v>
      </c>
      <c r="C96" s="881"/>
      <c r="D96" s="2974"/>
      <c r="E96" s="2716"/>
      <c r="F96" s="2895"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939" t="str">
        <f>INDEX(PT_DIFFERENTIATION_NTAR,MATCH(B96,PT_DIFFERENTIATION_NTAR_ID,0))</f>
        <v/>
      </c>
      <c r="H96" s="2374"/>
      <c r="I96" s="2251"/>
      <c r="J96" s="2285"/>
      <c r="K96" s="2290"/>
      <c r="L96" s="2374" t="s">
        <v>424</v>
      </c>
      <c r="M96" s="853"/>
      <c r="N96" s="846"/>
      <c r="O96" s="2136"/>
      <c r="P96" s="2136"/>
      <c r="AH96" s="2143">
        <v>0</v>
      </c>
    </row>
    <row s="46808" customFormat="1" customHeight="1" ht="18.75" hidden="1">
      <c r="A97" s="2292"/>
      <c r="B97" s="2292"/>
      <c r="C97" s="881" t="s">
        <v>1270</v>
      </c>
      <c r="D97" s="2974"/>
      <c r="E97" s="2716"/>
      <c r="F97" s="2895"/>
      <c r="G97" s="2939"/>
      <c r="H97" s="2012"/>
      <c r="I97" s="1163" t="s">
        <v>1269</v>
      </c>
      <c r="J97" s="1083"/>
      <c r="K97" s="2012"/>
      <c r="L97" s="726"/>
      <c r="M97" s="853"/>
      <c r="N97" s="846"/>
      <c r="O97" s="2136"/>
      <c r="P97" s="2136"/>
      <c r="AH97" s="2143">
        <v>0</v>
      </c>
    </row>
    <row s="46808" customFormat="1" customHeight="1" ht="0.75" hidden="1">
      <c r="A98" s="2292"/>
      <c r="B98" s="2292"/>
      <c r="C98" s="881" t="s">
        <v>1277</v>
      </c>
      <c r="D98" s="2974"/>
      <c r="E98" s="2716"/>
      <c r="F98" s="2895"/>
      <c r="G98" s="912"/>
      <c r="H98" s="2012"/>
      <c r="I98" s="1163"/>
      <c r="J98" s="1083"/>
      <c r="K98" s="2012"/>
      <c r="L98" s="726"/>
      <c r="M98" s="853"/>
      <c r="N98" s="846"/>
      <c r="O98" s="2136"/>
      <c r="P98" s="2136"/>
      <c r="AH98" s="2143">
        <v>0</v>
      </c>
    </row>
    <row s="46808" customFormat="1" customHeight="1" ht="18.75" hidden="1">
      <c r="A99" s="2292" t="s">
        <v>230</v>
      </c>
      <c r="B99" s="2292" t="s">
        <v>231</v>
      </c>
      <c r="C99" s="881"/>
      <c r="D99" s="2974"/>
      <c r="E99" s="2716"/>
      <c r="F99" s="2895" t="str">
        <f>INDEX(PT_DIFFERENTIATION_VTAR,MATCH(A99,PT_DIFFERENTIATION_VTAR_ID,0))</f>
        <v>Тарифы на услуги по передаче тепловой энергии</v>
      </c>
      <c r="G99" s="2939" t="str">
        <f>INDEX(PT_DIFFERENTIATION_NTAR,MATCH(B99,PT_DIFFERENTIATION_NTAR_ID,0))</f>
        <v/>
      </c>
      <c r="H99" s="2374"/>
      <c r="I99" s="2251"/>
      <c r="J99" s="2285"/>
      <c r="K99" s="2290"/>
      <c r="L99" s="2374" t="s">
        <v>424</v>
      </c>
      <c r="M99" s="853"/>
      <c r="N99" s="846"/>
      <c r="O99" s="2136"/>
      <c r="P99" s="2136"/>
      <c r="AH99" s="2143">
        <v>0</v>
      </c>
    </row>
    <row s="46808" customFormat="1" customHeight="1" ht="18.75" hidden="1">
      <c r="A100" s="2292"/>
      <c r="B100" s="2292"/>
      <c r="C100" s="881" t="s">
        <v>1270</v>
      </c>
      <c r="D100" s="2974"/>
      <c r="E100" s="2716"/>
      <c r="F100" s="2895"/>
      <c r="G100" s="2939"/>
      <c r="H100" s="2012"/>
      <c r="I100" s="1163" t="s">
        <v>1269</v>
      </c>
      <c r="J100" s="1083"/>
      <c r="K100" s="2012"/>
      <c r="L100" s="726"/>
      <c r="M100" s="853"/>
      <c r="N100" s="846"/>
      <c r="O100" s="2136"/>
      <c r="P100" s="2136"/>
      <c r="AH100" s="2143">
        <v>0</v>
      </c>
    </row>
    <row s="46808" customFormat="1" customHeight="1" ht="0.75" hidden="1">
      <c r="A101" s="2292"/>
      <c r="B101" s="2292"/>
      <c r="C101" s="881" t="s">
        <v>1277</v>
      </c>
      <c r="D101" s="2974"/>
      <c r="E101" s="2716"/>
      <c r="F101" s="2895"/>
      <c r="G101" s="912"/>
      <c r="H101" s="2012"/>
      <c r="I101" s="1163"/>
      <c r="J101" s="1083"/>
      <c r="K101" s="2012"/>
      <c r="L101" s="726"/>
      <c r="M101" s="853"/>
      <c r="N101" s="846"/>
      <c r="O101" s="2136"/>
      <c r="P101" s="2136"/>
      <c r="AH101" s="2143">
        <v>0</v>
      </c>
    </row>
    <row s="46808" customFormat="1" customHeight="1" ht="18.75" hidden="1">
      <c r="A102" s="2292" t="s">
        <v>236</v>
      </c>
      <c r="B102" s="2292" t="s">
        <v>237</v>
      </c>
      <c r="C102" s="881"/>
      <c r="D102" s="2974"/>
      <c r="E102" s="2716"/>
      <c r="F102" s="2895" t="str">
        <f>INDEX(PT_DIFFERENTIATION_VTAR,MATCH(A102,PT_DIFFERENTIATION_VTAR_ID,0))</f>
        <v>Тарифы на услуги по передаче теплоносителя</v>
      </c>
      <c r="G102" s="2939" t="str">
        <f>INDEX(PT_DIFFERENTIATION_NTAR,MATCH(B102,PT_DIFFERENTIATION_NTAR_ID,0))</f>
        <v/>
      </c>
      <c r="H102" s="2374"/>
      <c r="I102" s="2251"/>
      <c r="J102" s="2285"/>
      <c r="K102" s="2290"/>
      <c r="L102" s="2374" t="s">
        <v>424</v>
      </c>
      <c r="M102" s="853"/>
      <c r="N102" s="846"/>
      <c r="O102" s="2136"/>
      <c r="P102" s="2136"/>
      <c r="AH102" s="2143">
        <v>0</v>
      </c>
    </row>
    <row s="46808" customFormat="1" customHeight="1" ht="18.75" hidden="1">
      <c r="A103" s="2292"/>
      <c r="B103" s="2292"/>
      <c r="C103" s="881" t="s">
        <v>1270</v>
      </c>
      <c r="D103" s="2974"/>
      <c r="E103" s="2716"/>
      <c r="F103" s="2895"/>
      <c r="G103" s="2939"/>
      <c r="H103" s="2012"/>
      <c r="I103" s="1163" t="s">
        <v>1269</v>
      </c>
      <c r="J103" s="1083"/>
      <c r="K103" s="2012"/>
      <c r="L103" s="726"/>
      <c r="M103" s="853"/>
      <c r="N103" s="846"/>
      <c r="O103" s="2136"/>
      <c r="P103" s="2136"/>
      <c r="AH103" s="2143">
        <v>0</v>
      </c>
    </row>
    <row s="46808" customFormat="1" customHeight="1" ht="0.75" hidden="1">
      <c r="A104" s="2292"/>
      <c r="B104" s="2292"/>
      <c r="C104" s="881" t="s">
        <v>1277</v>
      </c>
      <c r="D104" s="2974"/>
      <c r="E104" s="2716"/>
      <c r="F104" s="2895"/>
      <c r="G104" s="912"/>
      <c r="H104" s="2012"/>
      <c r="I104" s="1163"/>
      <c r="J104" s="1083"/>
      <c r="K104" s="2012"/>
      <c r="L104" s="726"/>
      <c r="M104" s="853"/>
      <c r="N104" s="846"/>
      <c r="O104" s="2136"/>
      <c r="P104" s="2136"/>
      <c r="AH104" s="2143">
        <v>0</v>
      </c>
    </row>
    <row s="46808" customFormat="1" customHeight="1" ht="18.75" hidden="1">
      <c r="A105" s="2292" t="s">
        <v>242</v>
      </c>
      <c r="B105" s="2292" t="s">
        <v>243</v>
      </c>
      <c r="C105" s="881"/>
      <c r="D105" s="2974"/>
      <c r="E105" s="2716"/>
      <c r="F105" s="2895"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939" t="str">
        <f>INDEX(PT_DIFFERENTIATION_NTAR,MATCH(B105,PT_DIFFERENTIATION_NTAR_ID,0))</f>
        <v/>
      </c>
      <c r="H105" s="2374"/>
      <c r="I105" s="2251"/>
      <c r="J105" s="2285"/>
      <c r="K105" s="2290"/>
      <c r="L105" s="2374" t="s">
        <v>424</v>
      </c>
      <c r="M105" s="853"/>
      <c r="N105" s="846"/>
      <c r="O105" s="2136"/>
      <c r="P105" s="2136"/>
      <c r="AH105" s="2143">
        <v>0</v>
      </c>
    </row>
    <row s="46808" customFormat="1" customHeight="1" ht="18.75" hidden="1">
      <c r="A106" s="2292"/>
      <c r="B106" s="2292"/>
      <c r="C106" s="881" t="s">
        <v>1270</v>
      </c>
      <c r="D106" s="2974"/>
      <c r="E106" s="2716"/>
      <c r="F106" s="2895"/>
      <c r="G106" s="2939"/>
      <c r="H106" s="2012"/>
      <c r="I106" s="1163" t="s">
        <v>1269</v>
      </c>
      <c r="J106" s="1083"/>
      <c r="K106" s="2012"/>
      <c r="L106" s="726"/>
      <c r="M106" s="853"/>
      <c r="N106" s="846"/>
      <c r="O106" s="2136"/>
      <c r="P106" s="2136"/>
      <c r="AH106" s="2143">
        <v>0</v>
      </c>
    </row>
    <row s="46808" customFormat="1" customHeight="1" ht="0.75" hidden="1">
      <c r="A107" s="2292"/>
      <c r="B107" s="2292"/>
      <c r="C107" s="881" t="s">
        <v>1277</v>
      </c>
      <c r="D107" s="2974"/>
      <c r="E107" s="2716"/>
      <c r="F107" s="2895"/>
      <c r="G107" s="912"/>
      <c r="H107" s="2012"/>
      <c r="I107" s="1163"/>
      <c r="J107" s="1083"/>
      <c r="K107" s="2012"/>
      <c r="L107" s="726"/>
      <c r="M107" s="853"/>
      <c r="N107" s="846"/>
      <c r="O107" s="2136"/>
      <c r="P107" s="2136"/>
      <c r="AH107" s="2143">
        <v>0</v>
      </c>
    </row>
    <row s="46808" customFormat="1" customHeight="1" ht="18.75" hidden="1">
      <c r="A108" s="2292" t="s">
        <v>248</v>
      </c>
      <c r="B108" s="2292" t="s">
        <v>249</v>
      </c>
      <c r="C108" s="881"/>
      <c r="D108" s="2974"/>
      <c r="E108" s="2716"/>
      <c r="F108" s="2895" t="str">
        <f>INDEX(PT_DIFFERENTIATION_VTAR,MATCH(A108,PT_DIFFERENTIATION_VTAR_ID,0))</f>
        <v>Плата за подключение (технологическое присоединение) к системе теплоснабжения</v>
      </c>
      <c r="G108" s="2939" t="str">
        <f>INDEX(PT_DIFFERENTIATION_NTAR,MATCH(B108,PT_DIFFERENTIATION_NTAR_ID,0))</f>
        <v/>
      </c>
      <c r="H108" s="2374"/>
      <c r="I108" s="2251"/>
      <c r="J108" s="2285"/>
      <c r="K108" s="2290"/>
      <c r="L108" s="2374" t="s">
        <v>424</v>
      </c>
      <c r="M108" s="853"/>
      <c r="N108" s="846"/>
      <c r="O108" s="2136"/>
      <c r="P108" s="2136"/>
      <c r="AH108" s="2143">
        <v>0</v>
      </c>
    </row>
    <row s="46808" customFormat="1" customHeight="1" ht="18.75" hidden="1">
      <c r="A109" s="2292"/>
      <c r="B109" s="2292"/>
      <c r="C109" s="881" t="s">
        <v>1270</v>
      </c>
      <c r="D109" s="2974"/>
      <c r="E109" s="2716"/>
      <c r="F109" s="2895"/>
      <c r="G109" s="2939"/>
      <c r="H109" s="2012"/>
      <c r="I109" s="1163" t="s">
        <v>1269</v>
      </c>
      <c r="J109" s="1083"/>
      <c r="K109" s="2012"/>
      <c r="L109" s="726"/>
      <c r="M109" s="853"/>
      <c r="N109" s="846"/>
      <c r="O109" s="2136"/>
      <c r="P109" s="2136"/>
      <c r="AH109" s="2143">
        <v>0</v>
      </c>
    </row>
    <row s="46808" customFormat="1" customHeight="1" ht="0.75" hidden="1">
      <c r="A110" s="2292"/>
      <c r="B110" s="2292"/>
      <c r="C110" s="881" t="s">
        <v>1277</v>
      </c>
      <c r="D110" s="2974"/>
      <c r="E110" s="2716"/>
      <c r="F110" s="2895"/>
      <c r="G110" s="912"/>
      <c r="H110" s="2012"/>
      <c r="I110" s="1163"/>
      <c r="J110" s="1083"/>
      <c r="K110" s="2012"/>
      <c r="L110" s="726"/>
      <c r="M110" s="853"/>
      <c r="N110" s="846"/>
      <c r="O110" s="2136"/>
      <c r="P110" s="2136"/>
      <c r="AH110" s="2143">
        <v>0</v>
      </c>
    </row>
    <row s="46808" customFormat="1" customHeight="1" ht="18.75" hidden="1">
      <c r="A111" s="2292" t="s">
        <v>254</v>
      </c>
      <c r="B111" s="2292" t="s">
        <v>255</v>
      </c>
      <c r="C111" s="881"/>
      <c r="D111" s="2974"/>
      <c r="E111" s="2716"/>
      <c r="F111" s="2895" t="str">
        <f>INDEX(PT_DIFFERENTIATION_VTAR,MATCH(A111,PT_DIFFERENTIATION_VTAR_ID,0))</f>
        <v>Плата за подключение (технологическое присоединение) к системе теплоснабжения (индивидуальная)</v>
      </c>
      <c r="G111" s="2939" t="str">
        <f>INDEX(PT_DIFFERENTIATION_NTAR,MATCH(B111,PT_DIFFERENTIATION_NTAR_ID,0))</f>
        <v/>
      </c>
      <c r="H111" s="2501"/>
      <c r="I111" s="2251"/>
      <c r="J111" s="2285"/>
      <c r="K111" s="2290"/>
      <c r="L111" s="2501" t="s">
        <v>424</v>
      </c>
      <c r="M111" s="853"/>
      <c r="N111" s="846"/>
      <c r="O111" s="2136"/>
      <c r="P111" s="2136"/>
      <c r="AH111" s="2143">
        <v>0</v>
      </c>
    </row>
    <row s="46808" customFormat="1" customHeight="1" ht="18.75" hidden="1">
      <c r="A112" s="2292"/>
      <c r="B112" s="2292"/>
      <c r="C112" s="881" t="s">
        <v>1270</v>
      </c>
      <c r="D112" s="2974"/>
      <c r="E112" s="2716"/>
      <c r="F112" s="2895"/>
      <c r="G112" s="2939"/>
      <c r="H112" s="2012"/>
      <c r="I112" s="1163" t="s">
        <v>1269</v>
      </c>
      <c r="J112" s="1083"/>
      <c r="K112" s="2012"/>
      <c r="L112" s="726"/>
      <c r="M112" s="853"/>
      <c r="N112" s="846"/>
      <c r="O112" s="2136"/>
      <c r="P112" s="2136"/>
      <c r="AH112" s="2143">
        <v>0</v>
      </c>
    </row>
    <row s="46808" customFormat="1" customHeight="1" ht="0.75" hidden="1">
      <c r="A113" s="2292"/>
      <c r="B113" s="2292"/>
      <c r="C113" s="881" t="s">
        <v>1277</v>
      </c>
      <c r="D113" s="2974"/>
      <c r="E113" s="2716"/>
      <c r="F113" s="2895"/>
      <c r="G113" s="912"/>
      <c r="H113" s="2012"/>
      <c r="I113" s="1163"/>
      <c r="J113" s="1083"/>
      <c r="K113" s="2012"/>
      <c r="L113" s="726"/>
      <c r="M113" s="853"/>
      <c r="N113" s="846"/>
      <c r="O113" s="2136"/>
      <c r="P113" s="2136"/>
      <c r="AH113" s="2143">
        <v>0</v>
      </c>
    </row>
    <row s="46808" customFormat="1" customHeight="1" ht="18.75" hidden="1">
      <c r="A114" s="2292" t="s">
        <v>274</v>
      </c>
      <c r="B114" s="2292" t="s">
        <v>275</v>
      </c>
      <c r="C114" s="881"/>
      <c r="D114" s="2974"/>
      <c r="E114" s="2716"/>
      <c r="F114" s="2895" t="str">
        <f>INDEX(PT_DIFFERENTIATION_VTAR,MATCH(A114,PT_DIFFERENTIATION_VTAR_ID,0))</f>
        <v>Тариф на питьевую воду (питьевое водоснабжение)</v>
      </c>
      <c r="G114" s="2939" t="str">
        <f>INDEX(PT_DIFFERENTIATION_NTAR,MATCH(B114,PT_DIFFERENTIATION_NTAR_ID,0))</f>
        <v/>
      </c>
      <c r="H114" s="2374"/>
      <c r="I114" s="2251"/>
      <c r="J114" s="2285"/>
      <c r="K114" s="2290"/>
      <c r="L114" s="2374" t="s">
        <v>424</v>
      </c>
      <c r="M114" s="853"/>
      <c r="N114" s="846"/>
      <c r="O114" s="2136"/>
      <c r="P114" s="2136"/>
      <c r="AH114" s="2143">
        <v>0</v>
      </c>
    </row>
    <row s="46808" customFormat="1" customHeight="1" ht="18.75" hidden="1">
      <c r="A115" s="2292"/>
      <c r="B115" s="2292"/>
      <c r="C115" s="881" t="s">
        <v>1270</v>
      </c>
      <c r="D115" s="2974"/>
      <c r="E115" s="2716"/>
      <c r="F115" s="2895"/>
      <c r="G115" s="2939"/>
      <c r="H115" s="2012"/>
      <c r="I115" s="1163" t="s">
        <v>1269</v>
      </c>
      <c r="J115" s="1083"/>
      <c r="K115" s="2012"/>
      <c r="L115" s="726"/>
      <c r="M115" s="853"/>
      <c r="N115" s="846"/>
      <c r="O115" s="2136"/>
      <c r="P115" s="2136"/>
      <c r="AH115" s="2143">
        <v>0</v>
      </c>
    </row>
    <row s="46808" customFormat="1" customHeight="1" ht="0.75" hidden="1">
      <c r="A116" s="2292"/>
      <c r="B116" s="2292"/>
      <c r="C116" s="881" t="s">
        <v>1277</v>
      </c>
      <c r="D116" s="2974"/>
      <c r="E116" s="2716"/>
      <c r="F116" s="2895"/>
      <c r="G116" s="912"/>
      <c r="H116" s="2012"/>
      <c r="I116" s="1163"/>
      <c r="J116" s="1083"/>
      <c r="K116" s="2012"/>
      <c r="L116" s="726"/>
      <c r="M116" s="853"/>
      <c r="N116" s="846"/>
      <c r="O116" s="2136"/>
      <c r="P116" s="2136"/>
      <c r="AH116" s="2143">
        <v>0</v>
      </c>
    </row>
    <row s="46808" customFormat="1" customHeight="1" ht="18.75" hidden="1">
      <c r="A117" s="2292" t="s">
        <v>279</v>
      </c>
      <c r="B117" s="2292" t="s">
        <v>280</v>
      </c>
      <c r="C117" s="881"/>
      <c r="D117" s="2974"/>
      <c r="E117" s="2716"/>
      <c r="F117" s="2895" t="str">
        <f>INDEX(PT_DIFFERENTIATION_VTAR,MATCH(A117,PT_DIFFERENTIATION_VTAR_ID,0))</f>
        <v>Тариф на техническую воду</v>
      </c>
      <c r="G117" s="2939" t="str">
        <f>INDEX(PT_DIFFERENTIATION_NTAR,MATCH(B117,PT_DIFFERENTIATION_NTAR_ID,0))</f>
        <v/>
      </c>
      <c r="H117" s="2374"/>
      <c r="I117" s="2251"/>
      <c r="J117" s="2285"/>
      <c r="K117" s="2290"/>
      <c r="L117" s="2374" t="s">
        <v>424</v>
      </c>
      <c r="M117" s="853"/>
      <c r="N117" s="846"/>
      <c r="O117" s="2136"/>
      <c r="P117" s="2136"/>
      <c r="AH117" s="2143">
        <v>0</v>
      </c>
    </row>
    <row s="46808" customFormat="1" customHeight="1" ht="18.75" hidden="1">
      <c r="A118" s="2292"/>
      <c r="B118" s="2292"/>
      <c r="C118" s="881" t="s">
        <v>1270</v>
      </c>
      <c r="D118" s="2974"/>
      <c r="E118" s="2716"/>
      <c r="F118" s="2895"/>
      <c r="G118" s="2939"/>
      <c r="H118" s="2012"/>
      <c r="I118" s="1163" t="s">
        <v>1269</v>
      </c>
      <c r="J118" s="1083"/>
      <c r="K118" s="2012"/>
      <c r="L118" s="726"/>
      <c r="M118" s="853"/>
      <c r="N118" s="846"/>
      <c r="O118" s="2136"/>
      <c r="P118" s="2136"/>
      <c r="AH118" s="2143">
        <v>0</v>
      </c>
    </row>
    <row s="46808" customFormat="1" customHeight="1" ht="0.75" hidden="1">
      <c r="A119" s="2292"/>
      <c r="B119" s="2292"/>
      <c r="C119" s="881" t="s">
        <v>1277</v>
      </c>
      <c r="D119" s="2974"/>
      <c r="E119" s="2716"/>
      <c r="F119" s="2895"/>
      <c r="G119" s="912"/>
      <c r="H119" s="2012"/>
      <c r="I119" s="1163"/>
      <c r="J119" s="1083"/>
      <c r="K119" s="2012"/>
      <c r="L119" s="726"/>
      <c r="M119" s="853"/>
      <c r="N119" s="846"/>
      <c r="O119" s="2136"/>
      <c r="P119" s="2136"/>
      <c r="AH119" s="2143">
        <v>0</v>
      </c>
    </row>
    <row s="46808" customFormat="1" customHeight="1" ht="18.75" hidden="1">
      <c r="A120" s="2292" t="s">
        <v>284</v>
      </c>
      <c r="B120" s="2292" t="s">
        <v>285</v>
      </c>
      <c r="C120" s="881"/>
      <c r="D120" s="2974"/>
      <c r="E120" s="2716"/>
      <c r="F120" s="2895" t="str">
        <f>INDEX(PT_DIFFERENTIATION_VTAR,MATCH(A120,PT_DIFFERENTIATION_VTAR_ID,0))</f>
        <v>Тариф на транспортировку воды</v>
      </c>
      <c r="G120" s="2939" t="str">
        <f>INDEX(PT_DIFFERENTIATION_NTAR,MATCH(B120,PT_DIFFERENTIATION_NTAR_ID,0))</f>
        <v/>
      </c>
      <c r="H120" s="2374"/>
      <c r="I120" s="2251"/>
      <c r="J120" s="2285"/>
      <c r="K120" s="2290"/>
      <c r="L120" s="2374" t="s">
        <v>424</v>
      </c>
      <c r="M120" s="853"/>
      <c r="N120" s="846"/>
      <c r="O120" s="2136"/>
      <c r="P120" s="2136"/>
      <c r="AH120" s="2143">
        <v>0</v>
      </c>
    </row>
    <row s="46808" customFormat="1" customHeight="1" ht="18.75" hidden="1">
      <c r="A121" s="2292"/>
      <c r="B121" s="2292"/>
      <c r="C121" s="881" t="s">
        <v>1270</v>
      </c>
      <c r="D121" s="2974"/>
      <c r="E121" s="2716"/>
      <c r="F121" s="2895"/>
      <c r="G121" s="2939"/>
      <c r="H121" s="2012"/>
      <c r="I121" s="1163" t="s">
        <v>1269</v>
      </c>
      <c r="J121" s="1083"/>
      <c r="K121" s="2012"/>
      <c r="L121" s="726"/>
      <c r="M121" s="853"/>
      <c r="N121" s="846"/>
      <c r="O121" s="2136"/>
      <c r="P121" s="2136"/>
      <c r="AH121" s="2143">
        <v>0</v>
      </c>
    </row>
    <row s="46808" customFormat="1" customHeight="1" ht="0.75" hidden="1">
      <c r="A122" s="2292"/>
      <c r="B122" s="2292"/>
      <c r="C122" s="881" t="s">
        <v>1277</v>
      </c>
      <c r="D122" s="2974"/>
      <c r="E122" s="2716"/>
      <c r="F122" s="2895"/>
      <c r="G122" s="912"/>
      <c r="H122" s="2012"/>
      <c r="I122" s="1163"/>
      <c r="J122" s="1083"/>
      <c r="K122" s="2012"/>
      <c r="L122" s="726"/>
      <c r="M122" s="853"/>
      <c r="N122" s="846"/>
      <c r="O122" s="2136"/>
      <c r="P122" s="2136"/>
      <c r="AH122" s="2143">
        <v>0</v>
      </c>
    </row>
    <row s="46808" customFormat="1" customHeight="1" ht="18.75" hidden="1">
      <c r="A123" s="2292" t="s">
        <v>289</v>
      </c>
      <c r="B123" s="2292" t="s">
        <v>290</v>
      </c>
      <c r="C123" s="881"/>
      <c r="D123" s="2974"/>
      <c r="E123" s="2716"/>
      <c r="F123" s="2895" t="str">
        <f>INDEX(PT_DIFFERENTIATION_VTAR,MATCH(A123,PT_DIFFERENTIATION_VTAR_ID,0))</f>
        <v>Тариф на подвоз воды</v>
      </c>
      <c r="G123" s="2939" t="str">
        <f>INDEX(PT_DIFFERENTIATION_NTAR,MATCH(B123,PT_DIFFERENTIATION_NTAR_ID,0))</f>
        <v/>
      </c>
      <c r="H123" s="2374"/>
      <c r="I123" s="2251"/>
      <c r="J123" s="2285"/>
      <c r="K123" s="2290"/>
      <c r="L123" s="2374" t="s">
        <v>424</v>
      </c>
      <c r="M123" s="853"/>
      <c r="N123" s="846"/>
      <c r="O123" s="2136"/>
      <c r="P123" s="2136"/>
      <c r="AH123" s="2143">
        <v>0</v>
      </c>
    </row>
    <row s="46808" customFormat="1" customHeight="1" ht="18.75" hidden="1">
      <c r="A124" s="2292"/>
      <c r="B124" s="2292"/>
      <c r="C124" s="881" t="s">
        <v>1270</v>
      </c>
      <c r="D124" s="2974"/>
      <c r="E124" s="2716"/>
      <c r="F124" s="2895"/>
      <c r="G124" s="2939"/>
      <c r="H124" s="2012"/>
      <c r="I124" s="1163" t="s">
        <v>1269</v>
      </c>
      <c r="J124" s="1083"/>
      <c r="K124" s="2012"/>
      <c r="L124" s="726"/>
      <c r="M124" s="853"/>
      <c r="N124" s="846"/>
      <c r="O124" s="2136"/>
      <c r="P124" s="2136"/>
      <c r="AH124" s="2143">
        <v>0</v>
      </c>
    </row>
    <row s="46808" customFormat="1" customHeight="1" ht="0.75" hidden="1">
      <c r="A125" s="2292"/>
      <c r="B125" s="2292"/>
      <c r="C125" s="881" t="s">
        <v>1277</v>
      </c>
      <c r="D125" s="2974"/>
      <c r="E125" s="2716"/>
      <c r="F125" s="2895"/>
      <c r="G125" s="912"/>
      <c r="H125" s="2012"/>
      <c r="I125" s="1163"/>
      <c r="J125" s="1083"/>
      <c r="K125" s="2012"/>
      <c r="L125" s="726"/>
      <c r="M125" s="853"/>
      <c r="N125" s="846"/>
      <c r="O125" s="2136"/>
      <c r="P125" s="2136"/>
      <c r="AH125" s="2143">
        <v>0</v>
      </c>
    </row>
    <row s="46808" customFormat="1" customHeight="1" ht="18.75" hidden="1">
      <c r="A126" s="2292" t="s">
        <v>294</v>
      </c>
      <c r="B126" s="2292" t="s">
        <v>295</v>
      </c>
      <c r="C126" s="881"/>
      <c r="D126" s="2974"/>
      <c r="E126" s="2716"/>
      <c r="F126" s="2895"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939" t="str">
        <f>INDEX(PT_DIFFERENTIATION_NTAR,MATCH(B126,PT_DIFFERENTIATION_NTAR_ID,0))</f>
        <v/>
      </c>
      <c r="H126" s="2374"/>
      <c r="I126" s="2251"/>
      <c r="J126" s="2285"/>
      <c r="K126" s="2290"/>
      <c r="L126" s="2374" t="s">
        <v>424</v>
      </c>
      <c r="M126" s="853"/>
      <c r="N126" s="846"/>
      <c r="O126" s="2136"/>
      <c r="P126" s="2136"/>
      <c r="AH126" s="2143">
        <v>0</v>
      </c>
    </row>
    <row s="46808" customFormat="1" customHeight="1" ht="18.75" hidden="1">
      <c r="A127" s="2292"/>
      <c r="B127" s="2292"/>
      <c r="C127" s="881" t="s">
        <v>1270</v>
      </c>
      <c r="D127" s="2974"/>
      <c r="E127" s="2716"/>
      <c r="F127" s="2895"/>
      <c r="G127" s="2939"/>
      <c r="H127" s="2012"/>
      <c r="I127" s="1163" t="s">
        <v>1269</v>
      </c>
      <c r="J127" s="1083"/>
      <c r="K127" s="2012"/>
      <c r="L127" s="726"/>
      <c r="M127" s="853"/>
      <c r="N127" s="846"/>
      <c r="O127" s="2136"/>
      <c r="P127" s="2136"/>
      <c r="AH127" s="2143">
        <v>0</v>
      </c>
    </row>
    <row s="46808" customFormat="1" customHeight="1" ht="0.75" hidden="1">
      <c r="A128" s="2292"/>
      <c r="B128" s="2292"/>
      <c r="C128" s="881" t="s">
        <v>1277</v>
      </c>
      <c r="D128" s="2974"/>
      <c r="E128" s="2716"/>
      <c r="F128" s="2895"/>
      <c r="G128" s="912"/>
      <c r="H128" s="2012"/>
      <c r="I128" s="1163"/>
      <c r="J128" s="1083"/>
      <c r="K128" s="2012"/>
      <c r="L128" s="726"/>
      <c r="M128" s="853"/>
      <c r="N128" s="846"/>
      <c r="O128" s="2136"/>
      <c r="P128" s="2136"/>
      <c r="AH128" s="2143">
        <v>0</v>
      </c>
    </row>
    <row s="46808" customFormat="1" customHeight="1" ht="18.75" hidden="1">
      <c r="A129" s="2292" t="s">
        <v>299</v>
      </c>
      <c r="B129" s="2292" t="s">
        <v>300</v>
      </c>
      <c r="C129" s="881"/>
      <c r="D129" s="2974"/>
      <c r="E129" s="2716"/>
      <c r="F129" s="2895" t="str">
        <f>INDEX(PT_DIFFERENTIATION_VTAR,MATCH(A129,PT_DIFFERENTIATION_VTAR_ID,0))</f>
        <v>Тариф на горячую воду (горячее водоснабжение)</v>
      </c>
      <c r="G129" s="2939" t="str">
        <f>INDEX(PT_DIFFERENTIATION_NTAR,MATCH(B129,PT_DIFFERENTIATION_NTAR_ID,0))</f>
        <v/>
      </c>
      <c r="H129" s="2374"/>
      <c r="I129" s="2251"/>
      <c r="J129" s="2285"/>
      <c r="K129" s="2290"/>
      <c r="L129" s="2374" t="s">
        <v>424</v>
      </c>
      <c r="M129" s="853"/>
      <c r="N129" s="846"/>
      <c r="O129" s="2136"/>
      <c r="P129" s="2136"/>
      <c r="AH129" s="2143">
        <v>0</v>
      </c>
    </row>
    <row s="46808" customFormat="1" customHeight="1" ht="18.75" hidden="1">
      <c r="A130" s="2292"/>
      <c r="B130" s="2292"/>
      <c r="C130" s="881" t="s">
        <v>1270</v>
      </c>
      <c r="D130" s="2974"/>
      <c r="E130" s="2716"/>
      <c r="F130" s="2895"/>
      <c r="G130" s="2939"/>
      <c r="H130" s="2012"/>
      <c r="I130" s="1163" t="s">
        <v>1269</v>
      </c>
      <c r="J130" s="1083"/>
      <c r="K130" s="2012"/>
      <c r="L130" s="726"/>
      <c r="M130" s="853"/>
      <c r="N130" s="846"/>
      <c r="O130" s="2136"/>
      <c r="P130" s="2136"/>
      <c r="AH130" s="2143">
        <v>0</v>
      </c>
    </row>
    <row s="46808" customFormat="1" customHeight="1" ht="0.75" hidden="1">
      <c r="A131" s="2292"/>
      <c r="B131" s="2292"/>
      <c r="C131" s="881" t="s">
        <v>1277</v>
      </c>
      <c r="D131" s="2974"/>
      <c r="E131" s="2716"/>
      <c r="F131" s="2895"/>
      <c r="G131" s="912"/>
      <c r="H131" s="2012"/>
      <c r="I131" s="1163"/>
      <c r="J131" s="1083"/>
      <c r="K131" s="2012"/>
      <c r="L131" s="726"/>
      <c r="M131" s="853"/>
      <c r="N131" s="846"/>
      <c r="O131" s="2136"/>
      <c r="P131" s="2136"/>
      <c r="AH131" s="2143">
        <v>0</v>
      </c>
    </row>
    <row s="46808" customFormat="1" customHeight="1" ht="18.75" hidden="1">
      <c r="A132" s="2292" t="s">
        <v>304</v>
      </c>
      <c r="B132" s="2292" t="s">
        <v>305</v>
      </c>
      <c r="C132" s="881"/>
      <c r="D132" s="2974"/>
      <c r="E132" s="2716"/>
      <c r="F132" s="2895" t="str">
        <f>INDEX(PT_DIFFERENTIATION_VTAR,MATCH(A132,PT_DIFFERENTIATION_VTAR_ID,0))</f>
        <v>Тариф на транспортировку горячей воды</v>
      </c>
      <c r="G132" s="2939" t="str">
        <f>INDEX(PT_DIFFERENTIATION_NTAR,MATCH(B132,PT_DIFFERENTIATION_NTAR_ID,0))</f>
        <v/>
      </c>
      <c r="H132" s="2374"/>
      <c r="I132" s="2251"/>
      <c r="J132" s="2285"/>
      <c r="K132" s="2290"/>
      <c r="L132" s="2374" t="s">
        <v>424</v>
      </c>
      <c r="M132" s="853"/>
      <c r="N132" s="846"/>
      <c r="O132" s="2136"/>
      <c r="P132" s="2136"/>
      <c r="AH132" s="2143">
        <v>0</v>
      </c>
    </row>
    <row s="46808" customFormat="1" customHeight="1" ht="18.75" hidden="1">
      <c r="A133" s="2292"/>
      <c r="B133" s="2292"/>
      <c r="C133" s="881" t="s">
        <v>1270</v>
      </c>
      <c r="D133" s="2974"/>
      <c r="E133" s="2716"/>
      <c r="F133" s="2895"/>
      <c r="G133" s="2939"/>
      <c r="H133" s="2012"/>
      <c r="I133" s="1163" t="s">
        <v>1269</v>
      </c>
      <c r="J133" s="1083"/>
      <c r="K133" s="2012"/>
      <c r="L133" s="726"/>
      <c r="M133" s="853"/>
      <c r="N133" s="846"/>
      <c r="O133" s="2136"/>
      <c r="P133" s="2136"/>
      <c r="AH133" s="2143">
        <v>0</v>
      </c>
    </row>
    <row s="46808" customFormat="1" customHeight="1" ht="0.75" hidden="1">
      <c r="A134" s="2292"/>
      <c r="B134" s="2292"/>
      <c r="C134" s="881" t="s">
        <v>1277</v>
      </c>
      <c r="D134" s="2974"/>
      <c r="E134" s="2716"/>
      <c r="F134" s="2895"/>
      <c r="G134" s="912"/>
      <c r="H134" s="2012"/>
      <c r="I134" s="1163"/>
      <c r="J134" s="1083"/>
      <c r="K134" s="2012"/>
      <c r="L134" s="726"/>
      <c r="M134" s="853"/>
      <c r="N134" s="846"/>
      <c r="O134" s="2136"/>
      <c r="P134" s="2136"/>
      <c r="AH134" s="2143">
        <v>0</v>
      </c>
    </row>
    <row s="46808" customFormat="1" customHeight="1" ht="18.75" hidden="1">
      <c r="A135" s="2292" t="s">
        <v>309</v>
      </c>
      <c r="B135" s="2292" t="s">
        <v>310</v>
      </c>
      <c r="C135" s="881"/>
      <c r="D135" s="2974"/>
      <c r="E135" s="2716"/>
      <c r="F135" s="2895" t="str">
        <f>INDEX(PT_DIFFERENTIATION_VTAR,MATCH(A135,PT_DIFFERENTIATION_VTAR_ID,0))</f>
        <v>Тариф на подключение (технологическое присоединение) к централизованной системе горячего водоснабжения</v>
      </c>
      <c r="G135" s="2939" t="str">
        <f>INDEX(PT_DIFFERENTIATION_NTAR,MATCH(B135,PT_DIFFERENTIATION_NTAR_ID,0))</f>
        <v/>
      </c>
      <c r="H135" s="2374"/>
      <c r="I135" s="2251"/>
      <c r="J135" s="2285"/>
      <c r="K135" s="2290"/>
      <c r="L135" s="2374" t="s">
        <v>424</v>
      </c>
      <c r="M135" s="853"/>
      <c r="N135" s="846"/>
      <c r="O135" s="2136"/>
      <c r="P135" s="2136"/>
      <c r="AH135" s="2143">
        <v>0</v>
      </c>
    </row>
    <row s="46808" customFormat="1" customHeight="1" ht="18.75" hidden="1">
      <c r="A136" s="2292"/>
      <c r="B136" s="2292"/>
      <c r="C136" s="881" t="s">
        <v>1270</v>
      </c>
      <c r="D136" s="2974"/>
      <c r="E136" s="2716"/>
      <c r="F136" s="2895"/>
      <c r="G136" s="2939"/>
      <c r="H136" s="2012"/>
      <c r="I136" s="1163" t="s">
        <v>1269</v>
      </c>
      <c r="J136" s="1083"/>
      <c r="K136" s="2012"/>
      <c r="L136" s="726"/>
      <c r="M136" s="853"/>
      <c r="N136" s="846"/>
      <c r="O136" s="2136"/>
      <c r="P136" s="2136"/>
      <c r="AH136" s="2143">
        <v>0</v>
      </c>
    </row>
    <row s="46808" customFormat="1" customHeight="1" ht="0.75" hidden="1">
      <c r="A137" s="2292"/>
      <c r="B137" s="2292"/>
      <c r="C137" s="881" t="s">
        <v>1277</v>
      </c>
      <c r="D137" s="2974"/>
      <c r="E137" s="2716"/>
      <c r="F137" s="2895"/>
      <c r="G137" s="912"/>
      <c r="H137" s="2012"/>
      <c r="I137" s="1163"/>
      <c r="J137" s="1083"/>
      <c r="K137" s="2012"/>
      <c r="L137" s="726"/>
      <c r="M137" s="853"/>
      <c r="N137" s="846"/>
      <c r="O137" s="2136"/>
      <c r="P137" s="2136"/>
      <c r="AH137" s="2143">
        <v>0</v>
      </c>
    </row>
    <row s="46808" customFormat="1" customHeight="1" ht="18.75" hidden="1">
      <c r="A138" s="2292" t="s">
        <v>317</v>
      </c>
      <c r="B138" s="2292" t="s">
        <v>318</v>
      </c>
      <c r="C138" s="881"/>
      <c r="D138" s="2974"/>
      <c r="E138" s="2716"/>
      <c r="F138" s="2895" t="str">
        <f>INDEX(PT_DIFFERENTIATION_VTAR,MATCH(A138,PT_DIFFERENTIATION_VTAR_ID,0))</f>
        <v>Тариф на водоотведение</v>
      </c>
      <c r="G138" s="2939" t="str">
        <f>INDEX(PT_DIFFERENTIATION_NTAR,MATCH(B138,PT_DIFFERENTIATION_NTAR_ID,0))</f>
        <v>Тариф на водоотведение для потребителей КГУП "Примтеплоэнерго"</v>
      </c>
      <c r="H138" s="2374"/>
      <c r="I138" s="2251"/>
      <c r="J138" s="2285"/>
      <c r="K138" s="2290"/>
      <c r="L138" s="2374" t="s">
        <v>424</v>
      </c>
      <c r="M138" s="853"/>
      <c r="N138" s="846"/>
      <c r="O138" s="2136"/>
      <c r="P138" s="2136"/>
      <c r="AH138" s="2143">
        <v>0</v>
      </c>
    </row>
    <row s="46808" customFormat="1" customHeight="1" ht="18.75" hidden="1">
      <c r="A139" s="2292"/>
      <c r="B139" s="2292"/>
      <c r="C139" s="881" t="s">
        <v>1270</v>
      </c>
      <c r="D139" s="2974"/>
      <c r="E139" s="2716"/>
      <c r="F139" s="2895"/>
      <c r="G139" s="2939"/>
      <c r="H139" s="2012"/>
      <c r="I139" s="1163" t="s">
        <v>1269</v>
      </c>
      <c r="J139" s="1083"/>
      <c r="K139" s="2012"/>
      <c r="L139" s="726"/>
      <c r="M139" s="853"/>
      <c r="N139" s="846"/>
      <c r="O139" s="2136"/>
      <c r="P139" s="2136"/>
      <c r="AH139" s="2143">
        <v>0</v>
      </c>
    </row>
    <row s="46808" customFormat="1" customHeight="1" ht="0.75" hidden="1">
      <c r="A140" s="2292"/>
      <c r="B140" s="2292"/>
      <c r="C140" s="881" t="s">
        <v>1277</v>
      </c>
      <c r="D140" s="2974"/>
      <c r="E140" s="2716"/>
      <c r="F140" s="2895"/>
      <c r="G140" s="912"/>
      <c r="H140" s="2012"/>
      <c r="I140" s="1163"/>
      <c r="J140" s="1083"/>
      <c r="K140" s="2012"/>
      <c r="L140" s="726"/>
      <c r="M140" s="853"/>
      <c r="N140" s="846"/>
      <c r="O140" s="2136"/>
      <c r="P140" s="2136"/>
      <c r="AH140" s="2143">
        <v>0</v>
      </c>
    </row>
    <row s="46808" customFormat="1" customHeight="1" ht="18.75" hidden="1">
      <c r="A141" s="2292" t="s">
        <v>388</v>
      </c>
      <c r="B141" s="2292" t="s">
        <v>389</v>
      </c>
      <c r="C141" s="881"/>
      <c r="D141" s="2974"/>
      <c r="E141" s="2716"/>
      <c r="F141" s="2895" t="str">
        <f>INDEX(PT_DIFFERENTIATION_VTAR,MATCH(A141,PT_DIFFERENTIATION_VTAR_ID,0))</f>
        <v>Тариф на транспортировку сточных вод</v>
      </c>
      <c r="G141" s="2939" t="str">
        <f>INDEX(PT_DIFFERENTIATION_NTAR,MATCH(B141,PT_DIFFERENTIATION_NTAR_ID,0))</f>
        <v/>
      </c>
      <c r="H141" s="2374"/>
      <c r="I141" s="2251"/>
      <c r="J141" s="2285"/>
      <c r="K141" s="2290"/>
      <c r="L141" s="2374" t="s">
        <v>424</v>
      </c>
      <c r="M141" s="853"/>
      <c r="N141" s="846"/>
      <c r="O141" s="2136"/>
      <c r="P141" s="2136"/>
      <c r="AH141" s="2143">
        <v>0</v>
      </c>
    </row>
    <row s="46808" customFormat="1" customHeight="1" ht="18.75" hidden="1">
      <c r="A142" s="2292"/>
      <c r="B142" s="2292"/>
      <c r="C142" s="881" t="s">
        <v>1270</v>
      </c>
      <c r="D142" s="2974"/>
      <c r="E142" s="2716"/>
      <c r="F142" s="2895"/>
      <c r="G142" s="2939"/>
      <c r="H142" s="2012"/>
      <c r="I142" s="1163" t="s">
        <v>1269</v>
      </c>
      <c r="J142" s="1083"/>
      <c r="K142" s="2012"/>
      <c r="L142" s="726"/>
      <c r="M142" s="853"/>
      <c r="N142" s="846"/>
      <c r="O142" s="2136"/>
      <c r="P142" s="2136"/>
      <c r="AH142" s="2143">
        <v>0</v>
      </c>
    </row>
    <row s="46808" customFormat="1" customHeight="1" ht="0.75" hidden="1">
      <c r="A143" s="2292"/>
      <c r="B143" s="2292"/>
      <c r="C143" s="881" t="s">
        <v>1277</v>
      </c>
      <c r="D143" s="2974"/>
      <c r="E143" s="2716"/>
      <c r="F143" s="2895"/>
      <c r="G143" s="912"/>
      <c r="H143" s="2012"/>
      <c r="I143" s="1163"/>
      <c r="J143" s="1083"/>
      <c r="K143" s="2012"/>
      <c r="L143" s="726"/>
      <c r="M143" s="853"/>
      <c r="N143" s="846"/>
      <c r="O143" s="2136"/>
      <c r="P143" s="2136"/>
      <c r="AH143" s="2143">
        <v>0</v>
      </c>
    </row>
    <row s="46808" customFormat="1" customHeight="1" ht="18.75" hidden="1">
      <c r="A144" s="2292" t="s">
        <v>393</v>
      </c>
      <c r="B144" s="2292" t="s">
        <v>394</v>
      </c>
      <c r="C144" s="881"/>
      <c r="D144" s="2974"/>
      <c r="E144" s="2716"/>
      <c r="F144" s="2895" t="str">
        <f>INDEX(PT_DIFFERENTIATION_VTAR,MATCH(A144,PT_DIFFERENTIATION_VTAR_ID,0))</f>
        <v>Тариф на подключение (технологическое присоединение) к централизованной системе водоотведения</v>
      </c>
      <c r="G144" s="2939" t="str">
        <f>INDEX(PT_DIFFERENTIATION_NTAR,MATCH(B144,PT_DIFFERENTIATION_NTAR_ID,0))</f>
        <v/>
      </c>
      <c r="H144" s="2374"/>
      <c r="I144" s="2251"/>
      <c r="J144" s="2285"/>
      <c r="K144" s="2290"/>
      <c r="L144" s="2374" t="s">
        <v>424</v>
      </c>
      <c r="M144" s="853"/>
      <c r="N144" s="846"/>
      <c r="O144" s="2136"/>
      <c r="P144" s="2136"/>
      <c r="AH144" s="2143">
        <v>0</v>
      </c>
    </row>
    <row s="46808" customFormat="1" customHeight="1" ht="18.75" hidden="1">
      <c r="A145" s="2292"/>
      <c r="B145" s="2292"/>
      <c r="C145" s="881" t="s">
        <v>1270</v>
      </c>
      <c r="D145" s="2974"/>
      <c r="E145" s="2716"/>
      <c r="F145" s="2895"/>
      <c r="G145" s="2939"/>
      <c r="H145" s="2012"/>
      <c r="I145" s="1163" t="s">
        <v>1269</v>
      </c>
      <c r="J145" s="1083"/>
      <c r="K145" s="2012"/>
      <c r="L145" s="726"/>
      <c r="M145" s="853"/>
      <c r="N145" s="846"/>
      <c r="O145" s="2136"/>
      <c r="P145" s="2136"/>
      <c r="AH145" s="2143">
        <v>0</v>
      </c>
    </row>
    <row s="46808" customFormat="1" customHeight="1" ht="1.05">
      <c r="A146" s="2292"/>
      <c r="B146" s="2292"/>
      <c r="C146" s="881" t="s">
        <v>1277</v>
      </c>
      <c r="D146" s="2974"/>
      <c r="E146" s="2716"/>
      <c r="F146" s="2895"/>
      <c r="G146" s="912"/>
      <c r="H146" s="2012"/>
      <c r="I146" s="1163"/>
      <c r="J146" s="1083"/>
      <c r="K146" s="2012"/>
      <c r="L146" s="726"/>
      <c r="M146" s="853"/>
      <c r="N146" s="846"/>
      <c r="O146" s="2136"/>
      <c r="P146" s="2136"/>
      <c r="AH146" s="2143">
        <v>1</v>
      </c>
    </row>
    <row customHeight="1" ht="19.95">
      <c r="A147" s="2292"/>
      <c r="B147" s="2292"/>
      <c r="D147" s="888"/>
      <c r="E147" s="659" t="s">
        <v>93</v>
      </c>
      <c r="F147" s="2972"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принятых сточных вод</v>
      </c>
      <c r="G147" s="2972"/>
      <c r="H147" s="2972"/>
      <c r="I147" s="2972"/>
      <c r="J147" s="2972"/>
      <c r="K147" s="2972"/>
      <c r="L147" s="2972"/>
      <c r="M147" s="809"/>
      <c r="N147" s="846"/>
      <c r="AH147" s="886">
        <v>19</v>
      </c>
    </row>
    <row s="46808" customFormat="1" customHeight="1" ht="60.75" hidden="1">
      <c r="A148" s="2292" t="s">
        <v>206</v>
      </c>
      <c r="B148" s="2292" t="s">
        <v>207</v>
      </c>
      <c r="C148" s="881"/>
      <c r="D148" s="2974"/>
      <c r="E148" s="2716"/>
      <c r="F148" s="2895"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939" t="str">
        <f>INDEX(PT_DIFFERENTIATION_NTAR,MATCH(B148,PT_DIFFERENTIATION_NTAR_ID,0))</f>
        <v/>
      </c>
      <c r="H148" s="2374"/>
      <c r="I148" s="2251"/>
      <c r="J148" s="2285"/>
      <c r="K148" s="2290"/>
      <c r="L148" s="2374" t="s">
        <v>424</v>
      </c>
      <c r="M148" s="268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846"/>
      <c r="O148" s="2136"/>
      <c r="P148" s="2136"/>
      <c r="AH148" s="2143">
        <v>0</v>
      </c>
    </row>
    <row s="46808" customFormat="1" customHeight="1" ht="18.75" hidden="1">
      <c r="A149" s="2292"/>
      <c r="B149" s="2292"/>
      <c r="C149" s="881" t="s">
        <v>1270</v>
      </c>
      <c r="D149" s="2974"/>
      <c r="E149" s="2716"/>
      <c r="F149" s="2895"/>
      <c r="G149" s="2939"/>
      <c r="H149" s="2012"/>
      <c r="I149" s="1163" t="s">
        <v>1269</v>
      </c>
      <c r="J149" s="1083"/>
      <c r="K149" s="2012"/>
      <c r="L149" s="726"/>
      <c r="M149" s="2682"/>
      <c r="N149" s="846"/>
      <c r="O149" s="2136"/>
      <c r="P149" s="2136"/>
      <c r="AH149" s="2143">
        <v>0</v>
      </c>
    </row>
    <row s="46808" customFormat="1" customHeight="1" ht="0.75" hidden="1">
      <c r="A150" s="2292"/>
      <c r="B150" s="2292"/>
      <c r="C150" s="881" t="s">
        <v>1277</v>
      </c>
      <c r="D150" s="2974"/>
      <c r="E150" s="2716"/>
      <c r="F150" s="2895"/>
      <c r="G150" s="912"/>
      <c r="H150" s="2012"/>
      <c r="I150" s="1163"/>
      <c r="J150" s="1083"/>
      <c r="K150" s="2012"/>
      <c r="L150" s="726"/>
      <c r="M150" s="2682"/>
      <c r="N150" s="846"/>
      <c r="O150" s="2136"/>
      <c r="P150" s="2136"/>
      <c r="AH150" s="2143">
        <v>0</v>
      </c>
    </row>
    <row s="46808" customFormat="1" customHeight="1" ht="45" hidden="1">
      <c r="A151" s="2292" t="s">
        <v>211</v>
      </c>
      <c r="B151" s="2292" t="s">
        <v>212</v>
      </c>
      <c r="C151" s="881"/>
      <c r="D151" s="2974"/>
      <c r="E151" s="2716"/>
      <c r="F151" s="2895" t="str">
        <f>INDEX(PT_DIFFERENTIATION_VTAR,MATCH(A151,PT_DIFFERENTIATION_VTAR_ID,0))</f>
        <v/>
      </c>
      <c r="G151" s="2939" t="str">
        <f>INDEX(PT_DIFFERENTIATION_NTAR,MATCH(B151,PT_DIFFERENTIATION_NTAR_ID,0))</f>
        <v/>
      </c>
      <c r="H151" s="2374"/>
      <c r="I151" s="2251"/>
      <c r="J151" s="2285"/>
      <c r="K151" s="2290"/>
      <c r="L151" s="2374" t="s">
        <v>424</v>
      </c>
      <c r="M151" s="2683"/>
      <c r="N151" s="846"/>
      <c r="O151" s="2136"/>
      <c r="P151" s="2136"/>
      <c r="AH151" s="2143">
        <v>0</v>
      </c>
    </row>
    <row s="46808" customFormat="1" customHeight="1" ht="18.75" hidden="1">
      <c r="A152" s="2292"/>
      <c r="B152" s="2292"/>
      <c r="C152" s="881" t="s">
        <v>1270</v>
      </c>
      <c r="D152" s="2974"/>
      <c r="E152" s="2716"/>
      <c r="F152" s="2895"/>
      <c r="G152" s="2939"/>
      <c r="H152" s="2012"/>
      <c r="I152" s="1163" t="s">
        <v>1269</v>
      </c>
      <c r="J152" s="1083"/>
      <c r="K152" s="2012"/>
      <c r="L152" s="726"/>
      <c r="M152" s="2373"/>
      <c r="N152" s="846"/>
      <c r="O152" s="2136"/>
      <c r="P152" s="2136"/>
      <c r="AH152" s="2143">
        <v>0</v>
      </c>
    </row>
    <row s="46808" customFormat="1" customHeight="1" ht="0.75" hidden="1">
      <c r="A153" s="2292"/>
      <c r="B153" s="2292"/>
      <c r="C153" s="881" t="s">
        <v>1277</v>
      </c>
      <c r="D153" s="2974"/>
      <c r="E153" s="2716"/>
      <c r="F153" s="2895"/>
      <c r="G153" s="912"/>
      <c r="H153" s="2012"/>
      <c r="I153" s="1163"/>
      <c r="J153" s="1083"/>
      <c r="K153" s="2012"/>
      <c r="L153" s="726"/>
      <c r="M153" s="853"/>
      <c r="N153" s="846"/>
      <c r="O153" s="2136"/>
      <c r="P153" s="2136"/>
      <c r="AH153" s="2143">
        <v>0</v>
      </c>
    </row>
    <row s="46808" customFormat="1" customHeight="1" ht="45" hidden="1">
      <c r="A154" s="2292" t="s">
        <v>218</v>
      </c>
      <c r="B154" s="2292" t="s">
        <v>219</v>
      </c>
      <c r="C154" s="881"/>
      <c r="D154" s="2974"/>
      <c r="E154" s="2716"/>
      <c r="F154" s="2895"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939" t="str">
        <f>INDEX(PT_DIFFERENTIATION_NTAR,MATCH(B154,PT_DIFFERENTIATION_NTAR_ID,0))</f>
        <v/>
      </c>
      <c r="H154" s="2374"/>
      <c r="I154" s="2251"/>
      <c r="J154" s="2285"/>
      <c r="K154" s="2290"/>
      <c r="L154" s="2374" t="s">
        <v>424</v>
      </c>
      <c r="M154" s="853"/>
      <c r="N154" s="846"/>
      <c r="O154" s="2136"/>
      <c r="P154" s="2136"/>
      <c r="AH154" s="2143">
        <v>0</v>
      </c>
    </row>
    <row s="46808" customFormat="1" customHeight="1" ht="18.75" hidden="1">
      <c r="A155" s="2292"/>
      <c r="B155" s="2292"/>
      <c r="C155" s="881" t="s">
        <v>1270</v>
      </c>
      <c r="D155" s="2974"/>
      <c r="E155" s="2716"/>
      <c r="F155" s="2895"/>
      <c r="G155" s="2939"/>
      <c r="H155" s="2012"/>
      <c r="I155" s="1163" t="s">
        <v>1269</v>
      </c>
      <c r="J155" s="1083"/>
      <c r="K155" s="2012"/>
      <c r="L155" s="726"/>
      <c r="M155" s="853"/>
      <c r="N155" s="846"/>
      <c r="O155" s="2136"/>
      <c r="P155" s="2136"/>
      <c r="AH155" s="2143">
        <v>0</v>
      </c>
    </row>
    <row s="46808" customFormat="1" customHeight="1" ht="0.75" hidden="1">
      <c r="A156" s="2292"/>
      <c r="B156" s="2292"/>
      <c r="C156" s="881" t="s">
        <v>1277</v>
      </c>
      <c r="D156" s="2974"/>
      <c r="E156" s="2716"/>
      <c r="F156" s="2895"/>
      <c r="G156" s="912"/>
      <c r="H156" s="2012"/>
      <c r="I156" s="1163"/>
      <c r="J156" s="1083"/>
      <c r="K156" s="2012"/>
      <c r="L156" s="726"/>
      <c r="M156" s="853"/>
      <c r="N156" s="846"/>
      <c r="O156" s="2136"/>
      <c r="P156" s="2136"/>
      <c r="AH156" s="2143">
        <v>0</v>
      </c>
    </row>
    <row s="46808" customFormat="1" customHeight="1" ht="45" hidden="1">
      <c r="A157" s="2292" t="s">
        <v>224</v>
      </c>
      <c r="B157" s="2292" t="s">
        <v>225</v>
      </c>
      <c r="C157" s="881"/>
      <c r="D157" s="2974"/>
      <c r="E157" s="2716"/>
      <c r="F157" s="2895"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939" t="str">
        <f>INDEX(PT_DIFFERENTIATION_NTAR,MATCH(B157,PT_DIFFERENTIATION_NTAR_ID,0))</f>
        <v/>
      </c>
      <c r="H157" s="2374"/>
      <c r="I157" s="2251"/>
      <c r="J157" s="2285"/>
      <c r="K157" s="2290"/>
      <c r="L157" s="2374" t="s">
        <v>424</v>
      </c>
      <c r="M157" s="853"/>
      <c r="N157" s="846"/>
      <c r="O157" s="2136"/>
      <c r="P157" s="2136"/>
      <c r="AH157" s="2143">
        <v>0</v>
      </c>
    </row>
    <row s="46808" customFormat="1" customHeight="1" ht="18.75" hidden="1">
      <c r="A158" s="2292"/>
      <c r="B158" s="2292"/>
      <c r="C158" s="881" t="s">
        <v>1270</v>
      </c>
      <c r="D158" s="2974"/>
      <c r="E158" s="2716"/>
      <c r="F158" s="2895"/>
      <c r="G158" s="2939"/>
      <c r="H158" s="2012"/>
      <c r="I158" s="1163" t="s">
        <v>1269</v>
      </c>
      <c r="J158" s="1083"/>
      <c r="K158" s="2012"/>
      <c r="L158" s="726"/>
      <c r="M158" s="853"/>
      <c r="N158" s="846"/>
      <c r="O158" s="2136"/>
      <c r="P158" s="2136"/>
      <c r="AH158" s="2143">
        <v>0</v>
      </c>
    </row>
    <row s="46808" customFormat="1" customHeight="1" ht="0.75" hidden="1">
      <c r="A159" s="2292"/>
      <c r="B159" s="2292"/>
      <c r="C159" s="881" t="s">
        <v>1277</v>
      </c>
      <c r="D159" s="2974"/>
      <c r="E159" s="2716"/>
      <c r="F159" s="2895"/>
      <c r="G159" s="912"/>
      <c r="H159" s="2012"/>
      <c r="I159" s="1163"/>
      <c r="J159" s="1083"/>
      <c r="K159" s="2012"/>
      <c r="L159" s="726"/>
      <c r="M159" s="853"/>
      <c r="N159" s="846"/>
      <c r="O159" s="2136"/>
      <c r="P159" s="2136"/>
      <c r="AH159" s="2143">
        <v>0</v>
      </c>
    </row>
    <row s="46808" customFormat="1" customHeight="1" ht="18.75" hidden="1">
      <c r="A160" s="2292" t="s">
        <v>230</v>
      </c>
      <c r="B160" s="2292" t="s">
        <v>231</v>
      </c>
      <c r="C160" s="881"/>
      <c r="D160" s="2974"/>
      <c r="E160" s="2716"/>
      <c r="F160" s="2895" t="str">
        <f>INDEX(PT_DIFFERENTIATION_VTAR,MATCH(A160,PT_DIFFERENTIATION_VTAR_ID,0))</f>
        <v>Тарифы на услуги по передаче тепловой энергии</v>
      </c>
      <c r="G160" s="2939" t="str">
        <f>INDEX(PT_DIFFERENTIATION_NTAR,MATCH(B160,PT_DIFFERENTIATION_NTAR_ID,0))</f>
        <v/>
      </c>
      <c r="H160" s="2374"/>
      <c r="I160" s="2251"/>
      <c r="J160" s="2285"/>
      <c r="K160" s="2290"/>
      <c r="L160" s="2374" t="s">
        <v>424</v>
      </c>
      <c r="M160" s="853"/>
      <c r="N160" s="846"/>
      <c r="O160" s="2136"/>
      <c r="P160" s="2136"/>
      <c r="AH160" s="2143">
        <v>0</v>
      </c>
    </row>
    <row s="46808" customFormat="1" customHeight="1" ht="18.75" hidden="1">
      <c r="A161" s="2292"/>
      <c r="B161" s="2292"/>
      <c r="C161" s="881" t="s">
        <v>1270</v>
      </c>
      <c r="D161" s="2974"/>
      <c r="E161" s="2716"/>
      <c r="F161" s="2895"/>
      <c r="G161" s="2939"/>
      <c r="H161" s="2012"/>
      <c r="I161" s="1163" t="s">
        <v>1269</v>
      </c>
      <c r="J161" s="1083"/>
      <c r="K161" s="2012"/>
      <c r="L161" s="726"/>
      <c r="M161" s="853"/>
      <c r="N161" s="846"/>
      <c r="O161" s="2136"/>
      <c r="P161" s="2136"/>
      <c r="AH161" s="2143">
        <v>0</v>
      </c>
    </row>
    <row s="46808" customFormat="1" customHeight="1" ht="0.75" hidden="1">
      <c r="A162" s="2292"/>
      <c r="B162" s="2292"/>
      <c r="C162" s="881" t="s">
        <v>1277</v>
      </c>
      <c r="D162" s="2974"/>
      <c r="E162" s="2716"/>
      <c r="F162" s="2895"/>
      <c r="G162" s="912"/>
      <c r="H162" s="2012"/>
      <c r="I162" s="1163"/>
      <c r="J162" s="1083"/>
      <c r="K162" s="2012"/>
      <c r="L162" s="726"/>
      <c r="M162" s="853"/>
      <c r="N162" s="846"/>
      <c r="O162" s="2136"/>
      <c r="P162" s="2136"/>
      <c r="AH162" s="2143">
        <v>0</v>
      </c>
    </row>
    <row s="46808" customFormat="1" customHeight="1" ht="18.75" hidden="1">
      <c r="A163" s="2292" t="s">
        <v>236</v>
      </c>
      <c r="B163" s="2292" t="s">
        <v>237</v>
      </c>
      <c r="C163" s="881"/>
      <c r="D163" s="2974"/>
      <c r="E163" s="2716"/>
      <c r="F163" s="2895" t="str">
        <f>INDEX(PT_DIFFERENTIATION_VTAR,MATCH(A163,PT_DIFFERENTIATION_VTAR_ID,0))</f>
        <v>Тарифы на услуги по передаче теплоносителя</v>
      </c>
      <c r="G163" s="2939" t="str">
        <f>INDEX(PT_DIFFERENTIATION_NTAR,MATCH(B163,PT_DIFFERENTIATION_NTAR_ID,0))</f>
        <v/>
      </c>
      <c r="H163" s="2374"/>
      <c r="I163" s="2251"/>
      <c r="J163" s="2285"/>
      <c r="K163" s="2290"/>
      <c r="L163" s="2374" t="s">
        <v>424</v>
      </c>
      <c r="M163" s="853"/>
      <c r="N163" s="846"/>
      <c r="O163" s="2136"/>
      <c r="P163" s="2136"/>
      <c r="AH163" s="2143">
        <v>0</v>
      </c>
    </row>
    <row s="46808" customFormat="1" customHeight="1" ht="18.75" hidden="1">
      <c r="A164" s="2292"/>
      <c r="B164" s="2292"/>
      <c r="C164" s="881" t="s">
        <v>1270</v>
      </c>
      <c r="D164" s="2974"/>
      <c r="E164" s="2716"/>
      <c r="F164" s="2895"/>
      <c r="G164" s="2939"/>
      <c r="H164" s="2012"/>
      <c r="I164" s="1163" t="s">
        <v>1269</v>
      </c>
      <c r="J164" s="1083"/>
      <c r="K164" s="2012"/>
      <c r="L164" s="726"/>
      <c r="M164" s="853"/>
      <c r="N164" s="846"/>
      <c r="O164" s="2136"/>
      <c r="P164" s="2136"/>
      <c r="AH164" s="2143">
        <v>0</v>
      </c>
    </row>
    <row s="46808" customFormat="1" customHeight="1" ht="0.75" hidden="1">
      <c r="A165" s="2292"/>
      <c r="B165" s="2292"/>
      <c r="C165" s="881" t="s">
        <v>1277</v>
      </c>
      <c r="D165" s="2974"/>
      <c r="E165" s="2716"/>
      <c r="F165" s="2895"/>
      <c r="G165" s="912"/>
      <c r="H165" s="2012"/>
      <c r="I165" s="1163"/>
      <c r="J165" s="1083"/>
      <c r="K165" s="2012"/>
      <c r="L165" s="726"/>
      <c r="M165" s="853"/>
      <c r="N165" s="846"/>
      <c r="O165" s="2136"/>
      <c r="P165" s="2136"/>
      <c r="AH165" s="2143">
        <v>0</v>
      </c>
    </row>
    <row s="46808" customFormat="1" customHeight="1" ht="18.75" hidden="1">
      <c r="A166" s="2292" t="s">
        <v>242</v>
      </c>
      <c r="B166" s="2292" t="s">
        <v>243</v>
      </c>
      <c r="C166" s="881"/>
      <c r="D166" s="2974"/>
      <c r="E166" s="2716"/>
      <c r="F166" s="2895"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939" t="str">
        <f>INDEX(PT_DIFFERENTIATION_NTAR,MATCH(B166,PT_DIFFERENTIATION_NTAR_ID,0))</f>
        <v/>
      </c>
      <c r="H166" s="2374"/>
      <c r="I166" s="2251"/>
      <c r="J166" s="2285"/>
      <c r="K166" s="2290"/>
      <c r="L166" s="2374" t="s">
        <v>424</v>
      </c>
      <c r="M166" s="853"/>
      <c r="N166" s="846"/>
      <c r="O166" s="2136"/>
      <c r="P166" s="2136"/>
      <c r="AH166" s="2143">
        <v>0</v>
      </c>
    </row>
    <row s="46808" customFormat="1" customHeight="1" ht="18.75" hidden="1">
      <c r="A167" s="2292"/>
      <c r="B167" s="2292"/>
      <c r="C167" s="881" t="s">
        <v>1270</v>
      </c>
      <c r="D167" s="2974"/>
      <c r="E167" s="2716"/>
      <c r="F167" s="2895"/>
      <c r="G167" s="2939"/>
      <c r="H167" s="2012"/>
      <c r="I167" s="1163" t="s">
        <v>1269</v>
      </c>
      <c r="J167" s="1083"/>
      <c r="K167" s="2012"/>
      <c r="L167" s="726"/>
      <c r="M167" s="853"/>
      <c r="N167" s="846"/>
      <c r="O167" s="2136"/>
      <c r="P167" s="2136"/>
      <c r="AH167" s="2143">
        <v>0</v>
      </c>
    </row>
    <row s="46808" customFormat="1" customHeight="1" ht="0.75" hidden="1">
      <c r="A168" s="2292"/>
      <c r="B168" s="2292"/>
      <c r="C168" s="881" t="s">
        <v>1277</v>
      </c>
      <c r="D168" s="2974"/>
      <c r="E168" s="2716"/>
      <c r="F168" s="2895"/>
      <c r="G168" s="912"/>
      <c r="H168" s="2012"/>
      <c r="I168" s="1163"/>
      <c r="J168" s="1083"/>
      <c r="K168" s="2012"/>
      <c r="L168" s="726"/>
      <c r="M168" s="853"/>
      <c r="N168" s="846"/>
      <c r="O168" s="2136"/>
      <c r="P168" s="2136"/>
      <c r="AH168" s="2143">
        <v>0</v>
      </c>
    </row>
    <row s="46808" customFormat="1" customHeight="1" ht="18.75" hidden="1">
      <c r="A169" s="2292" t="s">
        <v>248</v>
      </c>
      <c r="B169" s="2292" t="s">
        <v>249</v>
      </c>
      <c r="C169" s="881"/>
      <c r="D169" s="2974"/>
      <c r="E169" s="2716"/>
      <c r="F169" s="2895" t="str">
        <f>INDEX(PT_DIFFERENTIATION_VTAR,MATCH(A169,PT_DIFFERENTIATION_VTAR_ID,0))</f>
        <v>Плата за подключение (технологическое присоединение) к системе теплоснабжения</v>
      </c>
      <c r="G169" s="2939" t="str">
        <f>INDEX(PT_DIFFERENTIATION_NTAR,MATCH(B169,PT_DIFFERENTIATION_NTAR_ID,0))</f>
        <v/>
      </c>
      <c r="H169" s="2374"/>
      <c r="I169" s="2251"/>
      <c r="J169" s="2285"/>
      <c r="K169" s="2290"/>
      <c r="L169" s="2374" t="s">
        <v>424</v>
      </c>
      <c r="M169" s="853"/>
      <c r="N169" s="846"/>
      <c r="O169" s="2136"/>
      <c r="P169" s="2136"/>
      <c r="AH169" s="2143">
        <v>0</v>
      </c>
    </row>
    <row s="46808" customFormat="1" customHeight="1" ht="18.75" hidden="1">
      <c r="A170" s="2292"/>
      <c r="B170" s="2292"/>
      <c r="C170" s="881" t="s">
        <v>1270</v>
      </c>
      <c r="D170" s="2974"/>
      <c r="E170" s="2716"/>
      <c r="F170" s="2895"/>
      <c r="G170" s="2939"/>
      <c r="H170" s="2012"/>
      <c r="I170" s="1163" t="s">
        <v>1269</v>
      </c>
      <c r="J170" s="1083"/>
      <c r="K170" s="2012"/>
      <c r="L170" s="726"/>
      <c r="M170" s="853"/>
      <c r="N170" s="846"/>
      <c r="O170" s="2136"/>
      <c r="P170" s="2136"/>
      <c r="AH170" s="2143">
        <v>0</v>
      </c>
    </row>
    <row s="46808" customFormat="1" customHeight="1" ht="0.75" hidden="1">
      <c r="A171" s="2292"/>
      <c r="B171" s="2292"/>
      <c r="C171" s="881" t="s">
        <v>1277</v>
      </c>
      <c r="D171" s="2974"/>
      <c r="E171" s="2716"/>
      <c r="F171" s="2895"/>
      <c r="G171" s="912"/>
      <c r="H171" s="2012"/>
      <c r="I171" s="1163"/>
      <c r="J171" s="1083"/>
      <c r="K171" s="2012"/>
      <c r="L171" s="726"/>
      <c r="M171" s="853"/>
      <c r="N171" s="846"/>
      <c r="O171" s="2136"/>
      <c r="P171" s="2136"/>
      <c r="AH171" s="2143">
        <v>0</v>
      </c>
    </row>
    <row s="46808" customFormat="1" customHeight="1" ht="18.75" hidden="1">
      <c r="A172" s="2292" t="s">
        <v>254</v>
      </c>
      <c r="B172" s="2292" t="s">
        <v>255</v>
      </c>
      <c r="C172" s="881"/>
      <c r="D172" s="2974"/>
      <c r="E172" s="2716"/>
      <c r="F172" s="2895" t="str">
        <f>INDEX(PT_DIFFERENTIATION_VTAR,MATCH(A172,PT_DIFFERENTIATION_VTAR_ID,0))</f>
        <v>Плата за подключение (технологическое присоединение) к системе теплоснабжения (индивидуальная)</v>
      </c>
      <c r="G172" s="2939" t="str">
        <f>INDEX(PT_DIFFERENTIATION_NTAR,MATCH(B172,PT_DIFFERENTIATION_NTAR_ID,0))</f>
        <v/>
      </c>
      <c r="H172" s="2501"/>
      <c r="I172" s="2251"/>
      <c r="J172" s="2285"/>
      <c r="K172" s="2290"/>
      <c r="L172" s="2501" t="s">
        <v>424</v>
      </c>
      <c r="M172" s="853"/>
      <c r="N172" s="846"/>
      <c r="O172" s="2136"/>
      <c r="P172" s="2136"/>
      <c r="AH172" s="2143">
        <v>0</v>
      </c>
    </row>
    <row s="46808" customFormat="1" customHeight="1" ht="18.75" hidden="1">
      <c r="A173" s="2292"/>
      <c r="B173" s="2292"/>
      <c r="C173" s="881" t="s">
        <v>1270</v>
      </c>
      <c r="D173" s="2974"/>
      <c r="E173" s="2716"/>
      <c r="F173" s="2895"/>
      <c r="G173" s="2939"/>
      <c r="H173" s="2012"/>
      <c r="I173" s="1163" t="s">
        <v>1269</v>
      </c>
      <c r="J173" s="1083"/>
      <c r="K173" s="2012"/>
      <c r="L173" s="726"/>
      <c r="M173" s="853"/>
      <c r="N173" s="846"/>
      <c r="O173" s="2136"/>
      <c r="P173" s="2136"/>
      <c r="AH173" s="2143">
        <v>0</v>
      </c>
    </row>
    <row s="46808" customFormat="1" customHeight="1" ht="0.75" hidden="1">
      <c r="A174" s="2292"/>
      <c r="B174" s="2292"/>
      <c r="C174" s="881" t="s">
        <v>1277</v>
      </c>
      <c r="D174" s="2974"/>
      <c r="E174" s="2716"/>
      <c r="F174" s="2895"/>
      <c r="G174" s="912"/>
      <c r="H174" s="2012"/>
      <c r="I174" s="1163"/>
      <c r="J174" s="1083"/>
      <c r="K174" s="2012"/>
      <c r="L174" s="726"/>
      <c r="M174" s="853"/>
      <c r="N174" s="846"/>
      <c r="O174" s="2136"/>
      <c r="P174" s="2136"/>
      <c r="AH174" s="2143">
        <v>0</v>
      </c>
    </row>
    <row s="46808" customFormat="1" customHeight="1" ht="18.75" hidden="1">
      <c r="A175" s="2292" t="s">
        <v>274</v>
      </c>
      <c r="B175" s="2292" t="s">
        <v>275</v>
      </c>
      <c r="C175" s="881"/>
      <c r="D175" s="2974"/>
      <c r="E175" s="2716"/>
      <c r="F175" s="2895" t="str">
        <f>INDEX(PT_DIFFERENTIATION_VTAR,MATCH(A175,PT_DIFFERENTIATION_VTAR_ID,0))</f>
        <v>Тариф на питьевую воду (питьевое водоснабжение)</v>
      </c>
      <c r="G175" s="2939" t="str">
        <f>INDEX(PT_DIFFERENTIATION_NTAR,MATCH(B175,PT_DIFFERENTIATION_NTAR_ID,0))</f>
        <v/>
      </c>
      <c r="H175" s="2374"/>
      <c r="I175" s="2251"/>
      <c r="J175" s="2285"/>
      <c r="K175" s="2290"/>
      <c r="L175" s="2374" t="s">
        <v>424</v>
      </c>
      <c r="M175" s="853"/>
      <c r="N175" s="846"/>
      <c r="O175" s="2136"/>
      <c r="P175" s="2136"/>
      <c r="AH175" s="2143">
        <v>0</v>
      </c>
    </row>
    <row s="46808" customFormat="1" customHeight="1" ht="18.75" hidden="1">
      <c r="A176" s="2292"/>
      <c r="B176" s="2292"/>
      <c r="C176" s="881" t="s">
        <v>1270</v>
      </c>
      <c r="D176" s="2974"/>
      <c r="E176" s="2716"/>
      <c r="F176" s="2895"/>
      <c r="G176" s="2939"/>
      <c r="H176" s="2012"/>
      <c r="I176" s="1163" t="s">
        <v>1269</v>
      </c>
      <c r="J176" s="1083"/>
      <c r="K176" s="2012"/>
      <c r="L176" s="726"/>
      <c r="M176" s="853"/>
      <c r="N176" s="846"/>
      <c r="O176" s="2136"/>
      <c r="P176" s="2136"/>
      <c r="AH176" s="2143">
        <v>0</v>
      </c>
    </row>
    <row s="46808" customFormat="1" customHeight="1" ht="0.75" hidden="1">
      <c r="A177" s="2292"/>
      <c r="B177" s="2292"/>
      <c r="C177" s="881" t="s">
        <v>1277</v>
      </c>
      <c r="D177" s="2974"/>
      <c r="E177" s="2716"/>
      <c r="F177" s="2895"/>
      <c r="G177" s="912"/>
      <c r="H177" s="2012"/>
      <c r="I177" s="1163"/>
      <c r="J177" s="1083"/>
      <c r="K177" s="2012"/>
      <c r="L177" s="726"/>
      <c r="M177" s="853"/>
      <c r="N177" s="846"/>
      <c r="O177" s="2136"/>
      <c r="P177" s="2136"/>
      <c r="AH177" s="2143">
        <v>0</v>
      </c>
    </row>
    <row s="46808" customFormat="1" customHeight="1" ht="18.75" hidden="1">
      <c r="A178" s="2292" t="s">
        <v>279</v>
      </c>
      <c r="B178" s="2292" t="s">
        <v>280</v>
      </c>
      <c r="C178" s="881"/>
      <c r="D178" s="2974"/>
      <c r="E178" s="2716"/>
      <c r="F178" s="2895" t="str">
        <f>INDEX(PT_DIFFERENTIATION_VTAR,MATCH(A178,PT_DIFFERENTIATION_VTAR_ID,0))</f>
        <v>Тариф на техническую воду</v>
      </c>
      <c r="G178" s="2939" t="str">
        <f>INDEX(PT_DIFFERENTIATION_NTAR,MATCH(B178,PT_DIFFERENTIATION_NTAR_ID,0))</f>
        <v/>
      </c>
      <c r="H178" s="2374"/>
      <c r="I178" s="2251"/>
      <c r="J178" s="2285"/>
      <c r="K178" s="2290"/>
      <c r="L178" s="2374" t="s">
        <v>424</v>
      </c>
      <c r="M178" s="853"/>
      <c r="N178" s="846"/>
      <c r="O178" s="2136"/>
      <c r="P178" s="2136"/>
      <c r="AH178" s="2143">
        <v>0</v>
      </c>
    </row>
    <row s="46808" customFormat="1" customHeight="1" ht="18.75" hidden="1">
      <c r="A179" s="2292"/>
      <c r="B179" s="2292"/>
      <c r="C179" s="881" t="s">
        <v>1270</v>
      </c>
      <c r="D179" s="2974"/>
      <c r="E179" s="2716"/>
      <c r="F179" s="2895"/>
      <c r="G179" s="2939"/>
      <c r="H179" s="2012"/>
      <c r="I179" s="1163" t="s">
        <v>1269</v>
      </c>
      <c r="J179" s="1083"/>
      <c r="K179" s="2012"/>
      <c r="L179" s="726"/>
      <c r="M179" s="853"/>
      <c r="N179" s="846"/>
      <c r="O179" s="2136"/>
      <c r="P179" s="2136"/>
      <c r="AH179" s="2143">
        <v>0</v>
      </c>
    </row>
    <row s="46808" customFormat="1" customHeight="1" ht="0.75" hidden="1">
      <c r="A180" s="2292"/>
      <c r="B180" s="2292"/>
      <c r="C180" s="881" t="s">
        <v>1277</v>
      </c>
      <c r="D180" s="2974"/>
      <c r="E180" s="2716"/>
      <c r="F180" s="2895"/>
      <c r="G180" s="912"/>
      <c r="H180" s="2012"/>
      <c r="I180" s="1163"/>
      <c r="J180" s="1083"/>
      <c r="K180" s="2012"/>
      <c r="L180" s="726"/>
      <c r="M180" s="853"/>
      <c r="N180" s="846"/>
      <c r="O180" s="2136"/>
      <c r="P180" s="2136"/>
      <c r="AH180" s="2143">
        <v>0</v>
      </c>
    </row>
    <row s="46808" customFormat="1" customHeight="1" ht="18.75" hidden="1">
      <c r="A181" s="2292" t="s">
        <v>284</v>
      </c>
      <c r="B181" s="2292" t="s">
        <v>285</v>
      </c>
      <c r="C181" s="881"/>
      <c r="D181" s="2974"/>
      <c r="E181" s="2716"/>
      <c r="F181" s="2895" t="str">
        <f>INDEX(PT_DIFFERENTIATION_VTAR,MATCH(A181,PT_DIFFERENTIATION_VTAR_ID,0))</f>
        <v>Тариф на транспортировку воды</v>
      </c>
      <c r="G181" s="2939" t="str">
        <f>INDEX(PT_DIFFERENTIATION_NTAR,MATCH(B181,PT_DIFFERENTIATION_NTAR_ID,0))</f>
        <v/>
      </c>
      <c r="H181" s="2374"/>
      <c r="I181" s="2251"/>
      <c r="J181" s="2285"/>
      <c r="K181" s="2290"/>
      <c r="L181" s="2374" t="s">
        <v>424</v>
      </c>
      <c r="M181" s="853"/>
      <c r="N181" s="846"/>
      <c r="O181" s="2136"/>
      <c r="P181" s="2136"/>
      <c r="AH181" s="2143">
        <v>0</v>
      </c>
    </row>
    <row s="46808" customFormat="1" customHeight="1" ht="18.75" hidden="1">
      <c r="A182" s="2292"/>
      <c r="B182" s="2292"/>
      <c r="C182" s="881" t="s">
        <v>1270</v>
      </c>
      <c r="D182" s="2974"/>
      <c r="E182" s="2716"/>
      <c r="F182" s="2895"/>
      <c r="G182" s="2939"/>
      <c r="H182" s="2012"/>
      <c r="I182" s="1163" t="s">
        <v>1269</v>
      </c>
      <c r="J182" s="1083"/>
      <c r="K182" s="2012"/>
      <c r="L182" s="726"/>
      <c r="M182" s="853"/>
      <c r="N182" s="846"/>
      <c r="O182" s="2136"/>
      <c r="P182" s="2136"/>
      <c r="AH182" s="2143">
        <v>0</v>
      </c>
    </row>
    <row s="46808" customFormat="1" customHeight="1" ht="0.75" hidden="1">
      <c r="A183" s="2292"/>
      <c r="B183" s="2292"/>
      <c r="C183" s="881" t="s">
        <v>1277</v>
      </c>
      <c r="D183" s="2974"/>
      <c r="E183" s="2716"/>
      <c r="F183" s="2895"/>
      <c r="G183" s="912"/>
      <c r="H183" s="2012"/>
      <c r="I183" s="1163"/>
      <c r="J183" s="1083"/>
      <c r="K183" s="2012"/>
      <c r="L183" s="726"/>
      <c r="M183" s="853"/>
      <c r="N183" s="846"/>
      <c r="O183" s="2136"/>
      <c r="P183" s="2136"/>
      <c r="AH183" s="2143">
        <v>0</v>
      </c>
    </row>
    <row s="46808" customFormat="1" customHeight="1" ht="18.75" hidden="1">
      <c r="A184" s="2292" t="s">
        <v>289</v>
      </c>
      <c r="B184" s="2292" t="s">
        <v>290</v>
      </c>
      <c r="C184" s="881"/>
      <c r="D184" s="2974"/>
      <c r="E184" s="2716"/>
      <c r="F184" s="2895" t="str">
        <f>INDEX(PT_DIFFERENTIATION_VTAR,MATCH(A184,PT_DIFFERENTIATION_VTAR_ID,0))</f>
        <v>Тариф на подвоз воды</v>
      </c>
      <c r="G184" s="2939" t="str">
        <f>INDEX(PT_DIFFERENTIATION_NTAR,MATCH(B184,PT_DIFFERENTIATION_NTAR_ID,0))</f>
        <v/>
      </c>
      <c r="H184" s="2374"/>
      <c r="I184" s="2251"/>
      <c r="J184" s="2285"/>
      <c r="K184" s="2290"/>
      <c r="L184" s="2374" t="s">
        <v>424</v>
      </c>
      <c r="M184" s="853"/>
      <c r="N184" s="846"/>
      <c r="O184" s="2136"/>
      <c r="P184" s="2136"/>
      <c r="AH184" s="2143">
        <v>0</v>
      </c>
    </row>
    <row s="46808" customFormat="1" customHeight="1" ht="18.75" hidden="1">
      <c r="A185" s="2292"/>
      <c r="B185" s="2292"/>
      <c r="C185" s="881" t="s">
        <v>1270</v>
      </c>
      <c r="D185" s="2974"/>
      <c r="E185" s="2716"/>
      <c r="F185" s="2895"/>
      <c r="G185" s="2939"/>
      <c r="H185" s="2012"/>
      <c r="I185" s="1163" t="s">
        <v>1269</v>
      </c>
      <c r="J185" s="1083"/>
      <c r="K185" s="2012"/>
      <c r="L185" s="726"/>
      <c r="M185" s="853"/>
      <c r="N185" s="846"/>
      <c r="O185" s="2136"/>
      <c r="P185" s="2136"/>
      <c r="AH185" s="2143">
        <v>0</v>
      </c>
    </row>
    <row s="46808" customFormat="1" customHeight="1" ht="0.75" hidden="1">
      <c r="A186" s="2292"/>
      <c r="B186" s="2292"/>
      <c r="C186" s="881" t="s">
        <v>1277</v>
      </c>
      <c r="D186" s="2974"/>
      <c r="E186" s="2716"/>
      <c r="F186" s="2895"/>
      <c r="G186" s="912"/>
      <c r="H186" s="2012"/>
      <c r="I186" s="1163"/>
      <c r="J186" s="1083"/>
      <c r="K186" s="2012"/>
      <c r="L186" s="726"/>
      <c r="M186" s="853"/>
      <c r="N186" s="846"/>
      <c r="O186" s="2136"/>
      <c r="P186" s="2136"/>
      <c r="AH186" s="2143">
        <v>0</v>
      </c>
    </row>
    <row s="46808" customFormat="1" customHeight="1" ht="18.75" hidden="1">
      <c r="A187" s="2292" t="s">
        <v>294</v>
      </c>
      <c r="B187" s="2292" t="s">
        <v>295</v>
      </c>
      <c r="C187" s="881"/>
      <c r="D187" s="2974"/>
      <c r="E187" s="2716"/>
      <c r="F187" s="2895"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939" t="str">
        <f>INDEX(PT_DIFFERENTIATION_NTAR,MATCH(B187,PT_DIFFERENTIATION_NTAR_ID,0))</f>
        <v/>
      </c>
      <c r="H187" s="2374"/>
      <c r="I187" s="2251"/>
      <c r="J187" s="2285"/>
      <c r="K187" s="2290"/>
      <c r="L187" s="2374" t="s">
        <v>424</v>
      </c>
      <c r="M187" s="853"/>
      <c r="N187" s="846"/>
      <c r="O187" s="2136"/>
      <c r="P187" s="2136"/>
      <c r="AH187" s="2143">
        <v>0</v>
      </c>
    </row>
    <row s="46808" customFormat="1" customHeight="1" ht="18.75" hidden="1">
      <c r="A188" s="2292"/>
      <c r="B188" s="2292"/>
      <c r="C188" s="881" t="s">
        <v>1270</v>
      </c>
      <c r="D188" s="2974"/>
      <c r="E188" s="2716"/>
      <c r="F188" s="2895"/>
      <c r="G188" s="2939"/>
      <c r="H188" s="2012"/>
      <c r="I188" s="1163" t="s">
        <v>1269</v>
      </c>
      <c r="J188" s="1083"/>
      <c r="K188" s="2012"/>
      <c r="L188" s="726"/>
      <c r="M188" s="853"/>
      <c r="N188" s="846"/>
      <c r="O188" s="2136"/>
      <c r="P188" s="2136"/>
      <c r="AH188" s="2143">
        <v>0</v>
      </c>
    </row>
    <row s="46808" customFormat="1" customHeight="1" ht="0.75" hidden="1">
      <c r="A189" s="2292"/>
      <c r="B189" s="2292"/>
      <c r="C189" s="881" t="s">
        <v>1277</v>
      </c>
      <c r="D189" s="2974"/>
      <c r="E189" s="2716"/>
      <c r="F189" s="2895"/>
      <c r="G189" s="912"/>
      <c r="H189" s="2012"/>
      <c r="I189" s="1163"/>
      <c r="J189" s="1083"/>
      <c r="K189" s="2012"/>
      <c r="L189" s="726"/>
      <c r="M189" s="853"/>
      <c r="N189" s="846"/>
      <c r="O189" s="2136"/>
      <c r="P189" s="2136"/>
      <c r="AH189" s="2143">
        <v>0</v>
      </c>
    </row>
    <row s="46808" customFormat="1" customHeight="1" ht="18.75" hidden="1">
      <c r="A190" s="2292" t="s">
        <v>299</v>
      </c>
      <c r="B190" s="2292" t="s">
        <v>300</v>
      </c>
      <c r="C190" s="881"/>
      <c r="D190" s="2974"/>
      <c r="E190" s="2716"/>
      <c r="F190" s="2895" t="str">
        <f>INDEX(PT_DIFFERENTIATION_VTAR,MATCH(A190,PT_DIFFERENTIATION_VTAR_ID,0))</f>
        <v>Тариф на горячую воду (горячее водоснабжение)</v>
      </c>
      <c r="G190" s="2939" t="str">
        <f>INDEX(PT_DIFFERENTIATION_NTAR,MATCH(B190,PT_DIFFERENTIATION_NTAR_ID,0))</f>
        <v/>
      </c>
      <c r="H190" s="2374"/>
      <c r="I190" s="2251"/>
      <c r="J190" s="2285"/>
      <c r="K190" s="2290"/>
      <c r="L190" s="2374" t="s">
        <v>424</v>
      </c>
      <c r="M190" s="853"/>
      <c r="N190" s="846"/>
      <c r="O190" s="2136"/>
      <c r="P190" s="2136"/>
      <c r="AH190" s="2143">
        <v>0</v>
      </c>
    </row>
    <row s="46808" customFormat="1" customHeight="1" ht="18.75" hidden="1">
      <c r="A191" s="2292"/>
      <c r="B191" s="2292"/>
      <c r="C191" s="881" t="s">
        <v>1270</v>
      </c>
      <c r="D191" s="2974"/>
      <c r="E191" s="2716"/>
      <c r="F191" s="2895"/>
      <c r="G191" s="2939"/>
      <c r="H191" s="2012"/>
      <c r="I191" s="1163" t="s">
        <v>1269</v>
      </c>
      <c r="J191" s="1083"/>
      <c r="K191" s="2012"/>
      <c r="L191" s="726"/>
      <c r="M191" s="853"/>
      <c r="N191" s="846"/>
      <c r="O191" s="2136"/>
      <c r="P191" s="2136"/>
      <c r="AH191" s="2143">
        <v>0</v>
      </c>
    </row>
    <row s="46808" customFormat="1" customHeight="1" ht="0.75" hidden="1">
      <c r="A192" s="2292"/>
      <c r="B192" s="2292"/>
      <c r="C192" s="881" t="s">
        <v>1277</v>
      </c>
      <c r="D192" s="2974"/>
      <c r="E192" s="2716"/>
      <c r="F192" s="2895"/>
      <c r="G192" s="912"/>
      <c r="H192" s="2012"/>
      <c r="I192" s="1163"/>
      <c r="J192" s="1083"/>
      <c r="K192" s="2012"/>
      <c r="L192" s="726"/>
      <c r="M192" s="853"/>
      <c r="N192" s="846"/>
      <c r="O192" s="2136"/>
      <c r="P192" s="2136"/>
      <c r="AH192" s="2143">
        <v>0</v>
      </c>
    </row>
    <row s="46808" customFormat="1" customHeight="1" ht="18.75" hidden="1">
      <c r="A193" s="2292" t="s">
        <v>304</v>
      </c>
      <c r="B193" s="2292" t="s">
        <v>305</v>
      </c>
      <c r="C193" s="881"/>
      <c r="D193" s="2974"/>
      <c r="E193" s="2716"/>
      <c r="F193" s="2895" t="str">
        <f>INDEX(PT_DIFFERENTIATION_VTAR,MATCH(A193,PT_DIFFERENTIATION_VTAR_ID,0))</f>
        <v>Тариф на транспортировку горячей воды</v>
      </c>
      <c r="G193" s="2939" t="str">
        <f>INDEX(PT_DIFFERENTIATION_NTAR,MATCH(B193,PT_DIFFERENTIATION_NTAR_ID,0))</f>
        <v/>
      </c>
      <c r="H193" s="2374"/>
      <c r="I193" s="2251"/>
      <c r="J193" s="2285"/>
      <c r="K193" s="2290"/>
      <c r="L193" s="2374" t="s">
        <v>424</v>
      </c>
      <c r="M193" s="853"/>
      <c r="N193" s="846"/>
      <c r="O193" s="2136"/>
      <c r="P193" s="2136"/>
      <c r="AH193" s="2143">
        <v>0</v>
      </c>
    </row>
    <row s="46808" customFormat="1" customHeight="1" ht="18.75" hidden="1">
      <c r="A194" s="2292"/>
      <c r="B194" s="2292"/>
      <c r="C194" s="881" t="s">
        <v>1270</v>
      </c>
      <c r="D194" s="2974"/>
      <c r="E194" s="2716"/>
      <c r="F194" s="2895"/>
      <c r="G194" s="2939"/>
      <c r="H194" s="2012"/>
      <c r="I194" s="1163" t="s">
        <v>1269</v>
      </c>
      <c r="J194" s="1083"/>
      <c r="K194" s="2012"/>
      <c r="L194" s="726"/>
      <c r="M194" s="853"/>
      <c r="N194" s="846"/>
      <c r="O194" s="2136"/>
      <c r="P194" s="2136"/>
      <c r="AH194" s="2143">
        <v>0</v>
      </c>
    </row>
    <row s="46808" customFormat="1" customHeight="1" ht="0.75" hidden="1">
      <c r="A195" s="2292"/>
      <c r="B195" s="2292"/>
      <c r="C195" s="881" t="s">
        <v>1277</v>
      </c>
      <c r="D195" s="2974"/>
      <c r="E195" s="2716"/>
      <c r="F195" s="2895"/>
      <c r="G195" s="912"/>
      <c r="H195" s="2012"/>
      <c r="I195" s="1163"/>
      <c r="J195" s="1083"/>
      <c r="K195" s="2012"/>
      <c r="L195" s="726"/>
      <c r="M195" s="853"/>
      <c r="N195" s="846"/>
      <c r="O195" s="2136"/>
      <c r="P195" s="2136"/>
      <c r="AH195" s="2143">
        <v>0</v>
      </c>
    </row>
    <row s="46808" customFormat="1" customHeight="1" ht="18.75" hidden="1">
      <c r="A196" s="2292" t="s">
        <v>309</v>
      </c>
      <c r="B196" s="2292" t="s">
        <v>310</v>
      </c>
      <c r="C196" s="881"/>
      <c r="D196" s="2974"/>
      <c r="E196" s="2716"/>
      <c r="F196" s="2895" t="str">
        <f>INDEX(PT_DIFFERENTIATION_VTAR,MATCH(A196,PT_DIFFERENTIATION_VTAR_ID,0))</f>
        <v>Тариф на подключение (технологическое присоединение) к централизованной системе горячего водоснабжения</v>
      </c>
      <c r="G196" s="2939" t="str">
        <f>INDEX(PT_DIFFERENTIATION_NTAR,MATCH(B196,PT_DIFFERENTIATION_NTAR_ID,0))</f>
        <v/>
      </c>
      <c r="H196" s="2374"/>
      <c r="I196" s="2251"/>
      <c r="J196" s="2285"/>
      <c r="K196" s="2290"/>
      <c r="L196" s="2374" t="s">
        <v>424</v>
      </c>
      <c r="M196" s="853"/>
      <c r="N196" s="846"/>
      <c r="O196" s="2136"/>
      <c r="P196" s="2136"/>
      <c r="AH196" s="2143">
        <v>0</v>
      </c>
    </row>
    <row s="46808" customFormat="1" customHeight="1" ht="18.75" hidden="1">
      <c r="A197" s="2292"/>
      <c r="B197" s="2292"/>
      <c r="C197" s="881" t="s">
        <v>1270</v>
      </c>
      <c r="D197" s="2974"/>
      <c r="E197" s="2716"/>
      <c r="F197" s="2895"/>
      <c r="G197" s="2939"/>
      <c r="H197" s="2012"/>
      <c r="I197" s="1163" t="s">
        <v>1269</v>
      </c>
      <c r="J197" s="1083"/>
      <c r="K197" s="2012"/>
      <c r="L197" s="726"/>
      <c r="M197" s="853"/>
      <c r="N197" s="846"/>
      <c r="O197" s="2136"/>
      <c r="P197" s="2136"/>
      <c r="AH197" s="2143">
        <v>0</v>
      </c>
    </row>
    <row s="46808" customFormat="1" customHeight="1" ht="0.75" hidden="1">
      <c r="A198" s="2292"/>
      <c r="B198" s="2292"/>
      <c r="C198" s="881" t="s">
        <v>1277</v>
      </c>
      <c r="D198" s="2974"/>
      <c r="E198" s="2716"/>
      <c r="F198" s="2895"/>
      <c r="G198" s="912"/>
      <c r="H198" s="2012"/>
      <c r="I198" s="1163"/>
      <c r="J198" s="1083"/>
      <c r="K198" s="2012"/>
      <c r="L198" s="726"/>
      <c r="M198" s="853"/>
      <c r="N198" s="846"/>
      <c r="O198" s="2136"/>
      <c r="P198" s="2136"/>
      <c r="AH198" s="2143">
        <v>0</v>
      </c>
    </row>
    <row s="46808" customFormat="1" customHeight="1" ht="18.75" hidden="1">
      <c r="A199" s="2292" t="s">
        <v>317</v>
      </c>
      <c r="B199" s="2292" t="s">
        <v>318</v>
      </c>
      <c r="C199" s="881"/>
      <c r="D199" s="2974"/>
      <c r="E199" s="2716"/>
      <c r="F199" s="2895" t="str">
        <f>INDEX(PT_DIFFERENTIATION_VTAR,MATCH(A199,PT_DIFFERENTIATION_VTAR_ID,0))</f>
        <v>Тариф на водоотведение</v>
      </c>
      <c r="G199" s="2939" t="str">
        <f>INDEX(PT_DIFFERENTIATION_NTAR,MATCH(B199,PT_DIFFERENTIATION_NTAR_ID,0))</f>
        <v>Тариф на водоотведение для потребителей КГУП "Примтеплоэнерго"</v>
      </c>
      <c r="H199" s="2374"/>
      <c r="I199" s="2251"/>
      <c r="J199" s="2285"/>
      <c r="K199" s="2290"/>
      <c r="L199" s="2374" t="s">
        <v>424</v>
      </c>
      <c r="M199" s="853"/>
      <c r="N199" s="846"/>
      <c r="O199" s="2136"/>
      <c r="P199" s="2136"/>
      <c r="AH199" s="2143">
        <v>0</v>
      </c>
    </row>
    <row s="46808" customFormat="1" customHeight="1" ht="18.75" hidden="1">
      <c r="A200" s="2292"/>
      <c r="B200" s="2292"/>
      <c r="C200" s="881" t="s">
        <v>1270</v>
      </c>
      <c r="D200" s="2974"/>
      <c r="E200" s="2716"/>
      <c r="F200" s="2895"/>
      <c r="G200" s="2939"/>
      <c r="H200" s="2012"/>
      <c r="I200" s="1163" t="s">
        <v>1269</v>
      </c>
      <c r="J200" s="1083"/>
      <c r="K200" s="2012"/>
      <c r="L200" s="726"/>
      <c r="M200" s="853"/>
      <c r="N200" s="846"/>
      <c r="O200" s="2136"/>
      <c r="P200" s="2136"/>
      <c r="AH200" s="2143">
        <v>0</v>
      </c>
    </row>
    <row s="46808" customFormat="1" customHeight="1" ht="0.75" hidden="1">
      <c r="A201" s="2292"/>
      <c r="B201" s="2292"/>
      <c r="C201" s="881" t="s">
        <v>1277</v>
      </c>
      <c r="D201" s="2974"/>
      <c r="E201" s="2716"/>
      <c r="F201" s="2895"/>
      <c r="G201" s="912"/>
      <c r="H201" s="2012"/>
      <c r="I201" s="1163"/>
      <c r="J201" s="1083"/>
      <c r="K201" s="2012"/>
      <c r="L201" s="726"/>
      <c r="M201" s="853"/>
      <c r="N201" s="846"/>
      <c r="O201" s="2136"/>
      <c r="P201" s="2136"/>
      <c r="AH201" s="2143">
        <v>0</v>
      </c>
    </row>
    <row s="46808" customFormat="1" customHeight="1" ht="18.75" hidden="1">
      <c r="A202" s="2292" t="s">
        <v>388</v>
      </c>
      <c r="B202" s="2292" t="s">
        <v>389</v>
      </c>
      <c r="C202" s="881"/>
      <c r="D202" s="2974"/>
      <c r="E202" s="2716"/>
      <c r="F202" s="2895" t="str">
        <f>INDEX(PT_DIFFERENTIATION_VTAR,MATCH(A202,PT_DIFFERENTIATION_VTAR_ID,0))</f>
        <v>Тариф на транспортировку сточных вод</v>
      </c>
      <c r="G202" s="2939" t="str">
        <f>INDEX(PT_DIFFERENTIATION_NTAR,MATCH(B202,PT_DIFFERENTIATION_NTAR_ID,0))</f>
        <v/>
      </c>
      <c r="H202" s="2374"/>
      <c r="I202" s="2251"/>
      <c r="J202" s="2285"/>
      <c r="K202" s="2290"/>
      <c r="L202" s="2374" t="s">
        <v>424</v>
      </c>
      <c r="M202" s="853"/>
      <c r="N202" s="846"/>
      <c r="O202" s="2136"/>
      <c r="P202" s="2136"/>
      <c r="AH202" s="2143">
        <v>0</v>
      </c>
    </row>
    <row s="46808" customFormat="1" customHeight="1" ht="18.75" hidden="1">
      <c r="A203" s="2292"/>
      <c r="B203" s="2292"/>
      <c r="C203" s="881" t="s">
        <v>1270</v>
      </c>
      <c r="D203" s="2974"/>
      <c r="E203" s="2716"/>
      <c r="F203" s="2895"/>
      <c r="G203" s="2939"/>
      <c r="H203" s="2012"/>
      <c r="I203" s="1163" t="s">
        <v>1269</v>
      </c>
      <c r="J203" s="1083"/>
      <c r="K203" s="2012"/>
      <c r="L203" s="726"/>
      <c r="M203" s="853"/>
      <c r="N203" s="846"/>
      <c r="O203" s="2136"/>
      <c r="P203" s="2136"/>
      <c r="AH203" s="2143">
        <v>0</v>
      </c>
    </row>
    <row s="46808" customFormat="1" customHeight="1" ht="0.75" hidden="1">
      <c r="A204" s="2292"/>
      <c r="B204" s="2292"/>
      <c r="C204" s="881" t="s">
        <v>1277</v>
      </c>
      <c r="D204" s="2974"/>
      <c r="E204" s="2716"/>
      <c r="F204" s="2895"/>
      <c r="G204" s="912"/>
      <c r="H204" s="2012"/>
      <c r="I204" s="1163"/>
      <c r="J204" s="1083"/>
      <c r="K204" s="2012"/>
      <c r="L204" s="726"/>
      <c r="M204" s="853"/>
      <c r="N204" s="846"/>
      <c r="O204" s="2136"/>
      <c r="P204" s="2136"/>
      <c r="AH204" s="2143">
        <v>0</v>
      </c>
    </row>
    <row s="46808" customFormat="1" customHeight="1" ht="18.75" hidden="1">
      <c r="A205" s="2292" t="s">
        <v>393</v>
      </c>
      <c r="B205" s="2292" t="s">
        <v>394</v>
      </c>
      <c r="C205" s="881"/>
      <c r="D205" s="2974"/>
      <c r="E205" s="2716"/>
      <c r="F205" s="2895" t="str">
        <f>INDEX(PT_DIFFERENTIATION_VTAR,MATCH(A205,PT_DIFFERENTIATION_VTAR_ID,0))</f>
        <v>Тариф на подключение (технологическое присоединение) к централизованной системе водоотведения</v>
      </c>
      <c r="G205" s="2939" t="str">
        <f>INDEX(PT_DIFFERENTIATION_NTAR,MATCH(B205,PT_DIFFERENTIATION_NTAR_ID,0))</f>
        <v/>
      </c>
      <c r="H205" s="2374"/>
      <c r="I205" s="2251"/>
      <c r="J205" s="2285"/>
      <c r="K205" s="2290"/>
      <c r="L205" s="2374" t="s">
        <v>424</v>
      </c>
      <c r="M205" s="853"/>
      <c r="N205" s="846"/>
      <c r="O205" s="2136"/>
      <c r="P205" s="2136"/>
      <c r="AH205" s="2143">
        <v>0</v>
      </c>
    </row>
    <row s="46808" customFormat="1" customHeight="1" ht="18.75" hidden="1">
      <c r="A206" s="2292"/>
      <c r="B206" s="2292"/>
      <c r="C206" s="881" t="s">
        <v>1270</v>
      </c>
      <c r="D206" s="2974"/>
      <c r="E206" s="2716"/>
      <c r="F206" s="2895"/>
      <c r="G206" s="2939"/>
      <c r="H206" s="2012"/>
      <c r="I206" s="1163" t="s">
        <v>1269</v>
      </c>
      <c r="J206" s="1083"/>
      <c r="K206" s="2012"/>
      <c r="L206" s="726"/>
      <c r="M206" s="853"/>
      <c r="N206" s="846"/>
      <c r="O206" s="2136"/>
      <c r="P206" s="2136"/>
      <c r="AH206" s="2143">
        <v>0</v>
      </c>
    </row>
    <row s="46808" customFormat="1" customHeight="1" ht="1.05">
      <c r="A207" s="2292"/>
      <c r="B207" s="2292"/>
      <c r="C207" s="881" t="s">
        <v>1277</v>
      </c>
      <c r="D207" s="2974"/>
      <c r="E207" s="2716"/>
      <c r="F207" s="2895"/>
      <c r="G207" s="912"/>
      <c r="H207" s="2012"/>
      <c r="I207" s="1163"/>
      <c r="J207" s="1083"/>
      <c r="K207" s="2012"/>
      <c r="L207" s="726"/>
      <c r="M207" s="853"/>
      <c r="N207" s="846"/>
      <c r="O207" s="2136"/>
      <c r="P207" s="2136"/>
      <c r="AH207" s="2143">
        <v>1</v>
      </c>
    </row>
    <row customHeight="1" ht="27.299999999999997">
      <c r="A208" s="2292"/>
      <c r="B208" s="2292"/>
      <c r="D208" s="888"/>
      <c r="E208" s="659" t="s">
        <v>120</v>
      </c>
      <c r="F208" s="2972"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972"/>
      <c r="H208" s="2972"/>
      <c r="I208" s="2972"/>
      <c r="J208" s="2972"/>
      <c r="K208" s="2972"/>
      <c r="L208" s="2972"/>
      <c r="M208" s="809"/>
      <c r="N208" s="846"/>
      <c r="AH208" s="886">
        <v>26</v>
      </c>
    </row>
    <row s="46808" customFormat="1" customHeight="1" ht="60.75" hidden="1">
      <c r="A209" s="2292" t="s">
        <v>206</v>
      </c>
      <c r="B209" s="2292" t="s">
        <v>207</v>
      </c>
      <c r="C209" s="881"/>
      <c r="D209" s="2974"/>
      <c r="E209" s="2716"/>
      <c r="F209" s="2895"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939" t="str">
        <f>INDEX(PT_DIFFERENTIATION_NTAR,MATCH(B209,PT_DIFFERENTIATION_NTAR_ID,0))</f>
        <v/>
      </c>
      <c r="H209" s="2374"/>
      <c r="I209" s="2251"/>
      <c r="J209" s="2285"/>
      <c r="K209" s="2290"/>
      <c r="L209" s="2374" t="s">
        <v>424</v>
      </c>
      <c r="M209" s="268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водоотведения,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водоотведения по видам тарифов и/или по срокам действия тарифов информация указывается в отдельных строках.</v>
      </c>
      <c r="N209" s="846"/>
      <c r="O209" s="2136"/>
      <c r="P209" s="2136"/>
      <c r="AH209" s="2143">
        <v>0</v>
      </c>
    </row>
    <row s="46808" customFormat="1" customHeight="1" ht="18.75" hidden="1">
      <c r="A210" s="2292"/>
      <c r="B210" s="2292"/>
      <c r="C210" s="881" t="s">
        <v>1270</v>
      </c>
      <c r="D210" s="2974"/>
      <c r="E210" s="2716"/>
      <c r="F210" s="2895"/>
      <c r="G210" s="2939"/>
      <c r="H210" s="2012"/>
      <c r="I210" s="1163" t="s">
        <v>1269</v>
      </c>
      <c r="J210" s="1083"/>
      <c r="K210" s="2012"/>
      <c r="L210" s="726"/>
      <c r="M210" s="2682"/>
      <c r="N210" s="846"/>
      <c r="O210" s="2136"/>
      <c r="P210" s="2136"/>
      <c r="AH210" s="2143">
        <v>0</v>
      </c>
    </row>
    <row s="46808" customFormat="1" customHeight="1" ht="0.75" hidden="1">
      <c r="A211" s="2292"/>
      <c r="B211" s="2292"/>
      <c r="C211" s="881" t="s">
        <v>1277</v>
      </c>
      <c r="D211" s="2974"/>
      <c r="E211" s="2716"/>
      <c r="F211" s="2895"/>
      <c r="G211" s="912"/>
      <c r="H211" s="2012"/>
      <c r="I211" s="1163"/>
      <c r="J211" s="1083"/>
      <c r="K211" s="2012"/>
      <c r="L211" s="726"/>
      <c r="M211" s="2682"/>
      <c r="N211" s="846"/>
      <c r="O211" s="2136"/>
      <c r="P211" s="2136"/>
      <c r="AH211" s="2143">
        <v>0</v>
      </c>
    </row>
    <row s="46808" customFormat="1" customHeight="1" ht="45" hidden="1">
      <c r="A212" s="2292" t="s">
        <v>211</v>
      </c>
      <c r="B212" s="2292" t="s">
        <v>212</v>
      </c>
      <c r="C212" s="881"/>
      <c r="D212" s="2974"/>
      <c r="E212" s="2716"/>
      <c r="F212" s="2895" t="str">
        <f>INDEX(PT_DIFFERENTIATION_VTAR,MATCH(A212,PT_DIFFERENTIATION_VTAR_ID,0))</f>
        <v/>
      </c>
      <c r="G212" s="2939" t="str">
        <f>INDEX(PT_DIFFERENTIATION_NTAR,MATCH(B212,PT_DIFFERENTIATION_NTAR_ID,0))</f>
        <v/>
      </c>
      <c r="H212" s="2374"/>
      <c r="I212" s="2251"/>
      <c r="J212" s="2285"/>
      <c r="K212" s="2290"/>
      <c r="L212" s="2374" t="s">
        <v>424</v>
      </c>
      <c r="M212" s="2683"/>
      <c r="N212" s="846"/>
      <c r="O212" s="2136"/>
      <c r="P212" s="2136"/>
      <c r="AH212" s="2143">
        <v>0</v>
      </c>
    </row>
    <row s="46808" customFormat="1" customHeight="1" ht="18.75" hidden="1">
      <c r="A213" s="2292"/>
      <c r="B213" s="2292"/>
      <c r="C213" s="881" t="s">
        <v>1270</v>
      </c>
      <c r="D213" s="2974"/>
      <c r="E213" s="2716"/>
      <c r="F213" s="2895"/>
      <c r="G213" s="2939"/>
      <c r="H213" s="2012"/>
      <c r="I213" s="1163" t="s">
        <v>1269</v>
      </c>
      <c r="J213" s="1083"/>
      <c r="K213" s="2012"/>
      <c r="L213" s="726"/>
      <c r="M213" s="2373"/>
      <c r="N213" s="846"/>
      <c r="O213" s="2136"/>
      <c r="P213" s="2136"/>
      <c r="AH213" s="2143">
        <v>0</v>
      </c>
    </row>
    <row s="46808" customFormat="1" customHeight="1" ht="0.75" hidden="1">
      <c r="A214" s="2292"/>
      <c r="B214" s="2292"/>
      <c r="C214" s="881" t="s">
        <v>1277</v>
      </c>
      <c r="D214" s="2974"/>
      <c r="E214" s="2716"/>
      <c r="F214" s="2895"/>
      <c r="G214" s="912"/>
      <c r="H214" s="2012"/>
      <c r="I214" s="1163"/>
      <c r="J214" s="1083"/>
      <c r="K214" s="2012"/>
      <c r="L214" s="726"/>
      <c r="M214" s="853"/>
      <c r="N214" s="846"/>
      <c r="O214" s="2136"/>
      <c r="P214" s="2136"/>
      <c r="AH214" s="2143">
        <v>0</v>
      </c>
    </row>
    <row s="46808" customFormat="1" customHeight="1" ht="45" hidden="1">
      <c r="A215" s="2292" t="s">
        <v>218</v>
      </c>
      <c r="B215" s="2292" t="s">
        <v>219</v>
      </c>
      <c r="C215" s="881"/>
      <c r="D215" s="2974"/>
      <c r="E215" s="2716"/>
      <c r="F215" s="2895"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939" t="str">
        <f>INDEX(PT_DIFFERENTIATION_NTAR,MATCH(B215,PT_DIFFERENTIATION_NTAR_ID,0))</f>
        <v/>
      </c>
      <c r="H215" s="2374"/>
      <c r="I215" s="2251"/>
      <c r="J215" s="2285"/>
      <c r="K215" s="2290"/>
      <c r="L215" s="2374" t="s">
        <v>424</v>
      </c>
      <c r="M215" s="853"/>
      <c r="N215" s="846"/>
      <c r="O215" s="2136"/>
      <c r="P215" s="2136"/>
      <c r="AH215" s="2143">
        <v>0</v>
      </c>
    </row>
    <row s="46808" customFormat="1" customHeight="1" ht="18.75" hidden="1">
      <c r="A216" s="2292"/>
      <c r="B216" s="2292"/>
      <c r="C216" s="881" t="s">
        <v>1270</v>
      </c>
      <c r="D216" s="2974"/>
      <c r="E216" s="2716"/>
      <c r="F216" s="2895"/>
      <c r="G216" s="2939"/>
      <c r="H216" s="2012"/>
      <c r="I216" s="1163" t="s">
        <v>1269</v>
      </c>
      <c r="J216" s="1083"/>
      <c r="K216" s="2012"/>
      <c r="L216" s="726"/>
      <c r="M216" s="853"/>
      <c r="N216" s="846"/>
      <c r="O216" s="2136"/>
      <c r="P216" s="2136"/>
      <c r="AH216" s="2143">
        <v>0</v>
      </c>
    </row>
    <row s="46808" customFormat="1" customHeight="1" ht="0.75" hidden="1">
      <c r="A217" s="2292"/>
      <c r="B217" s="2292"/>
      <c r="C217" s="881" t="s">
        <v>1277</v>
      </c>
      <c r="D217" s="2974"/>
      <c r="E217" s="2716"/>
      <c r="F217" s="2895"/>
      <c r="G217" s="912"/>
      <c r="H217" s="2012"/>
      <c r="I217" s="1163"/>
      <c r="J217" s="1083"/>
      <c r="K217" s="2012"/>
      <c r="L217" s="726"/>
      <c r="M217" s="853"/>
      <c r="N217" s="846"/>
      <c r="O217" s="2136"/>
      <c r="P217" s="2136"/>
      <c r="AH217" s="2143">
        <v>0</v>
      </c>
    </row>
    <row s="46808" customFormat="1" customHeight="1" ht="45" hidden="1">
      <c r="A218" s="2292" t="s">
        <v>224</v>
      </c>
      <c r="B218" s="2292" t="s">
        <v>225</v>
      </c>
      <c r="C218" s="881"/>
      <c r="D218" s="2974"/>
      <c r="E218" s="2716"/>
      <c r="F218" s="2895"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939" t="str">
        <f>INDEX(PT_DIFFERENTIATION_NTAR,MATCH(B218,PT_DIFFERENTIATION_NTAR_ID,0))</f>
        <v/>
      </c>
      <c r="H218" s="2374"/>
      <c r="I218" s="2251"/>
      <c r="J218" s="2285"/>
      <c r="K218" s="2290"/>
      <c r="L218" s="2374" t="s">
        <v>424</v>
      </c>
      <c r="M218" s="853"/>
      <c r="N218" s="846"/>
      <c r="O218" s="2136"/>
      <c r="P218" s="2136"/>
      <c r="AH218" s="2143">
        <v>0</v>
      </c>
    </row>
    <row s="46808" customFormat="1" customHeight="1" ht="18.75" hidden="1">
      <c r="A219" s="2292"/>
      <c r="B219" s="2292"/>
      <c r="C219" s="881" t="s">
        <v>1270</v>
      </c>
      <c r="D219" s="2974"/>
      <c r="E219" s="2716"/>
      <c r="F219" s="2895"/>
      <c r="G219" s="2939"/>
      <c r="H219" s="2012"/>
      <c r="I219" s="1163" t="s">
        <v>1269</v>
      </c>
      <c r="J219" s="1083"/>
      <c r="K219" s="2012"/>
      <c r="L219" s="726"/>
      <c r="M219" s="853"/>
      <c r="N219" s="846"/>
      <c r="O219" s="2136"/>
      <c r="P219" s="2136"/>
      <c r="AH219" s="2143">
        <v>0</v>
      </c>
    </row>
    <row s="46808" customFormat="1" customHeight="1" ht="0.75" hidden="1">
      <c r="A220" s="2292"/>
      <c r="B220" s="2292"/>
      <c r="C220" s="881" t="s">
        <v>1277</v>
      </c>
      <c r="D220" s="2974"/>
      <c r="E220" s="2716"/>
      <c r="F220" s="2895"/>
      <c r="G220" s="912"/>
      <c r="H220" s="2012"/>
      <c r="I220" s="1163"/>
      <c r="J220" s="1083"/>
      <c r="K220" s="2012"/>
      <c r="L220" s="726"/>
      <c r="M220" s="853"/>
      <c r="N220" s="846"/>
      <c r="O220" s="2136"/>
      <c r="P220" s="2136"/>
      <c r="AH220" s="2143">
        <v>0</v>
      </c>
    </row>
    <row s="46808" customFormat="1" customHeight="1" ht="18.75" hidden="1">
      <c r="A221" s="2292" t="s">
        <v>230</v>
      </c>
      <c r="B221" s="2292" t="s">
        <v>231</v>
      </c>
      <c r="C221" s="881"/>
      <c r="D221" s="2974"/>
      <c r="E221" s="2716"/>
      <c r="F221" s="2895" t="str">
        <f>INDEX(PT_DIFFERENTIATION_VTAR,MATCH(A221,PT_DIFFERENTIATION_VTAR_ID,0))</f>
        <v>Тарифы на услуги по передаче тепловой энергии</v>
      </c>
      <c r="G221" s="2939" t="str">
        <f>INDEX(PT_DIFFERENTIATION_NTAR,MATCH(B221,PT_DIFFERENTIATION_NTAR_ID,0))</f>
        <v/>
      </c>
      <c r="H221" s="2374"/>
      <c r="I221" s="2251"/>
      <c r="J221" s="2285"/>
      <c r="K221" s="2290"/>
      <c r="L221" s="2374" t="s">
        <v>424</v>
      </c>
      <c r="M221" s="853"/>
      <c r="N221" s="846"/>
      <c r="O221" s="2136"/>
      <c r="P221" s="2136"/>
      <c r="AH221" s="2143">
        <v>0</v>
      </c>
    </row>
    <row s="46808" customFormat="1" customHeight="1" ht="18.75" hidden="1">
      <c r="A222" s="2292"/>
      <c r="B222" s="2292"/>
      <c r="C222" s="881" t="s">
        <v>1270</v>
      </c>
      <c r="D222" s="2974"/>
      <c r="E222" s="2716"/>
      <c r="F222" s="2895"/>
      <c r="G222" s="2939"/>
      <c r="H222" s="2012"/>
      <c r="I222" s="1163" t="s">
        <v>1269</v>
      </c>
      <c r="J222" s="1083"/>
      <c r="K222" s="2012"/>
      <c r="L222" s="726"/>
      <c r="M222" s="853"/>
      <c r="N222" s="846"/>
      <c r="O222" s="2136"/>
      <c r="P222" s="2136"/>
      <c r="AH222" s="2143">
        <v>0</v>
      </c>
    </row>
    <row s="46808" customFormat="1" customHeight="1" ht="0.75" hidden="1">
      <c r="A223" s="2292"/>
      <c r="B223" s="2292"/>
      <c r="C223" s="881" t="s">
        <v>1277</v>
      </c>
      <c r="D223" s="2974"/>
      <c r="E223" s="2716"/>
      <c r="F223" s="2895"/>
      <c r="G223" s="912"/>
      <c r="H223" s="2012"/>
      <c r="I223" s="1163"/>
      <c r="J223" s="1083"/>
      <c r="K223" s="2012"/>
      <c r="L223" s="726"/>
      <c r="M223" s="853"/>
      <c r="N223" s="846"/>
      <c r="O223" s="2136"/>
      <c r="P223" s="2136"/>
      <c r="AH223" s="2143">
        <v>0</v>
      </c>
    </row>
    <row s="46808" customFormat="1" customHeight="1" ht="18.75" hidden="1">
      <c r="A224" s="2292" t="s">
        <v>236</v>
      </c>
      <c r="B224" s="2292" t="s">
        <v>237</v>
      </c>
      <c r="C224" s="881"/>
      <c r="D224" s="2974"/>
      <c r="E224" s="2716"/>
      <c r="F224" s="2895" t="str">
        <f>INDEX(PT_DIFFERENTIATION_VTAR,MATCH(A224,PT_DIFFERENTIATION_VTAR_ID,0))</f>
        <v>Тарифы на услуги по передаче теплоносителя</v>
      </c>
      <c r="G224" s="2939" t="str">
        <f>INDEX(PT_DIFFERENTIATION_NTAR,MATCH(B224,PT_DIFFERENTIATION_NTAR_ID,0))</f>
        <v/>
      </c>
      <c r="H224" s="2374"/>
      <c r="I224" s="2251"/>
      <c r="J224" s="2285"/>
      <c r="K224" s="2290"/>
      <c r="L224" s="2374" t="s">
        <v>424</v>
      </c>
      <c r="M224" s="853"/>
      <c r="N224" s="846"/>
      <c r="O224" s="2136"/>
      <c r="P224" s="2136"/>
      <c r="AH224" s="2143">
        <v>0</v>
      </c>
    </row>
    <row s="46808" customFormat="1" customHeight="1" ht="18.75" hidden="1">
      <c r="A225" s="2292"/>
      <c r="B225" s="2292"/>
      <c r="C225" s="881" t="s">
        <v>1270</v>
      </c>
      <c r="D225" s="2974"/>
      <c r="E225" s="2716"/>
      <c r="F225" s="2895"/>
      <c r="G225" s="2939"/>
      <c r="H225" s="2012"/>
      <c r="I225" s="1163" t="s">
        <v>1269</v>
      </c>
      <c r="J225" s="1083"/>
      <c r="K225" s="2012"/>
      <c r="L225" s="726"/>
      <c r="M225" s="853"/>
      <c r="N225" s="846"/>
      <c r="O225" s="2136"/>
      <c r="P225" s="2136"/>
      <c r="AH225" s="2143">
        <v>0</v>
      </c>
    </row>
    <row s="46808" customFormat="1" customHeight="1" ht="0.75" hidden="1">
      <c r="A226" s="2292"/>
      <c r="B226" s="2292"/>
      <c r="C226" s="881" t="s">
        <v>1277</v>
      </c>
      <c r="D226" s="2974"/>
      <c r="E226" s="2716"/>
      <c r="F226" s="2895"/>
      <c r="G226" s="912"/>
      <c r="H226" s="2012"/>
      <c r="I226" s="1163"/>
      <c r="J226" s="1083"/>
      <c r="K226" s="2012"/>
      <c r="L226" s="726"/>
      <c r="M226" s="853"/>
      <c r="N226" s="846"/>
      <c r="O226" s="2136"/>
      <c r="P226" s="2136"/>
      <c r="AH226" s="2143">
        <v>0</v>
      </c>
    </row>
    <row s="46808" customFormat="1" customHeight="1" ht="18.75" hidden="1">
      <c r="A227" s="2292" t="s">
        <v>242</v>
      </c>
      <c r="B227" s="2292" t="s">
        <v>243</v>
      </c>
      <c r="C227" s="881"/>
      <c r="D227" s="2974"/>
      <c r="E227" s="2716"/>
      <c r="F227" s="2895"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939" t="str">
        <f>INDEX(PT_DIFFERENTIATION_NTAR,MATCH(B227,PT_DIFFERENTIATION_NTAR_ID,0))</f>
        <v/>
      </c>
      <c r="H227" s="2374"/>
      <c r="I227" s="2251"/>
      <c r="J227" s="2285"/>
      <c r="K227" s="2290"/>
      <c r="L227" s="2374" t="s">
        <v>424</v>
      </c>
      <c r="M227" s="853"/>
      <c r="N227" s="846"/>
      <c r="O227" s="2136"/>
      <c r="P227" s="2136"/>
      <c r="AH227" s="2143">
        <v>0</v>
      </c>
    </row>
    <row s="46808" customFormat="1" customHeight="1" ht="18.75" hidden="1">
      <c r="A228" s="2292"/>
      <c r="B228" s="2292"/>
      <c r="C228" s="881" t="s">
        <v>1270</v>
      </c>
      <c r="D228" s="2974"/>
      <c r="E228" s="2716"/>
      <c r="F228" s="2895"/>
      <c r="G228" s="2939"/>
      <c r="H228" s="2012"/>
      <c r="I228" s="1163" t="s">
        <v>1269</v>
      </c>
      <c r="J228" s="1083"/>
      <c r="K228" s="2012"/>
      <c r="L228" s="726"/>
      <c r="M228" s="853"/>
      <c r="N228" s="846"/>
      <c r="O228" s="2136"/>
      <c r="P228" s="2136"/>
      <c r="AH228" s="2143">
        <v>0</v>
      </c>
    </row>
    <row s="46808" customFormat="1" customHeight="1" ht="0.75" hidden="1">
      <c r="A229" s="2292"/>
      <c r="B229" s="2292"/>
      <c r="C229" s="881" t="s">
        <v>1277</v>
      </c>
      <c r="D229" s="2974"/>
      <c r="E229" s="2716"/>
      <c r="F229" s="2895"/>
      <c r="G229" s="912"/>
      <c r="H229" s="2012"/>
      <c r="I229" s="1163"/>
      <c r="J229" s="1083"/>
      <c r="K229" s="2012"/>
      <c r="L229" s="726"/>
      <c r="M229" s="853"/>
      <c r="N229" s="846"/>
      <c r="O229" s="2136"/>
      <c r="P229" s="2136"/>
      <c r="AH229" s="2143">
        <v>0</v>
      </c>
    </row>
    <row s="46808" customFormat="1" customHeight="1" ht="18.75" hidden="1">
      <c r="A230" s="2292" t="s">
        <v>248</v>
      </c>
      <c r="B230" s="2292" t="s">
        <v>249</v>
      </c>
      <c r="C230" s="881"/>
      <c r="D230" s="2974"/>
      <c r="E230" s="2716"/>
      <c r="F230" s="2895" t="str">
        <f>INDEX(PT_DIFFERENTIATION_VTAR,MATCH(A230,PT_DIFFERENTIATION_VTAR_ID,0))</f>
        <v>Плата за подключение (технологическое присоединение) к системе теплоснабжения</v>
      </c>
      <c r="G230" s="2939" t="str">
        <f>INDEX(PT_DIFFERENTIATION_NTAR,MATCH(B230,PT_DIFFERENTIATION_NTAR_ID,0))</f>
        <v/>
      </c>
      <c r="H230" s="2374"/>
      <c r="I230" s="2251"/>
      <c r="J230" s="2285"/>
      <c r="K230" s="2290"/>
      <c r="L230" s="2374" t="s">
        <v>424</v>
      </c>
      <c r="M230" s="853"/>
      <c r="N230" s="846"/>
      <c r="O230" s="2136"/>
      <c r="P230" s="2136"/>
      <c r="AH230" s="2143">
        <v>0</v>
      </c>
    </row>
    <row s="46808" customFormat="1" customHeight="1" ht="18.75" hidden="1">
      <c r="A231" s="2292"/>
      <c r="B231" s="2292"/>
      <c r="C231" s="881" t="s">
        <v>1270</v>
      </c>
      <c r="D231" s="2974"/>
      <c r="E231" s="2716"/>
      <c r="F231" s="2895"/>
      <c r="G231" s="2939"/>
      <c r="H231" s="2012"/>
      <c r="I231" s="1163" t="s">
        <v>1269</v>
      </c>
      <c r="J231" s="1083"/>
      <c r="K231" s="2012"/>
      <c r="L231" s="726"/>
      <c r="M231" s="853"/>
      <c r="N231" s="846"/>
      <c r="O231" s="2136"/>
      <c r="P231" s="2136"/>
      <c r="AH231" s="2143">
        <v>0</v>
      </c>
    </row>
    <row s="46808" customFormat="1" customHeight="1" ht="0.75" hidden="1">
      <c r="A232" s="2292"/>
      <c r="B232" s="2292"/>
      <c r="C232" s="881" t="s">
        <v>1277</v>
      </c>
      <c r="D232" s="2974"/>
      <c r="E232" s="2716"/>
      <c r="F232" s="2895"/>
      <c r="G232" s="912"/>
      <c r="H232" s="2012"/>
      <c r="I232" s="1163"/>
      <c r="J232" s="1083"/>
      <c r="K232" s="2012"/>
      <c r="L232" s="726"/>
      <c r="M232" s="853"/>
      <c r="N232" s="846"/>
      <c r="O232" s="2136"/>
      <c r="P232" s="2136"/>
      <c r="AH232" s="2143">
        <v>0</v>
      </c>
    </row>
    <row s="46808" customFormat="1" customHeight="1" ht="18.75" hidden="1">
      <c r="A233" s="2292" t="s">
        <v>254</v>
      </c>
      <c r="B233" s="2292" t="s">
        <v>255</v>
      </c>
      <c r="C233" s="881"/>
      <c r="D233" s="2974"/>
      <c r="E233" s="2716"/>
      <c r="F233" s="2895" t="str">
        <f>INDEX(PT_DIFFERENTIATION_VTAR,MATCH(A233,PT_DIFFERENTIATION_VTAR_ID,0))</f>
        <v>Плата за подключение (технологическое присоединение) к системе теплоснабжения (индивидуальная)</v>
      </c>
      <c r="G233" s="2939" t="str">
        <f>INDEX(PT_DIFFERENTIATION_NTAR,MATCH(B233,PT_DIFFERENTIATION_NTAR_ID,0))</f>
        <v/>
      </c>
      <c r="H233" s="2501"/>
      <c r="I233" s="2251"/>
      <c r="J233" s="2285"/>
      <c r="K233" s="2290"/>
      <c r="L233" s="2501" t="s">
        <v>424</v>
      </c>
      <c r="M233" s="853"/>
      <c r="N233" s="846"/>
      <c r="O233" s="2136"/>
      <c r="P233" s="2136"/>
      <c r="AH233" s="2143">
        <v>0</v>
      </c>
    </row>
    <row s="46808" customFormat="1" customHeight="1" ht="18.75" hidden="1">
      <c r="A234" s="2292"/>
      <c r="B234" s="2292"/>
      <c r="C234" s="881" t="s">
        <v>1270</v>
      </c>
      <c r="D234" s="2974"/>
      <c r="E234" s="2716"/>
      <c r="F234" s="2895"/>
      <c r="G234" s="2939"/>
      <c r="H234" s="2012"/>
      <c r="I234" s="1163" t="s">
        <v>1269</v>
      </c>
      <c r="J234" s="1083"/>
      <c r="K234" s="2012"/>
      <c r="L234" s="726"/>
      <c r="M234" s="853"/>
      <c r="N234" s="846"/>
      <c r="O234" s="2136"/>
      <c r="P234" s="2136"/>
      <c r="AH234" s="2143">
        <v>0</v>
      </c>
    </row>
    <row s="46808" customFormat="1" customHeight="1" ht="0.75" hidden="1">
      <c r="A235" s="2292"/>
      <c r="B235" s="2292"/>
      <c r="C235" s="881" t="s">
        <v>1277</v>
      </c>
      <c r="D235" s="2974"/>
      <c r="E235" s="2716"/>
      <c r="F235" s="2895"/>
      <c r="G235" s="912"/>
      <c r="H235" s="2012"/>
      <c r="I235" s="1163"/>
      <c r="J235" s="1083"/>
      <c r="K235" s="2012"/>
      <c r="L235" s="726"/>
      <c r="M235" s="853"/>
      <c r="N235" s="846"/>
      <c r="O235" s="2136"/>
      <c r="P235" s="2136"/>
      <c r="AH235" s="2143">
        <v>0</v>
      </c>
    </row>
    <row s="46808" customFormat="1" customHeight="1" ht="18.75" hidden="1">
      <c r="A236" s="2292" t="s">
        <v>274</v>
      </c>
      <c r="B236" s="2292" t="s">
        <v>275</v>
      </c>
      <c r="C236" s="881"/>
      <c r="D236" s="2974"/>
      <c r="E236" s="2716"/>
      <c r="F236" s="2895" t="str">
        <f>INDEX(PT_DIFFERENTIATION_VTAR,MATCH(A236,PT_DIFFERENTIATION_VTAR_ID,0))</f>
        <v>Тариф на питьевую воду (питьевое водоснабжение)</v>
      </c>
      <c r="G236" s="2939" t="str">
        <f>INDEX(PT_DIFFERENTIATION_NTAR,MATCH(B236,PT_DIFFERENTIATION_NTAR_ID,0))</f>
        <v/>
      </c>
      <c r="H236" s="2374"/>
      <c r="I236" s="2251"/>
      <c r="J236" s="2285"/>
      <c r="K236" s="2290"/>
      <c r="L236" s="2374" t="s">
        <v>424</v>
      </c>
      <c r="M236" s="853"/>
      <c r="N236" s="846"/>
      <c r="O236" s="2136"/>
      <c r="P236" s="2136"/>
      <c r="AH236" s="2143">
        <v>0</v>
      </c>
    </row>
    <row s="46808" customFormat="1" customHeight="1" ht="18.75" hidden="1">
      <c r="A237" s="2292"/>
      <c r="B237" s="2292"/>
      <c r="C237" s="881" t="s">
        <v>1270</v>
      </c>
      <c r="D237" s="2974"/>
      <c r="E237" s="2716"/>
      <c r="F237" s="2895"/>
      <c r="G237" s="2939"/>
      <c r="H237" s="2012"/>
      <c r="I237" s="1163" t="s">
        <v>1269</v>
      </c>
      <c r="J237" s="1083"/>
      <c r="K237" s="2012"/>
      <c r="L237" s="726"/>
      <c r="M237" s="853"/>
      <c r="N237" s="846"/>
      <c r="O237" s="2136"/>
      <c r="P237" s="2136"/>
      <c r="AH237" s="2143">
        <v>0</v>
      </c>
    </row>
    <row s="46808" customFormat="1" customHeight="1" ht="0.75" hidden="1">
      <c r="A238" s="2292"/>
      <c r="B238" s="2292"/>
      <c r="C238" s="881" t="s">
        <v>1277</v>
      </c>
      <c r="D238" s="2974"/>
      <c r="E238" s="2716"/>
      <c r="F238" s="2895"/>
      <c r="G238" s="912"/>
      <c r="H238" s="2012"/>
      <c r="I238" s="1163"/>
      <c r="J238" s="1083"/>
      <c r="K238" s="2012"/>
      <c r="L238" s="726"/>
      <c r="M238" s="853"/>
      <c r="N238" s="846"/>
      <c r="O238" s="2136"/>
      <c r="P238" s="2136"/>
      <c r="AH238" s="2143">
        <v>0</v>
      </c>
    </row>
    <row s="46808" customFormat="1" customHeight="1" ht="18.75" hidden="1">
      <c r="A239" s="2292" t="s">
        <v>279</v>
      </c>
      <c r="B239" s="2292" t="s">
        <v>280</v>
      </c>
      <c r="C239" s="881"/>
      <c r="D239" s="2974"/>
      <c r="E239" s="2716"/>
      <c r="F239" s="2895" t="str">
        <f>INDEX(PT_DIFFERENTIATION_VTAR,MATCH(A239,PT_DIFFERENTIATION_VTAR_ID,0))</f>
        <v>Тариф на техническую воду</v>
      </c>
      <c r="G239" s="2939" t="str">
        <f>INDEX(PT_DIFFERENTIATION_NTAR,MATCH(B239,PT_DIFFERENTIATION_NTAR_ID,0))</f>
        <v/>
      </c>
      <c r="H239" s="2374"/>
      <c r="I239" s="2251"/>
      <c r="J239" s="2285"/>
      <c r="K239" s="2290"/>
      <c r="L239" s="2374" t="s">
        <v>424</v>
      </c>
      <c r="M239" s="853"/>
      <c r="N239" s="846"/>
      <c r="O239" s="2136"/>
      <c r="P239" s="2136"/>
      <c r="AH239" s="2143">
        <v>0</v>
      </c>
    </row>
    <row s="46808" customFormat="1" customHeight="1" ht="18.75" hidden="1">
      <c r="A240" s="2292"/>
      <c r="B240" s="2292"/>
      <c r="C240" s="881" t="s">
        <v>1270</v>
      </c>
      <c r="D240" s="2974"/>
      <c r="E240" s="2716"/>
      <c r="F240" s="2895"/>
      <c r="G240" s="2939"/>
      <c r="H240" s="2012"/>
      <c r="I240" s="1163" t="s">
        <v>1269</v>
      </c>
      <c r="J240" s="1083"/>
      <c r="K240" s="2012"/>
      <c r="L240" s="726"/>
      <c r="M240" s="853"/>
      <c r="N240" s="846"/>
      <c r="O240" s="2136"/>
      <c r="P240" s="2136"/>
      <c r="AH240" s="2143">
        <v>0</v>
      </c>
    </row>
    <row s="46808" customFormat="1" customHeight="1" ht="0.75" hidden="1">
      <c r="A241" s="2292"/>
      <c r="B241" s="2292"/>
      <c r="C241" s="881" t="s">
        <v>1277</v>
      </c>
      <c r="D241" s="2974"/>
      <c r="E241" s="2716"/>
      <c r="F241" s="2895"/>
      <c r="G241" s="912"/>
      <c r="H241" s="2012"/>
      <c r="I241" s="1163"/>
      <c r="J241" s="1083"/>
      <c r="K241" s="2012"/>
      <c r="L241" s="726"/>
      <c r="M241" s="853"/>
      <c r="N241" s="846"/>
      <c r="O241" s="2136"/>
      <c r="P241" s="2136"/>
      <c r="AH241" s="2143">
        <v>0</v>
      </c>
    </row>
    <row s="46808" customFormat="1" customHeight="1" ht="18.75" hidden="1">
      <c r="A242" s="2292" t="s">
        <v>284</v>
      </c>
      <c r="B242" s="2292" t="s">
        <v>285</v>
      </c>
      <c r="C242" s="881"/>
      <c r="D242" s="2974"/>
      <c r="E242" s="2716"/>
      <c r="F242" s="2895" t="str">
        <f>INDEX(PT_DIFFERENTIATION_VTAR,MATCH(A242,PT_DIFFERENTIATION_VTAR_ID,0))</f>
        <v>Тариф на транспортировку воды</v>
      </c>
      <c r="G242" s="2939" t="str">
        <f>INDEX(PT_DIFFERENTIATION_NTAR,MATCH(B242,PT_DIFFERENTIATION_NTAR_ID,0))</f>
        <v/>
      </c>
      <c r="H242" s="2374"/>
      <c r="I242" s="2251"/>
      <c r="J242" s="2285"/>
      <c r="K242" s="2290"/>
      <c r="L242" s="2374" t="s">
        <v>424</v>
      </c>
      <c r="M242" s="853"/>
      <c r="N242" s="846"/>
      <c r="O242" s="2136"/>
      <c r="P242" s="2136"/>
      <c r="AH242" s="2143">
        <v>0</v>
      </c>
    </row>
    <row s="46808" customFormat="1" customHeight="1" ht="18.75" hidden="1">
      <c r="A243" s="2292"/>
      <c r="B243" s="2292"/>
      <c r="C243" s="881" t="s">
        <v>1270</v>
      </c>
      <c r="D243" s="2974"/>
      <c r="E243" s="2716"/>
      <c r="F243" s="2895"/>
      <c r="G243" s="2939"/>
      <c r="H243" s="2012"/>
      <c r="I243" s="1163" t="s">
        <v>1269</v>
      </c>
      <c r="J243" s="1083"/>
      <c r="K243" s="2012"/>
      <c r="L243" s="726"/>
      <c r="M243" s="853"/>
      <c r="N243" s="846"/>
      <c r="O243" s="2136"/>
      <c r="P243" s="2136"/>
      <c r="AH243" s="2143">
        <v>0</v>
      </c>
    </row>
    <row s="46808" customFormat="1" customHeight="1" ht="0.75" hidden="1">
      <c r="A244" s="2292"/>
      <c r="B244" s="2292"/>
      <c r="C244" s="881" t="s">
        <v>1277</v>
      </c>
      <c r="D244" s="2974"/>
      <c r="E244" s="2716"/>
      <c r="F244" s="2895"/>
      <c r="G244" s="912"/>
      <c r="H244" s="2012"/>
      <c r="I244" s="1163"/>
      <c r="J244" s="1083"/>
      <c r="K244" s="2012"/>
      <c r="L244" s="726"/>
      <c r="M244" s="853"/>
      <c r="N244" s="846"/>
      <c r="O244" s="2136"/>
      <c r="P244" s="2136"/>
      <c r="AH244" s="2143">
        <v>0</v>
      </c>
    </row>
    <row s="46808" customFormat="1" customHeight="1" ht="18.75" hidden="1">
      <c r="A245" s="2292" t="s">
        <v>289</v>
      </c>
      <c r="B245" s="2292" t="s">
        <v>290</v>
      </c>
      <c r="C245" s="881"/>
      <c r="D245" s="2974"/>
      <c r="E245" s="2716"/>
      <c r="F245" s="2895" t="str">
        <f>INDEX(PT_DIFFERENTIATION_VTAR,MATCH(A245,PT_DIFFERENTIATION_VTAR_ID,0))</f>
        <v>Тариф на подвоз воды</v>
      </c>
      <c r="G245" s="2939" t="str">
        <f>INDEX(PT_DIFFERENTIATION_NTAR,MATCH(B245,PT_DIFFERENTIATION_NTAR_ID,0))</f>
        <v/>
      </c>
      <c r="H245" s="2374"/>
      <c r="I245" s="2251"/>
      <c r="J245" s="2285"/>
      <c r="K245" s="2290"/>
      <c r="L245" s="2374" t="s">
        <v>424</v>
      </c>
      <c r="M245" s="853"/>
      <c r="N245" s="846"/>
      <c r="O245" s="2136"/>
      <c r="P245" s="2136"/>
      <c r="AH245" s="2143">
        <v>0</v>
      </c>
    </row>
    <row s="46808" customFormat="1" customHeight="1" ht="18.75" hidden="1">
      <c r="A246" s="2292"/>
      <c r="B246" s="2292"/>
      <c r="C246" s="881" t="s">
        <v>1270</v>
      </c>
      <c r="D246" s="2974"/>
      <c r="E246" s="2716"/>
      <c r="F246" s="2895"/>
      <c r="G246" s="2939"/>
      <c r="H246" s="2012"/>
      <c r="I246" s="1163" t="s">
        <v>1269</v>
      </c>
      <c r="J246" s="1083"/>
      <c r="K246" s="2012"/>
      <c r="L246" s="726"/>
      <c r="M246" s="853"/>
      <c r="N246" s="846"/>
      <c r="O246" s="2136"/>
      <c r="P246" s="2136"/>
      <c r="AH246" s="2143">
        <v>0</v>
      </c>
    </row>
    <row s="46808" customFormat="1" customHeight="1" ht="0.75" hidden="1">
      <c r="A247" s="2292"/>
      <c r="B247" s="2292"/>
      <c r="C247" s="881" t="s">
        <v>1277</v>
      </c>
      <c r="D247" s="2974"/>
      <c r="E247" s="2716"/>
      <c r="F247" s="2895"/>
      <c r="G247" s="912"/>
      <c r="H247" s="2012"/>
      <c r="I247" s="1163"/>
      <c r="J247" s="1083"/>
      <c r="K247" s="2012"/>
      <c r="L247" s="726"/>
      <c r="M247" s="853"/>
      <c r="N247" s="846"/>
      <c r="O247" s="2136"/>
      <c r="P247" s="2136"/>
      <c r="AH247" s="2143">
        <v>0</v>
      </c>
    </row>
    <row s="46808" customFormat="1" customHeight="1" ht="18.75" hidden="1">
      <c r="A248" s="2292" t="s">
        <v>294</v>
      </c>
      <c r="B248" s="2292" t="s">
        <v>295</v>
      </c>
      <c r="C248" s="881"/>
      <c r="D248" s="2974"/>
      <c r="E248" s="2716"/>
      <c r="F248" s="2895"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939" t="str">
        <f>INDEX(PT_DIFFERENTIATION_NTAR,MATCH(B248,PT_DIFFERENTIATION_NTAR_ID,0))</f>
        <v/>
      </c>
      <c r="H248" s="2374"/>
      <c r="I248" s="2251"/>
      <c r="J248" s="2285"/>
      <c r="K248" s="2290"/>
      <c r="L248" s="2374" t="s">
        <v>424</v>
      </c>
      <c r="M248" s="853"/>
      <c r="N248" s="846"/>
      <c r="O248" s="2136"/>
      <c r="P248" s="2136"/>
      <c r="AH248" s="2143">
        <v>0</v>
      </c>
    </row>
    <row s="46808" customFormat="1" customHeight="1" ht="18.75" hidden="1">
      <c r="A249" s="2292"/>
      <c r="B249" s="2292"/>
      <c r="C249" s="881" t="s">
        <v>1270</v>
      </c>
      <c r="D249" s="2974"/>
      <c r="E249" s="2716"/>
      <c r="F249" s="2895"/>
      <c r="G249" s="2939"/>
      <c r="H249" s="2012"/>
      <c r="I249" s="1163" t="s">
        <v>1269</v>
      </c>
      <c r="J249" s="1083"/>
      <c r="K249" s="2012"/>
      <c r="L249" s="726"/>
      <c r="M249" s="853"/>
      <c r="N249" s="846"/>
      <c r="O249" s="2136"/>
      <c r="P249" s="2136"/>
      <c r="AH249" s="2143">
        <v>0</v>
      </c>
    </row>
    <row s="46808" customFormat="1" customHeight="1" ht="0.75" hidden="1">
      <c r="A250" s="2292"/>
      <c r="B250" s="2292"/>
      <c r="C250" s="881" t="s">
        <v>1277</v>
      </c>
      <c r="D250" s="2974"/>
      <c r="E250" s="2716"/>
      <c r="F250" s="2895"/>
      <c r="G250" s="912"/>
      <c r="H250" s="2012"/>
      <c r="I250" s="1163"/>
      <c r="J250" s="1083"/>
      <c r="K250" s="2012"/>
      <c r="L250" s="726"/>
      <c r="M250" s="853"/>
      <c r="N250" s="846"/>
      <c r="O250" s="2136"/>
      <c r="P250" s="2136"/>
      <c r="AH250" s="2143">
        <v>0</v>
      </c>
    </row>
    <row s="46808" customFormat="1" customHeight="1" ht="18.75" hidden="1">
      <c r="A251" s="2292" t="s">
        <v>299</v>
      </c>
      <c r="B251" s="2292" t="s">
        <v>300</v>
      </c>
      <c r="C251" s="881"/>
      <c r="D251" s="2974"/>
      <c r="E251" s="2716"/>
      <c r="F251" s="2895" t="str">
        <f>INDEX(PT_DIFFERENTIATION_VTAR,MATCH(A251,PT_DIFFERENTIATION_VTAR_ID,0))</f>
        <v>Тариф на горячую воду (горячее водоснабжение)</v>
      </c>
      <c r="G251" s="2939" t="str">
        <f>INDEX(PT_DIFFERENTIATION_NTAR,MATCH(B251,PT_DIFFERENTIATION_NTAR_ID,0))</f>
        <v/>
      </c>
      <c r="H251" s="2374"/>
      <c r="I251" s="2251"/>
      <c r="J251" s="2285"/>
      <c r="K251" s="2290"/>
      <c r="L251" s="2374" t="s">
        <v>424</v>
      </c>
      <c r="M251" s="853"/>
      <c r="N251" s="846"/>
      <c r="O251" s="2136"/>
      <c r="P251" s="2136"/>
      <c r="AH251" s="2143">
        <v>0</v>
      </c>
    </row>
    <row s="46808" customFormat="1" customHeight="1" ht="18.75" hidden="1">
      <c r="A252" s="2292"/>
      <c r="B252" s="2292"/>
      <c r="C252" s="881" t="s">
        <v>1270</v>
      </c>
      <c r="D252" s="2974"/>
      <c r="E252" s="2716"/>
      <c r="F252" s="2895"/>
      <c r="G252" s="2939"/>
      <c r="H252" s="2012"/>
      <c r="I252" s="1163" t="s">
        <v>1269</v>
      </c>
      <c r="J252" s="1083"/>
      <c r="K252" s="2012"/>
      <c r="L252" s="726"/>
      <c r="M252" s="853"/>
      <c r="N252" s="846"/>
      <c r="O252" s="2136"/>
      <c r="P252" s="2136"/>
      <c r="AH252" s="2143">
        <v>0</v>
      </c>
    </row>
    <row s="46808" customFormat="1" customHeight="1" ht="0.75" hidden="1">
      <c r="A253" s="2292"/>
      <c r="B253" s="2292"/>
      <c r="C253" s="881" t="s">
        <v>1277</v>
      </c>
      <c r="D253" s="2974"/>
      <c r="E253" s="2716"/>
      <c r="F253" s="2895"/>
      <c r="G253" s="912"/>
      <c r="H253" s="2012"/>
      <c r="I253" s="1163"/>
      <c r="J253" s="1083"/>
      <c r="K253" s="2012"/>
      <c r="L253" s="726"/>
      <c r="M253" s="853"/>
      <c r="N253" s="846"/>
      <c r="O253" s="2136"/>
      <c r="P253" s="2136"/>
      <c r="AH253" s="2143">
        <v>0</v>
      </c>
    </row>
    <row s="46808" customFormat="1" customHeight="1" ht="18.75" hidden="1">
      <c r="A254" s="2292" t="s">
        <v>304</v>
      </c>
      <c r="B254" s="2292" t="s">
        <v>305</v>
      </c>
      <c r="C254" s="881"/>
      <c r="D254" s="2974"/>
      <c r="E254" s="2716"/>
      <c r="F254" s="2895" t="str">
        <f>INDEX(PT_DIFFERENTIATION_VTAR,MATCH(A254,PT_DIFFERENTIATION_VTAR_ID,0))</f>
        <v>Тариф на транспортировку горячей воды</v>
      </c>
      <c r="G254" s="2939" t="str">
        <f>INDEX(PT_DIFFERENTIATION_NTAR,MATCH(B254,PT_DIFFERENTIATION_NTAR_ID,0))</f>
        <v/>
      </c>
      <c r="H254" s="2374"/>
      <c r="I254" s="2251"/>
      <c r="J254" s="2285"/>
      <c r="K254" s="2290"/>
      <c r="L254" s="2374" t="s">
        <v>424</v>
      </c>
      <c r="M254" s="853"/>
      <c r="N254" s="846"/>
      <c r="O254" s="2136"/>
      <c r="P254" s="2136"/>
      <c r="AH254" s="2143">
        <v>0</v>
      </c>
    </row>
    <row s="46808" customFormat="1" customHeight="1" ht="18.75" hidden="1">
      <c r="A255" s="2292"/>
      <c r="B255" s="2292"/>
      <c r="C255" s="881" t="s">
        <v>1270</v>
      </c>
      <c r="D255" s="2974"/>
      <c r="E255" s="2716"/>
      <c r="F255" s="2895"/>
      <c r="G255" s="2939"/>
      <c r="H255" s="2012"/>
      <c r="I255" s="1163" t="s">
        <v>1269</v>
      </c>
      <c r="J255" s="1083"/>
      <c r="K255" s="2012"/>
      <c r="L255" s="726"/>
      <c r="M255" s="853"/>
      <c r="N255" s="846"/>
      <c r="O255" s="2136"/>
      <c r="P255" s="2136"/>
      <c r="AH255" s="2143">
        <v>0</v>
      </c>
    </row>
    <row s="46808" customFormat="1" customHeight="1" ht="0.75" hidden="1">
      <c r="A256" s="2292"/>
      <c r="B256" s="2292"/>
      <c r="C256" s="881" t="s">
        <v>1277</v>
      </c>
      <c r="D256" s="2974"/>
      <c r="E256" s="2716"/>
      <c r="F256" s="2895"/>
      <c r="G256" s="912"/>
      <c r="H256" s="2012"/>
      <c r="I256" s="1163"/>
      <c r="J256" s="1083"/>
      <c r="K256" s="2012"/>
      <c r="L256" s="726"/>
      <c r="M256" s="853"/>
      <c r="N256" s="846"/>
      <c r="O256" s="2136"/>
      <c r="P256" s="2136"/>
      <c r="AH256" s="2143">
        <v>0</v>
      </c>
    </row>
    <row s="46808" customFormat="1" customHeight="1" ht="18.75" hidden="1">
      <c r="A257" s="2292" t="s">
        <v>309</v>
      </c>
      <c r="B257" s="2292" t="s">
        <v>310</v>
      </c>
      <c r="C257" s="881"/>
      <c r="D257" s="2974"/>
      <c r="E257" s="2716"/>
      <c r="F257" s="2895" t="str">
        <f>INDEX(PT_DIFFERENTIATION_VTAR,MATCH(A257,PT_DIFFERENTIATION_VTAR_ID,0))</f>
        <v>Тариф на подключение (технологическое присоединение) к централизованной системе горячего водоснабжения</v>
      </c>
      <c r="G257" s="2939" t="str">
        <f>INDEX(PT_DIFFERENTIATION_NTAR,MATCH(B257,PT_DIFFERENTIATION_NTAR_ID,0))</f>
        <v/>
      </c>
      <c r="H257" s="2374"/>
      <c r="I257" s="2251"/>
      <c r="J257" s="2285"/>
      <c r="K257" s="2290"/>
      <c r="L257" s="2374" t="s">
        <v>424</v>
      </c>
      <c r="M257" s="853"/>
      <c r="N257" s="846"/>
      <c r="O257" s="2136"/>
      <c r="P257" s="2136"/>
      <c r="AH257" s="2143">
        <v>0</v>
      </c>
    </row>
    <row s="46808" customFormat="1" customHeight="1" ht="18.75" hidden="1">
      <c r="A258" s="2292"/>
      <c r="B258" s="2292"/>
      <c r="C258" s="881" t="s">
        <v>1270</v>
      </c>
      <c r="D258" s="2974"/>
      <c r="E258" s="2716"/>
      <c r="F258" s="2895"/>
      <c r="G258" s="2939"/>
      <c r="H258" s="2012"/>
      <c r="I258" s="1163" t="s">
        <v>1269</v>
      </c>
      <c r="J258" s="1083"/>
      <c r="K258" s="2012"/>
      <c r="L258" s="726"/>
      <c r="M258" s="853"/>
      <c r="N258" s="846"/>
      <c r="O258" s="2136"/>
      <c r="P258" s="2136"/>
      <c r="AH258" s="2143">
        <v>0</v>
      </c>
    </row>
    <row s="46808" customFormat="1" customHeight="1" ht="0.75" hidden="1">
      <c r="A259" s="2292"/>
      <c r="B259" s="2292"/>
      <c r="C259" s="881" t="s">
        <v>1277</v>
      </c>
      <c r="D259" s="2974"/>
      <c r="E259" s="2716"/>
      <c r="F259" s="2895"/>
      <c r="G259" s="912"/>
      <c r="H259" s="2012"/>
      <c r="I259" s="1163"/>
      <c r="J259" s="1083"/>
      <c r="K259" s="2012"/>
      <c r="L259" s="726"/>
      <c r="M259" s="853"/>
      <c r="N259" s="846"/>
      <c r="O259" s="2136"/>
      <c r="P259" s="2136"/>
      <c r="AH259" s="2143">
        <v>0</v>
      </c>
    </row>
    <row s="46808" customFormat="1" customHeight="1" ht="18.75" hidden="1">
      <c r="A260" s="2292" t="s">
        <v>317</v>
      </c>
      <c r="B260" s="2292" t="s">
        <v>318</v>
      </c>
      <c r="C260" s="881"/>
      <c r="D260" s="2974"/>
      <c r="E260" s="2716"/>
      <c r="F260" s="2895" t="str">
        <f>INDEX(PT_DIFFERENTIATION_VTAR,MATCH(A260,PT_DIFFERENTIATION_VTAR_ID,0))</f>
        <v>Тариф на водоотведение</v>
      </c>
      <c r="G260" s="2939" t="str">
        <f>INDEX(PT_DIFFERENTIATION_NTAR,MATCH(B260,PT_DIFFERENTIATION_NTAR_ID,0))</f>
        <v>Тариф на водоотведение для потребителей КГУП "Примтеплоэнерго"</v>
      </c>
      <c r="H260" s="2374"/>
      <c r="I260" s="2251"/>
      <c r="J260" s="2285"/>
      <c r="K260" s="2290"/>
      <c r="L260" s="2374" t="s">
        <v>424</v>
      </c>
      <c r="M260" s="853"/>
      <c r="N260" s="846"/>
      <c r="O260" s="2136"/>
      <c r="P260" s="2136"/>
      <c r="AH260" s="2143">
        <v>0</v>
      </c>
    </row>
    <row s="46808" customFormat="1" customHeight="1" ht="18.75" hidden="1">
      <c r="A261" s="2292"/>
      <c r="B261" s="2292"/>
      <c r="C261" s="881" t="s">
        <v>1270</v>
      </c>
      <c r="D261" s="2974"/>
      <c r="E261" s="2716"/>
      <c r="F261" s="2895"/>
      <c r="G261" s="2939"/>
      <c r="H261" s="2012"/>
      <c r="I261" s="1163" t="s">
        <v>1269</v>
      </c>
      <c r="J261" s="1083"/>
      <c r="K261" s="2012"/>
      <c r="L261" s="726"/>
      <c r="M261" s="853"/>
      <c r="N261" s="846"/>
      <c r="O261" s="2136"/>
      <c r="P261" s="2136"/>
      <c r="AH261" s="2143">
        <v>0</v>
      </c>
    </row>
    <row s="46808" customFormat="1" customHeight="1" ht="0.75" hidden="1">
      <c r="A262" s="2292"/>
      <c r="B262" s="2292"/>
      <c r="C262" s="881" t="s">
        <v>1277</v>
      </c>
      <c r="D262" s="2974"/>
      <c r="E262" s="2716"/>
      <c r="F262" s="2895"/>
      <c r="G262" s="912"/>
      <c r="H262" s="2012"/>
      <c r="I262" s="1163"/>
      <c r="J262" s="1083"/>
      <c r="K262" s="2012"/>
      <c r="L262" s="726"/>
      <c r="M262" s="853"/>
      <c r="N262" s="846"/>
      <c r="O262" s="2136"/>
      <c r="P262" s="2136"/>
      <c r="AH262" s="2143">
        <v>0</v>
      </c>
    </row>
    <row s="46808" customFormat="1" customHeight="1" ht="18.75" hidden="1">
      <c r="A263" s="2292" t="s">
        <v>388</v>
      </c>
      <c r="B263" s="2292" t="s">
        <v>389</v>
      </c>
      <c r="C263" s="881"/>
      <c r="D263" s="2974"/>
      <c r="E263" s="2716"/>
      <c r="F263" s="2895" t="str">
        <f>INDEX(PT_DIFFERENTIATION_VTAR,MATCH(A263,PT_DIFFERENTIATION_VTAR_ID,0))</f>
        <v>Тариф на транспортировку сточных вод</v>
      </c>
      <c r="G263" s="2939" t="str">
        <f>INDEX(PT_DIFFERENTIATION_NTAR,MATCH(B263,PT_DIFFERENTIATION_NTAR_ID,0))</f>
        <v/>
      </c>
      <c r="H263" s="2374"/>
      <c r="I263" s="2251"/>
      <c r="J263" s="2285"/>
      <c r="K263" s="2290"/>
      <c r="L263" s="2374" t="s">
        <v>424</v>
      </c>
      <c r="M263" s="853"/>
      <c r="N263" s="846"/>
      <c r="O263" s="2136"/>
      <c r="P263" s="2136"/>
      <c r="AH263" s="2143">
        <v>0</v>
      </c>
    </row>
    <row s="46808" customFormat="1" customHeight="1" ht="18.75" hidden="1">
      <c r="A264" s="2292"/>
      <c r="B264" s="2292"/>
      <c r="C264" s="881" t="s">
        <v>1270</v>
      </c>
      <c r="D264" s="2974"/>
      <c r="E264" s="2716"/>
      <c r="F264" s="2895"/>
      <c r="G264" s="2939"/>
      <c r="H264" s="2012"/>
      <c r="I264" s="1163" t="s">
        <v>1269</v>
      </c>
      <c r="J264" s="1083"/>
      <c r="K264" s="2012"/>
      <c r="L264" s="726"/>
      <c r="M264" s="853"/>
      <c r="N264" s="846"/>
      <c r="O264" s="2136"/>
      <c r="P264" s="2136"/>
      <c r="AH264" s="2143">
        <v>0</v>
      </c>
    </row>
    <row s="46808" customFormat="1" customHeight="1" ht="0.75" hidden="1">
      <c r="A265" s="2292"/>
      <c r="B265" s="2292"/>
      <c r="C265" s="881" t="s">
        <v>1277</v>
      </c>
      <c r="D265" s="2974"/>
      <c r="E265" s="2716"/>
      <c r="F265" s="2895"/>
      <c r="G265" s="912"/>
      <c r="H265" s="2012"/>
      <c r="I265" s="1163"/>
      <c r="J265" s="1083"/>
      <c r="K265" s="2012"/>
      <c r="L265" s="726"/>
      <c r="M265" s="853"/>
      <c r="N265" s="846"/>
      <c r="O265" s="2136"/>
      <c r="P265" s="2136"/>
      <c r="AH265" s="2143">
        <v>0</v>
      </c>
    </row>
    <row s="46808" customFormat="1" customHeight="1" ht="18.75" hidden="1">
      <c r="A266" s="2292" t="s">
        <v>393</v>
      </c>
      <c r="B266" s="2292" t="s">
        <v>394</v>
      </c>
      <c r="C266" s="881"/>
      <c r="D266" s="2974"/>
      <c r="E266" s="2716"/>
      <c r="F266" s="2895" t="str">
        <f>INDEX(PT_DIFFERENTIATION_VTAR,MATCH(A266,PT_DIFFERENTIATION_VTAR_ID,0))</f>
        <v>Тариф на подключение (технологическое присоединение) к централизованной системе водоотведения</v>
      </c>
      <c r="G266" s="2939" t="str">
        <f>INDEX(PT_DIFFERENTIATION_NTAR,MATCH(B266,PT_DIFFERENTIATION_NTAR_ID,0))</f>
        <v/>
      </c>
      <c r="H266" s="2374"/>
      <c r="I266" s="2251"/>
      <c r="J266" s="2285"/>
      <c r="K266" s="2290"/>
      <c r="L266" s="2374" t="s">
        <v>424</v>
      </c>
      <c r="M266" s="853"/>
      <c r="N266" s="846"/>
      <c r="O266" s="2136"/>
      <c r="P266" s="2136"/>
      <c r="AH266" s="2143">
        <v>0</v>
      </c>
    </row>
    <row s="46808" customFormat="1" customHeight="1" ht="18.75" hidden="1">
      <c r="A267" s="2292"/>
      <c r="B267" s="2292"/>
      <c r="C267" s="881" t="s">
        <v>1270</v>
      </c>
      <c r="D267" s="2974"/>
      <c r="E267" s="2716"/>
      <c r="F267" s="2895"/>
      <c r="G267" s="2939"/>
      <c r="H267" s="2012"/>
      <c r="I267" s="1163" t="s">
        <v>1269</v>
      </c>
      <c r="J267" s="1083"/>
      <c r="K267" s="2012"/>
      <c r="L267" s="726"/>
      <c r="M267" s="853"/>
      <c r="N267" s="846"/>
      <c r="O267" s="2136"/>
      <c r="P267" s="2136"/>
      <c r="AH267" s="2143">
        <v>0</v>
      </c>
    </row>
    <row s="46808" customFormat="1" customHeight="1" ht="1.05">
      <c r="A268" s="2292"/>
      <c r="B268" s="2292"/>
      <c r="C268" s="881" t="s">
        <v>1277</v>
      </c>
      <c r="D268" s="2974"/>
      <c r="E268" s="2716"/>
      <c r="F268" s="2895"/>
      <c r="G268" s="912"/>
      <c r="H268" s="2012"/>
      <c r="I268" s="1163"/>
      <c r="J268" s="1083"/>
      <c r="K268" s="2012"/>
      <c r="L268" s="726"/>
      <c r="M268" s="853"/>
      <c r="N268" s="846"/>
      <c r="O268" s="2136"/>
      <c r="P268" s="2136"/>
      <c r="AH268" s="2143">
        <v>1</v>
      </c>
    </row>
    <row customHeight="1" ht="27.299999999999997">
      <c r="A269" s="2292"/>
      <c r="B269" s="2292"/>
      <c r="D269" s="888"/>
      <c r="E269" s="659" t="s">
        <v>94</v>
      </c>
      <c r="F269" s="2972"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972"/>
      <c r="H269" s="2972"/>
      <c r="I269" s="2972"/>
      <c r="J269" s="2972"/>
      <c r="K269" s="2972"/>
      <c r="L269" s="2972"/>
      <c r="M269" s="809"/>
      <c r="N269" s="846"/>
      <c r="AH269" s="886">
        <v>26</v>
      </c>
    </row>
    <row s="46808" customFormat="1" customHeight="1" ht="60.75" hidden="1">
      <c r="A270" s="2292" t="s">
        <v>206</v>
      </c>
      <c r="B270" s="2292" t="s">
        <v>207</v>
      </c>
      <c r="C270" s="881"/>
      <c r="D270" s="2974"/>
      <c r="E270" s="2716"/>
      <c r="F270" s="2895"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939" t="str">
        <f>INDEX(PT_DIFFERENTIATION_NTAR,MATCH(B270,PT_DIFFERENTIATION_NTAR_ID,0))</f>
        <v/>
      </c>
      <c r="H270" s="2374"/>
      <c r="I270" s="2251"/>
      <c r="J270" s="2285"/>
      <c r="K270" s="2290"/>
      <c r="L270" s="2374" t="s">
        <v>424</v>
      </c>
      <c r="M270" s="268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846"/>
      <c r="O270" s="2136"/>
      <c r="P270" s="2136"/>
      <c r="AH270" s="2143">
        <v>0</v>
      </c>
    </row>
    <row s="46808" customFormat="1" customHeight="1" ht="18.75" hidden="1">
      <c r="A271" s="2292"/>
      <c r="B271" s="2292"/>
      <c r="C271" s="881" t="s">
        <v>1270</v>
      </c>
      <c r="D271" s="2974"/>
      <c r="E271" s="2716"/>
      <c r="F271" s="2895"/>
      <c r="G271" s="2939"/>
      <c r="H271" s="2012"/>
      <c r="I271" s="1163" t="s">
        <v>1269</v>
      </c>
      <c r="J271" s="1083"/>
      <c r="K271" s="2012"/>
      <c r="L271" s="726"/>
      <c r="M271" s="2682"/>
      <c r="N271" s="846"/>
      <c r="O271" s="2136"/>
      <c r="P271" s="2136"/>
      <c r="AH271" s="2143">
        <v>0</v>
      </c>
    </row>
    <row s="46808" customFormat="1" customHeight="1" ht="0.75" hidden="1">
      <c r="A272" s="2292"/>
      <c r="B272" s="2292"/>
      <c r="C272" s="881" t="s">
        <v>1277</v>
      </c>
      <c r="D272" s="2974"/>
      <c r="E272" s="2716"/>
      <c r="F272" s="2895"/>
      <c r="G272" s="912"/>
      <c r="H272" s="2012"/>
      <c r="I272" s="1163"/>
      <c r="J272" s="1083"/>
      <c r="K272" s="2012"/>
      <c r="L272" s="726"/>
      <c r="M272" s="2682"/>
      <c r="N272" s="846"/>
      <c r="O272" s="2136"/>
      <c r="P272" s="2136"/>
      <c r="AH272" s="2143">
        <v>0</v>
      </c>
    </row>
    <row s="46808" customFormat="1" customHeight="1" ht="45" hidden="1">
      <c r="A273" s="2292" t="s">
        <v>211</v>
      </c>
      <c r="B273" s="2292" t="s">
        <v>212</v>
      </c>
      <c r="C273" s="881"/>
      <c r="D273" s="2974"/>
      <c r="E273" s="2716"/>
      <c r="F273" s="2895" t="str">
        <f>INDEX(PT_DIFFERENTIATION_VTAR,MATCH(A273,PT_DIFFERENTIATION_VTAR_ID,0))</f>
        <v/>
      </c>
      <c r="G273" s="2939" t="str">
        <f>INDEX(PT_DIFFERENTIATION_NTAR,MATCH(B273,PT_DIFFERENTIATION_NTAR_ID,0))</f>
        <v/>
      </c>
      <c r="H273" s="2374"/>
      <c r="I273" s="2251"/>
      <c r="J273" s="2285"/>
      <c r="K273" s="2290"/>
      <c r="L273" s="2374" t="s">
        <v>424</v>
      </c>
      <c r="M273" s="2683"/>
      <c r="N273" s="846"/>
      <c r="O273" s="2136"/>
      <c r="P273" s="2136"/>
      <c r="AH273" s="2143">
        <v>0</v>
      </c>
    </row>
    <row s="46808" customFormat="1" customHeight="1" ht="18.75" hidden="1">
      <c r="A274" s="2292"/>
      <c r="B274" s="2292"/>
      <c r="C274" s="881" t="s">
        <v>1270</v>
      </c>
      <c r="D274" s="2974"/>
      <c r="E274" s="2716"/>
      <c r="F274" s="2895"/>
      <c r="G274" s="2939"/>
      <c r="H274" s="2012"/>
      <c r="I274" s="1163" t="s">
        <v>1269</v>
      </c>
      <c r="J274" s="1083"/>
      <c r="K274" s="2012"/>
      <c r="L274" s="726"/>
      <c r="M274" s="2373"/>
      <c r="N274" s="846"/>
      <c r="O274" s="2136"/>
      <c r="P274" s="2136"/>
      <c r="AH274" s="2143">
        <v>0</v>
      </c>
    </row>
    <row s="46808" customFormat="1" customHeight="1" ht="0.75" hidden="1">
      <c r="A275" s="2292"/>
      <c r="B275" s="2292"/>
      <c r="C275" s="881" t="s">
        <v>1277</v>
      </c>
      <c r="D275" s="2974"/>
      <c r="E275" s="2716"/>
      <c r="F275" s="2895"/>
      <c r="G275" s="912"/>
      <c r="H275" s="2012"/>
      <c r="I275" s="1163"/>
      <c r="J275" s="1083"/>
      <c r="K275" s="2012"/>
      <c r="L275" s="726"/>
      <c r="M275" s="853"/>
      <c r="N275" s="846"/>
      <c r="O275" s="2136"/>
      <c r="P275" s="2136"/>
      <c r="AH275" s="2143">
        <v>0</v>
      </c>
    </row>
    <row s="46808" customFormat="1" customHeight="1" ht="45" hidden="1">
      <c r="A276" s="2292" t="s">
        <v>218</v>
      </c>
      <c r="B276" s="2292" t="s">
        <v>219</v>
      </c>
      <c r="C276" s="881"/>
      <c r="D276" s="2974"/>
      <c r="E276" s="2716"/>
      <c r="F276" s="2895"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939" t="str">
        <f>INDEX(PT_DIFFERENTIATION_NTAR,MATCH(B276,PT_DIFFERENTIATION_NTAR_ID,0))</f>
        <v/>
      </c>
      <c r="H276" s="2374"/>
      <c r="I276" s="2251"/>
      <c r="J276" s="2285"/>
      <c r="K276" s="2290"/>
      <c r="L276" s="2374" t="s">
        <v>424</v>
      </c>
      <c r="M276" s="853"/>
      <c r="N276" s="846"/>
      <c r="O276" s="2136"/>
      <c r="P276" s="2136"/>
      <c r="AH276" s="2143">
        <v>0</v>
      </c>
    </row>
    <row s="46808" customFormat="1" customHeight="1" ht="18.75" hidden="1">
      <c r="A277" s="2292"/>
      <c r="B277" s="2292"/>
      <c r="C277" s="881" t="s">
        <v>1270</v>
      </c>
      <c r="D277" s="2974"/>
      <c r="E277" s="2716"/>
      <c r="F277" s="2895"/>
      <c r="G277" s="2939"/>
      <c r="H277" s="2012"/>
      <c r="I277" s="1163" t="s">
        <v>1269</v>
      </c>
      <c r="J277" s="1083"/>
      <c r="K277" s="2012"/>
      <c r="L277" s="726"/>
      <c r="M277" s="853"/>
      <c r="N277" s="846"/>
      <c r="O277" s="2136"/>
      <c r="P277" s="2136"/>
      <c r="AH277" s="2143">
        <v>0</v>
      </c>
    </row>
    <row s="46808" customFormat="1" customHeight="1" ht="0.75" hidden="1">
      <c r="A278" s="2292"/>
      <c r="B278" s="2292"/>
      <c r="C278" s="881" t="s">
        <v>1277</v>
      </c>
      <c r="D278" s="2974"/>
      <c r="E278" s="2716"/>
      <c r="F278" s="2895"/>
      <c r="G278" s="912"/>
      <c r="H278" s="2012"/>
      <c r="I278" s="1163"/>
      <c r="J278" s="1083"/>
      <c r="K278" s="2012"/>
      <c r="L278" s="726"/>
      <c r="M278" s="853"/>
      <c r="N278" s="846"/>
      <c r="O278" s="2136"/>
      <c r="P278" s="2136"/>
      <c r="AH278" s="2143">
        <v>0</v>
      </c>
    </row>
    <row s="46808" customFormat="1" customHeight="1" ht="45" hidden="1">
      <c r="A279" s="2292" t="s">
        <v>224</v>
      </c>
      <c r="B279" s="2292" t="s">
        <v>225</v>
      </c>
      <c r="C279" s="881"/>
      <c r="D279" s="2974"/>
      <c r="E279" s="2716"/>
      <c r="F279" s="2895"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939" t="str">
        <f>INDEX(PT_DIFFERENTIATION_NTAR,MATCH(B279,PT_DIFFERENTIATION_NTAR_ID,0))</f>
        <v/>
      </c>
      <c r="H279" s="2374"/>
      <c r="I279" s="2251"/>
      <c r="J279" s="2285"/>
      <c r="K279" s="2290"/>
      <c r="L279" s="2374" t="s">
        <v>424</v>
      </c>
      <c r="M279" s="853"/>
      <c r="N279" s="846"/>
      <c r="O279" s="2136"/>
      <c r="P279" s="2136"/>
      <c r="AH279" s="2143">
        <v>0</v>
      </c>
    </row>
    <row s="46808" customFormat="1" customHeight="1" ht="18.75" hidden="1">
      <c r="A280" s="2292"/>
      <c r="B280" s="2292"/>
      <c r="C280" s="881" t="s">
        <v>1270</v>
      </c>
      <c r="D280" s="2974"/>
      <c r="E280" s="2716"/>
      <c r="F280" s="2895"/>
      <c r="G280" s="2939"/>
      <c r="H280" s="2012"/>
      <c r="I280" s="1163" t="s">
        <v>1269</v>
      </c>
      <c r="J280" s="1083"/>
      <c r="K280" s="2012"/>
      <c r="L280" s="726"/>
      <c r="M280" s="853"/>
      <c r="N280" s="846"/>
      <c r="O280" s="2136"/>
      <c r="P280" s="2136"/>
      <c r="AH280" s="2143">
        <v>0</v>
      </c>
    </row>
    <row s="46808" customFormat="1" customHeight="1" ht="0.75" hidden="1">
      <c r="A281" s="2292"/>
      <c r="B281" s="2292"/>
      <c r="C281" s="881" t="s">
        <v>1277</v>
      </c>
      <c r="D281" s="2974"/>
      <c r="E281" s="2716"/>
      <c r="F281" s="2895"/>
      <c r="G281" s="912"/>
      <c r="H281" s="2012"/>
      <c r="I281" s="1163"/>
      <c r="J281" s="1083"/>
      <c r="K281" s="2012"/>
      <c r="L281" s="726"/>
      <c r="M281" s="853"/>
      <c r="N281" s="846"/>
      <c r="O281" s="2136"/>
      <c r="P281" s="2136"/>
      <c r="AH281" s="2143">
        <v>0</v>
      </c>
    </row>
    <row s="46808" customFormat="1" customHeight="1" ht="18.75" hidden="1">
      <c r="A282" s="2292" t="s">
        <v>230</v>
      </c>
      <c r="B282" s="2292" t="s">
        <v>231</v>
      </c>
      <c r="C282" s="881"/>
      <c r="D282" s="2974"/>
      <c r="E282" s="2716"/>
      <c r="F282" s="2895" t="str">
        <f>INDEX(PT_DIFFERENTIATION_VTAR,MATCH(A282,PT_DIFFERENTIATION_VTAR_ID,0))</f>
        <v>Тарифы на услуги по передаче тепловой энергии</v>
      </c>
      <c r="G282" s="2939" t="str">
        <f>INDEX(PT_DIFFERENTIATION_NTAR,MATCH(B282,PT_DIFFERENTIATION_NTAR_ID,0))</f>
        <v/>
      </c>
      <c r="H282" s="2374"/>
      <c r="I282" s="2251"/>
      <c r="J282" s="2285"/>
      <c r="K282" s="2290"/>
      <c r="L282" s="2374" t="s">
        <v>424</v>
      </c>
      <c r="M282" s="853"/>
      <c r="N282" s="846"/>
      <c r="O282" s="2136"/>
      <c r="P282" s="2136"/>
      <c r="AH282" s="2143">
        <v>0</v>
      </c>
    </row>
    <row s="46808" customFormat="1" customHeight="1" ht="18.75" hidden="1">
      <c r="A283" s="2292"/>
      <c r="B283" s="2292"/>
      <c r="C283" s="881" t="s">
        <v>1270</v>
      </c>
      <c r="D283" s="2974"/>
      <c r="E283" s="2716"/>
      <c r="F283" s="2895"/>
      <c r="G283" s="2939"/>
      <c r="H283" s="2012"/>
      <c r="I283" s="1163" t="s">
        <v>1269</v>
      </c>
      <c r="J283" s="1083"/>
      <c r="K283" s="2012"/>
      <c r="L283" s="726"/>
      <c r="M283" s="853"/>
      <c r="N283" s="846"/>
      <c r="O283" s="2136"/>
      <c r="P283" s="2136"/>
      <c r="AH283" s="2143">
        <v>0</v>
      </c>
    </row>
    <row s="46808" customFormat="1" customHeight="1" ht="0.75" hidden="1">
      <c r="A284" s="2292"/>
      <c r="B284" s="2292"/>
      <c r="C284" s="881" t="s">
        <v>1277</v>
      </c>
      <c r="D284" s="2974"/>
      <c r="E284" s="2716"/>
      <c r="F284" s="2895"/>
      <c r="G284" s="912"/>
      <c r="H284" s="2012"/>
      <c r="I284" s="1163"/>
      <c r="J284" s="1083"/>
      <c r="K284" s="2012"/>
      <c r="L284" s="726"/>
      <c r="M284" s="853"/>
      <c r="N284" s="846"/>
      <c r="O284" s="2136"/>
      <c r="P284" s="2136"/>
      <c r="AH284" s="2143">
        <v>0</v>
      </c>
    </row>
    <row s="46808" customFormat="1" customHeight="1" ht="18.75" hidden="1">
      <c r="A285" s="2292" t="s">
        <v>236</v>
      </c>
      <c r="B285" s="2292" t="s">
        <v>237</v>
      </c>
      <c r="C285" s="881"/>
      <c r="D285" s="2974"/>
      <c r="E285" s="2716"/>
      <c r="F285" s="2895" t="str">
        <f>INDEX(PT_DIFFERENTIATION_VTAR,MATCH(A285,PT_DIFFERENTIATION_VTAR_ID,0))</f>
        <v>Тарифы на услуги по передаче теплоносителя</v>
      </c>
      <c r="G285" s="2939" t="str">
        <f>INDEX(PT_DIFFERENTIATION_NTAR,MATCH(B285,PT_DIFFERENTIATION_NTAR_ID,0))</f>
        <v/>
      </c>
      <c r="H285" s="2374"/>
      <c r="I285" s="2251"/>
      <c r="J285" s="2285"/>
      <c r="K285" s="2290"/>
      <c r="L285" s="2374" t="s">
        <v>424</v>
      </c>
      <c r="M285" s="853"/>
      <c r="N285" s="846"/>
      <c r="O285" s="2136"/>
      <c r="P285" s="2136"/>
      <c r="AH285" s="2143">
        <v>0</v>
      </c>
    </row>
    <row s="46808" customFormat="1" customHeight="1" ht="18.75" hidden="1">
      <c r="A286" s="2292"/>
      <c r="B286" s="2292"/>
      <c r="C286" s="881" t="s">
        <v>1270</v>
      </c>
      <c r="D286" s="2974"/>
      <c r="E286" s="2716"/>
      <c r="F286" s="2895"/>
      <c r="G286" s="2939"/>
      <c r="H286" s="2012"/>
      <c r="I286" s="1163" t="s">
        <v>1269</v>
      </c>
      <c r="J286" s="1083"/>
      <c r="K286" s="2012"/>
      <c r="L286" s="726"/>
      <c r="M286" s="853"/>
      <c r="N286" s="846"/>
      <c r="O286" s="2136"/>
      <c r="P286" s="2136"/>
      <c r="AH286" s="2143">
        <v>0</v>
      </c>
    </row>
    <row s="46808" customFormat="1" customHeight="1" ht="0.75" hidden="1">
      <c r="A287" s="2292"/>
      <c r="B287" s="2292"/>
      <c r="C287" s="881" t="s">
        <v>1277</v>
      </c>
      <c r="D287" s="2974"/>
      <c r="E287" s="2716"/>
      <c r="F287" s="2895"/>
      <c r="G287" s="912"/>
      <c r="H287" s="2012"/>
      <c r="I287" s="1163"/>
      <c r="J287" s="1083"/>
      <c r="K287" s="2012"/>
      <c r="L287" s="726"/>
      <c r="M287" s="853"/>
      <c r="N287" s="846"/>
      <c r="O287" s="2136"/>
      <c r="P287" s="2136"/>
      <c r="AH287" s="2143">
        <v>0</v>
      </c>
    </row>
    <row s="46808" customFormat="1" customHeight="1" ht="18.75" hidden="1">
      <c r="A288" s="2292" t="s">
        <v>242</v>
      </c>
      <c r="B288" s="2292" t="s">
        <v>243</v>
      </c>
      <c r="C288" s="881"/>
      <c r="D288" s="2974"/>
      <c r="E288" s="2716"/>
      <c r="F288" s="2895"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939" t="str">
        <f>INDEX(PT_DIFFERENTIATION_NTAR,MATCH(B288,PT_DIFFERENTIATION_NTAR_ID,0))</f>
        <v/>
      </c>
      <c r="H288" s="2374"/>
      <c r="I288" s="2251"/>
      <c r="J288" s="2285"/>
      <c r="K288" s="2290"/>
      <c r="L288" s="2374" t="s">
        <v>424</v>
      </c>
      <c r="M288" s="853"/>
      <c r="N288" s="846"/>
      <c r="O288" s="2136"/>
      <c r="P288" s="2136"/>
      <c r="AH288" s="2143">
        <v>0</v>
      </c>
    </row>
    <row s="46808" customFormat="1" customHeight="1" ht="18.75" hidden="1">
      <c r="A289" s="2292"/>
      <c r="B289" s="2292"/>
      <c r="C289" s="881" t="s">
        <v>1270</v>
      </c>
      <c r="D289" s="2974"/>
      <c r="E289" s="2716"/>
      <c r="F289" s="2895"/>
      <c r="G289" s="2939"/>
      <c r="H289" s="2012"/>
      <c r="I289" s="1163" t="s">
        <v>1269</v>
      </c>
      <c r="J289" s="1083"/>
      <c r="K289" s="2012"/>
      <c r="L289" s="726"/>
      <c r="M289" s="853"/>
      <c r="N289" s="846"/>
      <c r="O289" s="2136"/>
      <c r="P289" s="2136"/>
      <c r="AH289" s="2143">
        <v>0</v>
      </c>
    </row>
    <row s="46808" customFormat="1" customHeight="1" ht="0.75" hidden="1">
      <c r="A290" s="2292"/>
      <c r="B290" s="2292"/>
      <c r="C290" s="881" t="s">
        <v>1277</v>
      </c>
      <c r="D290" s="2974"/>
      <c r="E290" s="2716"/>
      <c r="F290" s="2895"/>
      <c r="G290" s="912"/>
      <c r="H290" s="2012"/>
      <c r="I290" s="1163"/>
      <c r="J290" s="1083"/>
      <c r="K290" s="2012"/>
      <c r="L290" s="726"/>
      <c r="M290" s="853"/>
      <c r="N290" s="846"/>
      <c r="O290" s="2136"/>
      <c r="P290" s="2136"/>
      <c r="AH290" s="2143">
        <v>0</v>
      </c>
    </row>
    <row s="46808" customFormat="1" customHeight="1" ht="18.75" hidden="1">
      <c r="A291" s="2292" t="s">
        <v>248</v>
      </c>
      <c r="B291" s="2292" t="s">
        <v>249</v>
      </c>
      <c r="C291" s="881"/>
      <c r="D291" s="2974"/>
      <c r="E291" s="2716"/>
      <c r="F291" s="2895" t="str">
        <f>INDEX(PT_DIFFERENTIATION_VTAR,MATCH(A291,PT_DIFFERENTIATION_VTAR_ID,0))</f>
        <v>Плата за подключение (технологическое присоединение) к системе теплоснабжения</v>
      </c>
      <c r="G291" s="2939" t="str">
        <f>INDEX(PT_DIFFERENTIATION_NTAR,MATCH(B291,PT_DIFFERENTIATION_NTAR_ID,0))</f>
        <v/>
      </c>
      <c r="H291" s="2374"/>
      <c r="I291" s="2251"/>
      <c r="J291" s="2285"/>
      <c r="K291" s="2290"/>
      <c r="L291" s="2374" t="s">
        <v>424</v>
      </c>
      <c r="M291" s="853"/>
      <c r="N291" s="846"/>
      <c r="O291" s="2136"/>
      <c r="P291" s="2136"/>
      <c r="AH291" s="2143">
        <v>0</v>
      </c>
    </row>
    <row s="46808" customFormat="1" customHeight="1" ht="18.75" hidden="1">
      <c r="A292" s="2292"/>
      <c r="B292" s="2292"/>
      <c r="C292" s="881" t="s">
        <v>1270</v>
      </c>
      <c r="D292" s="2974"/>
      <c r="E292" s="2716"/>
      <c r="F292" s="2895"/>
      <c r="G292" s="2939"/>
      <c r="H292" s="2012"/>
      <c r="I292" s="1163" t="s">
        <v>1269</v>
      </c>
      <c r="J292" s="1083"/>
      <c r="K292" s="2012"/>
      <c r="L292" s="726"/>
      <c r="M292" s="853"/>
      <c r="N292" s="846"/>
      <c r="O292" s="2136"/>
      <c r="P292" s="2136"/>
      <c r="AH292" s="2143">
        <v>0</v>
      </c>
    </row>
    <row s="46808" customFormat="1" customHeight="1" ht="0.75" hidden="1">
      <c r="A293" s="2292"/>
      <c r="B293" s="2292"/>
      <c r="C293" s="881" t="s">
        <v>1277</v>
      </c>
      <c r="D293" s="2974"/>
      <c r="E293" s="2716"/>
      <c r="F293" s="2895"/>
      <c r="G293" s="912"/>
      <c r="H293" s="2012"/>
      <c r="I293" s="1163"/>
      <c r="J293" s="1083"/>
      <c r="K293" s="2012"/>
      <c r="L293" s="726"/>
      <c r="M293" s="853"/>
      <c r="N293" s="846"/>
      <c r="O293" s="2136"/>
      <c r="P293" s="2136"/>
      <c r="AH293" s="2143">
        <v>0</v>
      </c>
    </row>
    <row s="46808" customFormat="1" customHeight="1" ht="18.75" hidden="1">
      <c r="A294" s="2292" t="s">
        <v>254</v>
      </c>
      <c r="B294" s="2292" t="s">
        <v>255</v>
      </c>
      <c r="C294" s="881"/>
      <c r="D294" s="2974"/>
      <c r="E294" s="2716"/>
      <c r="F294" s="2895" t="str">
        <f>INDEX(PT_DIFFERENTIATION_VTAR,MATCH(A294,PT_DIFFERENTIATION_VTAR_ID,0))</f>
        <v>Плата за подключение (технологическое присоединение) к системе теплоснабжения (индивидуальная)</v>
      </c>
      <c r="G294" s="2939" t="str">
        <f>INDEX(PT_DIFFERENTIATION_NTAR,MATCH(B294,PT_DIFFERENTIATION_NTAR_ID,0))</f>
        <v/>
      </c>
      <c r="H294" s="2501"/>
      <c r="I294" s="2251"/>
      <c r="J294" s="2285"/>
      <c r="K294" s="2290"/>
      <c r="L294" s="2501" t="s">
        <v>424</v>
      </c>
      <c r="M294" s="853"/>
      <c r="N294" s="846"/>
      <c r="O294" s="2136"/>
      <c r="P294" s="2136"/>
      <c r="AH294" s="2143">
        <v>0</v>
      </c>
    </row>
    <row s="46808" customFormat="1" customHeight="1" ht="18.75" hidden="1">
      <c r="A295" s="2292"/>
      <c r="B295" s="2292"/>
      <c r="C295" s="881" t="s">
        <v>1270</v>
      </c>
      <c r="D295" s="2974"/>
      <c r="E295" s="2716"/>
      <c r="F295" s="2895"/>
      <c r="G295" s="2939"/>
      <c r="H295" s="2012"/>
      <c r="I295" s="1163" t="s">
        <v>1269</v>
      </c>
      <c r="J295" s="1083"/>
      <c r="K295" s="2012"/>
      <c r="L295" s="726"/>
      <c r="M295" s="853"/>
      <c r="N295" s="846"/>
      <c r="O295" s="2136"/>
      <c r="P295" s="2136"/>
      <c r="AH295" s="2143">
        <v>0</v>
      </c>
    </row>
    <row s="46808" customFormat="1" customHeight="1" ht="0.75" hidden="1">
      <c r="A296" s="2292"/>
      <c r="B296" s="2292"/>
      <c r="C296" s="881" t="s">
        <v>1277</v>
      </c>
      <c r="D296" s="2974"/>
      <c r="E296" s="2716"/>
      <c r="F296" s="2895"/>
      <c r="G296" s="912"/>
      <c r="H296" s="2012"/>
      <c r="I296" s="1163"/>
      <c r="J296" s="1083"/>
      <c r="K296" s="2012"/>
      <c r="L296" s="726"/>
      <c r="M296" s="853"/>
      <c r="N296" s="846"/>
      <c r="O296" s="2136"/>
      <c r="P296" s="2136"/>
      <c r="AH296" s="2143">
        <v>0</v>
      </c>
    </row>
    <row s="46808" customFormat="1" customHeight="1" ht="18.75" hidden="1">
      <c r="A297" s="2292" t="s">
        <v>274</v>
      </c>
      <c r="B297" s="2292" t="s">
        <v>275</v>
      </c>
      <c r="C297" s="881"/>
      <c r="D297" s="2974"/>
      <c r="E297" s="2716"/>
      <c r="F297" s="2895" t="str">
        <f>INDEX(PT_DIFFERENTIATION_VTAR,MATCH(A297,PT_DIFFERENTIATION_VTAR_ID,0))</f>
        <v>Тариф на питьевую воду (питьевое водоснабжение)</v>
      </c>
      <c r="G297" s="2939" t="str">
        <f>INDEX(PT_DIFFERENTIATION_NTAR,MATCH(B297,PT_DIFFERENTIATION_NTAR_ID,0))</f>
        <v/>
      </c>
      <c r="H297" s="2374"/>
      <c r="I297" s="2251"/>
      <c r="J297" s="2285"/>
      <c r="K297" s="2290"/>
      <c r="L297" s="2374" t="s">
        <v>424</v>
      </c>
      <c r="M297" s="853"/>
      <c r="N297" s="846"/>
      <c r="O297" s="2136"/>
      <c r="P297" s="2136"/>
      <c r="AH297" s="2143">
        <v>0</v>
      </c>
    </row>
    <row s="46808" customFormat="1" customHeight="1" ht="18.75" hidden="1">
      <c r="A298" s="2292"/>
      <c r="B298" s="2292"/>
      <c r="C298" s="881" t="s">
        <v>1270</v>
      </c>
      <c r="D298" s="2974"/>
      <c r="E298" s="2716"/>
      <c r="F298" s="2895"/>
      <c r="G298" s="2939"/>
      <c r="H298" s="2012"/>
      <c r="I298" s="1163" t="s">
        <v>1269</v>
      </c>
      <c r="J298" s="1083"/>
      <c r="K298" s="2012"/>
      <c r="L298" s="726"/>
      <c r="M298" s="853"/>
      <c r="N298" s="846"/>
      <c r="O298" s="2136"/>
      <c r="P298" s="2136"/>
      <c r="AH298" s="2143">
        <v>0</v>
      </c>
    </row>
    <row s="46808" customFormat="1" customHeight="1" ht="0.75" hidden="1">
      <c r="A299" s="2292"/>
      <c r="B299" s="2292"/>
      <c r="C299" s="881" t="s">
        <v>1277</v>
      </c>
      <c r="D299" s="2974"/>
      <c r="E299" s="2716"/>
      <c r="F299" s="2895"/>
      <c r="G299" s="912"/>
      <c r="H299" s="2012"/>
      <c r="I299" s="1163"/>
      <c r="J299" s="1083"/>
      <c r="K299" s="2012"/>
      <c r="L299" s="726"/>
      <c r="M299" s="853"/>
      <c r="N299" s="846"/>
      <c r="O299" s="2136"/>
      <c r="P299" s="2136"/>
      <c r="AH299" s="2143">
        <v>0</v>
      </c>
    </row>
    <row s="46808" customFormat="1" customHeight="1" ht="18.75" hidden="1">
      <c r="A300" s="2292" t="s">
        <v>279</v>
      </c>
      <c r="B300" s="2292" t="s">
        <v>280</v>
      </c>
      <c r="C300" s="881"/>
      <c r="D300" s="2974"/>
      <c r="E300" s="2716"/>
      <c r="F300" s="2895" t="str">
        <f>INDEX(PT_DIFFERENTIATION_VTAR,MATCH(A300,PT_DIFFERENTIATION_VTAR_ID,0))</f>
        <v>Тариф на техническую воду</v>
      </c>
      <c r="G300" s="2939" t="str">
        <f>INDEX(PT_DIFFERENTIATION_NTAR,MATCH(B300,PT_DIFFERENTIATION_NTAR_ID,0))</f>
        <v/>
      </c>
      <c r="H300" s="2374"/>
      <c r="I300" s="2251"/>
      <c r="J300" s="2285"/>
      <c r="K300" s="2290"/>
      <c r="L300" s="2374" t="s">
        <v>424</v>
      </c>
      <c r="M300" s="853"/>
      <c r="N300" s="846"/>
      <c r="O300" s="2136"/>
      <c r="P300" s="2136"/>
      <c r="AH300" s="2143">
        <v>0</v>
      </c>
    </row>
    <row s="46808" customFormat="1" customHeight="1" ht="18.75" hidden="1">
      <c r="A301" s="2292"/>
      <c r="B301" s="2292"/>
      <c r="C301" s="881" t="s">
        <v>1270</v>
      </c>
      <c r="D301" s="2974"/>
      <c r="E301" s="2716"/>
      <c r="F301" s="2895"/>
      <c r="G301" s="2939"/>
      <c r="H301" s="2012"/>
      <c r="I301" s="1163" t="s">
        <v>1269</v>
      </c>
      <c r="J301" s="1083"/>
      <c r="K301" s="2012"/>
      <c r="L301" s="726"/>
      <c r="M301" s="853"/>
      <c r="N301" s="846"/>
      <c r="O301" s="2136"/>
      <c r="P301" s="2136"/>
      <c r="AH301" s="2143">
        <v>0</v>
      </c>
    </row>
    <row s="46808" customFormat="1" customHeight="1" ht="0.75" hidden="1">
      <c r="A302" s="2292"/>
      <c r="B302" s="2292"/>
      <c r="C302" s="881" t="s">
        <v>1277</v>
      </c>
      <c r="D302" s="2974"/>
      <c r="E302" s="2716"/>
      <c r="F302" s="2895"/>
      <c r="G302" s="912"/>
      <c r="H302" s="2012"/>
      <c r="I302" s="1163"/>
      <c r="J302" s="1083"/>
      <c r="K302" s="2012"/>
      <c r="L302" s="726"/>
      <c r="M302" s="853"/>
      <c r="N302" s="846"/>
      <c r="O302" s="2136"/>
      <c r="P302" s="2136"/>
      <c r="AH302" s="2143">
        <v>0</v>
      </c>
    </row>
    <row s="46808" customFormat="1" customHeight="1" ht="18.75" hidden="1">
      <c r="A303" s="2292" t="s">
        <v>284</v>
      </c>
      <c r="B303" s="2292" t="s">
        <v>285</v>
      </c>
      <c r="C303" s="881"/>
      <c r="D303" s="2974"/>
      <c r="E303" s="2716"/>
      <c r="F303" s="2895" t="str">
        <f>INDEX(PT_DIFFERENTIATION_VTAR,MATCH(A303,PT_DIFFERENTIATION_VTAR_ID,0))</f>
        <v>Тариф на транспортировку воды</v>
      </c>
      <c r="G303" s="2939" t="str">
        <f>INDEX(PT_DIFFERENTIATION_NTAR,MATCH(B303,PT_DIFFERENTIATION_NTAR_ID,0))</f>
        <v/>
      </c>
      <c r="H303" s="2374"/>
      <c r="I303" s="2251"/>
      <c r="J303" s="2285"/>
      <c r="K303" s="2290"/>
      <c r="L303" s="2374" t="s">
        <v>424</v>
      </c>
      <c r="M303" s="853"/>
      <c r="N303" s="846"/>
      <c r="O303" s="2136"/>
      <c r="P303" s="2136"/>
      <c r="AH303" s="2143">
        <v>0</v>
      </c>
    </row>
    <row s="46808" customFormat="1" customHeight="1" ht="18.75" hidden="1">
      <c r="A304" s="2292"/>
      <c r="B304" s="2292"/>
      <c r="C304" s="881" t="s">
        <v>1270</v>
      </c>
      <c r="D304" s="2974"/>
      <c r="E304" s="2716"/>
      <c r="F304" s="2895"/>
      <c r="G304" s="2939"/>
      <c r="H304" s="2012"/>
      <c r="I304" s="1163" t="s">
        <v>1269</v>
      </c>
      <c r="J304" s="1083"/>
      <c r="K304" s="2012"/>
      <c r="L304" s="726"/>
      <c r="M304" s="853"/>
      <c r="N304" s="846"/>
      <c r="O304" s="2136"/>
      <c r="P304" s="2136"/>
      <c r="AH304" s="2143">
        <v>0</v>
      </c>
    </row>
    <row s="46808" customFormat="1" customHeight="1" ht="0.75" hidden="1">
      <c r="A305" s="2292"/>
      <c r="B305" s="2292"/>
      <c r="C305" s="881" t="s">
        <v>1277</v>
      </c>
      <c r="D305" s="2974"/>
      <c r="E305" s="2716"/>
      <c r="F305" s="2895"/>
      <c r="G305" s="912"/>
      <c r="H305" s="2012"/>
      <c r="I305" s="1163"/>
      <c r="J305" s="1083"/>
      <c r="K305" s="2012"/>
      <c r="L305" s="726"/>
      <c r="M305" s="853"/>
      <c r="N305" s="846"/>
      <c r="O305" s="2136"/>
      <c r="P305" s="2136"/>
      <c r="AH305" s="2143">
        <v>0</v>
      </c>
    </row>
    <row s="46808" customFormat="1" customHeight="1" ht="18.75" hidden="1">
      <c r="A306" s="2292" t="s">
        <v>289</v>
      </c>
      <c r="B306" s="2292" t="s">
        <v>290</v>
      </c>
      <c r="C306" s="881"/>
      <c r="D306" s="2974"/>
      <c r="E306" s="2716"/>
      <c r="F306" s="2895" t="str">
        <f>INDEX(PT_DIFFERENTIATION_VTAR,MATCH(A306,PT_DIFFERENTIATION_VTAR_ID,0))</f>
        <v>Тариф на подвоз воды</v>
      </c>
      <c r="G306" s="2939" t="str">
        <f>INDEX(PT_DIFFERENTIATION_NTAR,MATCH(B306,PT_DIFFERENTIATION_NTAR_ID,0))</f>
        <v/>
      </c>
      <c r="H306" s="2374"/>
      <c r="I306" s="2251"/>
      <c r="J306" s="2285"/>
      <c r="K306" s="2290"/>
      <c r="L306" s="2374" t="s">
        <v>424</v>
      </c>
      <c r="M306" s="853"/>
      <c r="N306" s="846"/>
      <c r="O306" s="2136"/>
      <c r="P306" s="2136"/>
      <c r="AH306" s="2143">
        <v>0</v>
      </c>
    </row>
    <row s="46808" customFormat="1" customHeight="1" ht="18.75" hidden="1">
      <c r="A307" s="2292"/>
      <c r="B307" s="2292"/>
      <c r="C307" s="881" t="s">
        <v>1270</v>
      </c>
      <c r="D307" s="2974"/>
      <c r="E307" s="2716"/>
      <c r="F307" s="2895"/>
      <c r="G307" s="2939"/>
      <c r="H307" s="2012"/>
      <c r="I307" s="1163" t="s">
        <v>1269</v>
      </c>
      <c r="J307" s="1083"/>
      <c r="K307" s="2012"/>
      <c r="L307" s="726"/>
      <c r="M307" s="853"/>
      <c r="N307" s="846"/>
      <c r="O307" s="2136"/>
      <c r="P307" s="2136"/>
      <c r="AH307" s="2143">
        <v>0</v>
      </c>
    </row>
    <row s="46808" customFormat="1" customHeight="1" ht="0.75" hidden="1">
      <c r="A308" s="2292"/>
      <c r="B308" s="2292"/>
      <c r="C308" s="881" t="s">
        <v>1277</v>
      </c>
      <c r="D308" s="2974"/>
      <c r="E308" s="2716"/>
      <c r="F308" s="2895"/>
      <c r="G308" s="912"/>
      <c r="H308" s="2012"/>
      <c r="I308" s="1163"/>
      <c r="J308" s="1083"/>
      <c r="K308" s="2012"/>
      <c r="L308" s="726"/>
      <c r="M308" s="853"/>
      <c r="N308" s="846"/>
      <c r="O308" s="2136"/>
      <c r="P308" s="2136"/>
      <c r="AH308" s="2143">
        <v>0</v>
      </c>
    </row>
    <row s="46808" customFormat="1" customHeight="1" ht="18.75" hidden="1">
      <c r="A309" s="2292" t="s">
        <v>294</v>
      </c>
      <c r="B309" s="2292" t="s">
        <v>295</v>
      </c>
      <c r="C309" s="881"/>
      <c r="D309" s="2974"/>
      <c r="E309" s="2716"/>
      <c r="F309" s="2895"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939" t="str">
        <f>INDEX(PT_DIFFERENTIATION_NTAR,MATCH(B309,PT_DIFFERENTIATION_NTAR_ID,0))</f>
        <v/>
      </c>
      <c r="H309" s="2374"/>
      <c r="I309" s="2251"/>
      <c r="J309" s="2285"/>
      <c r="K309" s="2290"/>
      <c r="L309" s="2374" t="s">
        <v>424</v>
      </c>
      <c r="M309" s="853"/>
      <c r="N309" s="846"/>
      <c r="O309" s="2136"/>
      <c r="P309" s="2136"/>
      <c r="AH309" s="2143">
        <v>0</v>
      </c>
    </row>
    <row s="46808" customFormat="1" customHeight="1" ht="18.75" hidden="1">
      <c r="A310" s="2292"/>
      <c r="B310" s="2292"/>
      <c r="C310" s="881" t="s">
        <v>1270</v>
      </c>
      <c r="D310" s="2974"/>
      <c r="E310" s="2716"/>
      <c r="F310" s="2895"/>
      <c r="G310" s="2939"/>
      <c r="H310" s="2012"/>
      <c r="I310" s="1163" t="s">
        <v>1269</v>
      </c>
      <c r="J310" s="1083"/>
      <c r="K310" s="2012"/>
      <c r="L310" s="726"/>
      <c r="M310" s="853"/>
      <c r="N310" s="846"/>
      <c r="O310" s="2136"/>
      <c r="P310" s="2136"/>
      <c r="AH310" s="2143">
        <v>0</v>
      </c>
    </row>
    <row s="46808" customFormat="1" customHeight="1" ht="0.75" hidden="1">
      <c r="A311" s="2292"/>
      <c r="B311" s="2292"/>
      <c r="C311" s="881" t="s">
        <v>1277</v>
      </c>
      <c r="D311" s="2974"/>
      <c r="E311" s="2716"/>
      <c r="F311" s="2895"/>
      <c r="G311" s="912"/>
      <c r="H311" s="2012"/>
      <c r="I311" s="1163"/>
      <c r="J311" s="1083"/>
      <c r="K311" s="2012"/>
      <c r="L311" s="726"/>
      <c r="M311" s="853"/>
      <c r="N311" s="846"/>
      <c r="O311" s="2136"/>
      <c r="P311" s="2136"/>
      <c r="AH311" s="2143">
        <v>0</v>
      </c>
    </row>
    <row s="46808" customFormat="1" customHeight="1" ht="18.75" hidden="1">
      <c r="A312" s="2292" t="s">
        <v>299</v>
      </c>
      <c r="B312" s="2292" t="s">
        <v>300</v>
      </c>
      <c r="C312" s="881"/>
      <c r="D312" s="2974"/>
      <c r="E312" s="2716"/>
      <c r="F312" s="2895" t="str">
        <f>INDEX(PT_DIFFERENTIATION_VTAR,MATCH(A312,PT_DIFFERENTIATION_VTAR_ID,0))</f>
        <v>Тариф на горячую воду (горячее водоснабжение)</v>
      </c>
      <c r="G312" s="2939" t="str">
        <f>INDEX(PT_DIFFERENTIATION_NTAR,MATCH(B312,PT_DIFFERENTIATION_NTAR_ID,0))</f>
        <v/>
      </c>
      <c r="H312" s="2374"/>
      <c r="I312" s="2251"/>
      <c r="J312" s="2285"/>
      <c r="K312" s="2290"/>
      <c r="L312" s="2374" t="s">
        <v>424</v>
      </c>
      <c r="M312" s="853"/>
      <c r="N312" s="846"/>
      <c r="O312" s="2136"/>
      <c r="P312" s="2136"/>
      <c r="AH312" s="2143">
        <v>0</v>
      </c>
    </row>
    <row s="46808" customFormat="1" customHeight="1" ht="18.75" hidden="1">
      <c r="A313" s="2292"/>
      <c r="B313" s="2292"/>
      <c r="C313" s="881" t="s">
        <v>1270</v>
      </c>
      <c r="D313" s="2974"/>
      <c r="E313" s="2716"/>
      <c r="F313" s="2895"/>
      <c r="G313" s="2939"/>
      <c r="H313" s="2012"/>
      <c r="I313" s="1163" t="s">
        <v>1269</v>
      </c>
      <c r="J313" s="1083"/>
      <c r="K313" s="2012"/>
      <c r="L313" s="726"/>
      <c r="M313" s="853"/>
      <c r="N313" s="846"/>
      <c r="O313" s="2136"/>
      <c r="P313" s="2136"/>
      <c r="AH313" s="2143">
        <v>0</v>
      </c>
    </row>
    <row s="46808" customFormat="1" customHeight="1" ht="0.75" hidden="1">
      <c r="A314" s="2292"/>
      <c r="B314" s="2292"/>
      <c r="C314" s="881" t="s">
        <v>1277</v>
      </c>
      <c r="D314" s="2974"/>
      <c r="E314" s="2716"/>
      <c r="F314" s="2895"/>
      <c r="G314" s="912"/>
      <c r="H314" s="2012"/>
      <c r="I314" s="1163"/>
      <c r="J314" s="1083"/>
      <c r="K314" s="2012"/>
      <c r="L314" s="726"/>
      <c r="M314" s="853"/>
      <c r="N314" s="846"/>
      <c r="O314" s="2136"/>
      <c r="P314" s="2136"/>
      <c r="AH314" s="2143">
        <v>0</v>
      </c>
    </row>
    <row s="46808" customFormat="1" customHeight="1" ht="18.75" hidden="1">
      <c r="A315" s="2292" t="s">
        <v>304</v>
      </c>
      <c r="B315" s="2292" t="s">
        <v>305</v>
      </c>
      <c r="C315" s="881"/>
      <c r="D315" s="2974"/>
      <c r="E315" s="2716"/>
      <c r="F315" s="2895" t="str">
        <f>INDEX(PT_DIFFERENTIATION_VTAR,MATCH(A315,PT_DIFFERENTIATION_VTAR_ID,0))</f>
        <v>Тариф на транспортировку горячей воды</v>
      </c>
      <c r="G315" s="2939" t="str">
        <f>INDEX(PT_DIFFERENTIATION_NTAR,MATCH(B315,PT_DIFFERENTIATION_NTAR_ID,0))</f>
        <v/>
      </c>
      <c r="H315" s="2374"/>
      <c r="I315" s="2251"/>
      <c r="J315" s="2285"/>
      <c r="K315" s="2290"/>
      <c r="L315" s="2374" t="s">
        <v>424</v>
      </c>
      <c r="M315" s="853"/>
      <c r="N315" s="846"/>
      <c r="O315" s="2136"/>
      <c r="P315" s="2136"/>
      <c r="AH315" s="2143">
        <v>0</v>
      </c>
    </row>
    <row s="46808" customFormat="1" customHeight="1" ht="18.75" hidden="1">
      <c r="A316" s="2292"/>
      <c r="B316" s="2292"/>
      <c r="C316" s="881" t="s">
        <v>1270</v>
      </c>
      <c r="D316" s="2974"/>
      <c r="E316" s="2716"/>
      <c r="F316" s="2895"/>
      <c r="G316" s="2939"/>
      <c r="H316" s="2012"/>
      <c r="I316" s="1163" t="s">
        <v>1269</v>
      </c>
      <c r="J316" s="1083"/>
      <c r="K316" s="2012"/>
      <c r="L316" s="726"/>
      <c r="M316" s="853"/>
      <c r="N316" s="846"/>
      <c r="O316" s="2136"/>
      <c r="P316" s="2136"/>
      <c r="AH316" s="2143">
        <v>0</v>
      </c>
    </row>
    <row s="46808" customFormat="1" customHeight="1" ht="0.75" hidden="1">
      <c r="A317" s="2292"/>
      <c r="B317" s="2292"/>
      <c r="C317" s="881" t="s">
        <v>1277</v>
      </c>
      <c r="D317" s="2974"/>
      <c r="E317" s="2716"/>
      <c r="F317" s="2895"/>
      <c r="G317" s="912"/>
      <c r="H317" s="2012"/>
      <c r="I317" s="1163"/>
      <c r="J317" s="1083"/>
      <c r="K317" s="2012"/>
      <c r="L317" s="726"/>
      <c r="M317" s="853"/>
      <c r="N317" s="846"/>
      <c r="O317" s="2136"/>
      <c r="P317" s="2136"/>
      <c r="AH317" s="2143">
        <v>0</v>
      </c>
    </row>
    <row s="46808" customFormat="1" customHeight="1" ht="18.75" hidden="1">
      <c r="A318" s="2292" t="s">
        <v>309</v>
      </c>
      <c r="B318" s="2292" t="s">
        <v>310</v>
      </c>
      <c r="C318" s="881"/>
      <c r="D318" s="2974"/>
      <c r="E318" s="2716"/>
      <c r="F318" s="2895" t="str">
        <f>INDEX(PT_DIFFERENTIATION_VTAR,MATCH(A318,PT_DIFFERENTIATION_VTAR_ID,0))</f>
        <v>Тариф на подключение (технологическое присоединение) к централизованной системе горячего водоснабжения</v>
      </c>
      <c r="G318" s="2939" t="str">
        <f>INDEX(PT_DIFFERENTIATION_NTAR,MATCH(B318,PT_DIFFERENTIATION_NTAR_ID,0))</f>
        <v/>
      </c>
      <c r="H318" s="2374"/>
      <c r="I318" s="2251"/>
      <c r="J318" s="2285"/>
      <c r="K318" s="2290"/>
      <c r="L318" s="2374" t="s">
        <v>424</v>
      </c>
      <c r="M318" s="853"/>
      <c r="N318" s="846"/>
      <c r="O318" s="2136"/>
      <c r="P318" s="2136"/>
      <c r="AH318" s="2143">
        <v>0</v>
      </c>
    </row>
    <row s="46808" customFormat="1" customHeight="1" ht="18.75" hidden="1">
      <c r="A319" s="2292"/>
      <c r="B319" s="2292"/>
      <c r="C319" s="881" t="s">
        <v>1270</v>
      </c>
      <c r="D319" s="2974"/>
      <c r="E319" s="2716"/>
      <c r="F319" s="2895"/>
      <c r="G319" s="2939"/>
      <c r="H319" s="2012"/>
      <c r="I319" s="1163" t="s">
        <v>1269</v>
      </c>
      <c r="J319" s="1083"/>
      <c r="K319" s="2012"/>
      <c r="L319" s="726"/>
      <c r="M319" s="853"/>
      <c r="N319" s="846"/>
      <c r="O319" s="2136"/>
      <c r="P319" s="2136"/>
      <c r="AH319" s="2143">
        <v>0</v>
      </c>
    </row>
    <row s="46808" customFormat="1" customHeight="1" ht="0.75" hidden="1">
      <c r="A320" s="2292"/>
      <c r="B320" s="2292"/>
      <c r="C320" s="881" t="s">
        <v>1277</v>
      </c>
      <c r="D320" s="2974"/>
      <c r="E320" s="2716"/>
      <c r="F320" s="2895"/>
      <c r="G320" s="912"/>
      <c r="H320" s="2012"/>
      <c r="I320" s="1163"/>
      <c r="J320" s="1083"/>
      <c r="K320" s="2012"/>
      <c r="L320" s="726"/>
      <c r="M320" s="853"/>
      <c r="N320" s="846"/>
      <c r="O320" s="2136"/>
      <c r="P320" s="2136"/>
      <c r="AH320" s="2143">
        <v>0</v>
      </c>
    </row>
    <row s="46808" customFormat="1" customHeight="1" ht="18.75" hidden="1">
      <c r="A321" s="2292" t="s">
        <v>317</v>
      </c>
      <c r="B321" s="2292" t="s">
        <v>318</v>
      </c>
      <c r="C321" s="881"/>
      <c r="D321" s="2974"/>
      <c r="E321" s="2716"/>
      <c r="F321" s="2895" t="str">
        <f>INDEX(PT_DIFFERENTIATION_VTAR,MATCH(A321,PT_DIFFERENTIATION_VTAR_ID,0))</f>
        <v>Тариф на водоотведение</v>
      </c>
      <c r="G321" s="2939" t="str">
        <f>INDEX(PT_DIFFERENTIATION_NTAR,MATCH(B321,PT_DIFFERENTIATION_NTAR_ID,0))</f>
        <v>Тариф на водоотведение для потребителей КГУП "Примтеплоэнерго"</v>
      </c>
      <c r="H321" s="2374"/>
      <c r="I321" s="2251"/>
      <c r="J321" s="2285"/>
      <c r="K321" s="2290"/>
      <c r="L321" s="2374" t="s">
        <v>424</v>
      </c>
      <c r="M321" s="853"/>
      <c r="N321" s="846"/>
      <c r="O321" s="2136"/>
      <c r="P321" s="2136"/>
      <c r="AH321" s="2143">
        <v>0</v>
      </c>
    </row>
    <row s="46808" customFormat="1" customHeight="1" ht="18.75" hidden="1">
      <c r="A322" s="2292"/>
      <c r="B322" s="2292"/>
      <c r="C322" s="881" t="s">
        <v>1270</v>
      </c>
      <c r="D322" s="2974"/>
      <c r="E322" s="2716"/>
      <c r="F322" s="2895"/>
      <c r="G322" s="2939"/>
      <c r="H322" s="2012"/>
      <c r="I322" s="1163" t="s">
        <v>1269</v>
      </c>
      <c r="J322" s="1083"/>
      <c r="K322" s="2012"/>
      <c r="L322" s="726"/>
      <c r="M322" s="853"/>
      <c r="N322" s="846"/>
      <c r="O322" s="2136"/>
      <c r="P322" s="2136"/>
      <c r="AH322" s="2143">
        <v>0</v>
      </c>
    </row>
    <row s="46808" customFormat="1" customHeight="1" ht="0.75" hidden="1">
      <c r="A323" s="2292"/>
      <c r="B323" s="2292"/>
      <c r="C323" s="881" t="s">
        <v>1277</v>
      </c>
      <c r="D323" s="2974"/>
      <c r="E323" s="2716"/>
      <c r="F323" s="2895"/>
      <c r="G323" s="912"/>
      <c r="H323" s="2012"/>
      <c r="I323" s="1163"/>
      <c r="J323" s="1083"/>
      <c r="K323" s="2012"/>
      <c r="L323" s="726"/>
      <c r="M323" s="853"/>
      <c r="N323" s="846"/>
      <c r="O323" s="2136"/>
      <c r="P323" s="2136"/>
      <c r="AH323" s="2143">
        <v>0</v>
      </c>
    </row>
    <row s="46808" customFormat="1" customHeight="1" ht="18.75" hidden="1">
      <c r="A324" s="2292" t="s">
        <v>388</v>
      </c>
      <c r="B324" s="2292" t="s">
        <v>389</v>
      </c>
      <c r="C324" s="881"/>
      <c r="D324" s="2974"/>
      <c r="E324" s="2716"/>
      <c r="F324" s="2895" t="str">
        <f>INDEX(PT_DIFFERENTIATION_VTAR,MATCH(A324,PT_DIFFERENTIATION_VTAR_ID,0))</f>
        <v>Тариф на транспортировку сточных вод</v>
      </c>
      <c r="G324" s="2939" t="str">
        <f>INDEX(PT_DIFFERENTIATION_NTAR,MATCH(B324,PT_DIFFERENTIATION_NTAR_ID,0))</f>
        <v/>
      </c>
      <c r="H324" s="2374"/>
      <c r="I324" s="2251"/>
      <c r="J324" s="2285"/>
      <c r="K324" s="2290"/>
      <c r="L324" s="2374" t="s">
        <v>424</v>
      </c>
      <c r="M324" s="853"/>
      <c r="N324" s="846"/>
      <c r="O324" s="2136"/>
      <c r="P324" s="2136"/>
      <c r="AH324" s="2143">
        <v>0</v>
      </c>
    </row>
    <row s="46808" customFormat="1" customHeight="1" ht="18.75" hidden="1">
      <c r="A325" s="2292"/>
      <c r="B325" s="2292"/>
      <c r="C325" s="881" t="s">
        <v>1270</v>
      </c>
      <c r="D325" s="2974"/>
      <c r="E325" s="2716"/>
      <c r="F325" s="2895"/>
      <c r="G325" s="2939"/>
      <c r="H325" s="2012"/>
      <c r="I325" s="1163" t="s">
        <v>1269</v>
      </c>
      <c r="J325" s="1083"/>
      <c r="K325" s="2012"/>
      <c r="L325" s="726"/>
      <c r="M325" s="853"/>
      <c r="N325" s="846"/>
      <c r="O325" s="2136"/>
      <c r="P325" s="2136"/>
      <c r="AH325" s="2143">
        <v>0</v>
      </c>
    </row>
    <row s="46808" customFormat="1" customHeight="1" ht="0.75" hidden="1">
      <c r="A326" s="2292"/>
      <c r="B326" s="2292"/>
      <c r="C326" s="881" t="s">
        <v>1277</v>
      </c>
      <c r="D326" s="2974"/>
      <c r="E326" s="2716"/>
      <c r="F326" s="2895"/>
      <c r="G326" s="912"/>
      <c r="H326" s="2012"/>
      <c r="I326" s="1163"/>
      <c r="J326" s="1083"/>
      <c r="K326" s="2012"/>
      <c r="L326" s="726"/>
      <c r="M326" s="853"/>
      <c r="N326" s="846"/>
      <c r="O326" s="2136"/>
      <c r="P326" s="2136"/>
      <c r="AH326" s="2143">
        <v>0</v>
      </c>
    </row>
    <row s="46808" customFormat="1" customHeight="1" ht="18.75" hidden="1">
      <c r="A327" s="2292" t="s">
        <v>393</v>
      </c>
      <c r="B327" s="2292" t="s">
        <v>394</v>
      </c>
      <c r="C327" s="881"/>
      <c r="D327" s="2974"/>
      <c r="E327" s="2716"/>
      <c r="F327" s="2895" t="str">
        <f>INDEX(PT_DIFFERENTIATION_VTAR,MATCH(A327,PT_DIFFERENTIATION_VTAR_ID,0))</f>
        <v>Тариф на подключение (технологическое присоединение) к централизованной системе водоотведения</v>
      </c>
      <c r="G327" s="2939" t="str">
        <f>INDEX(PT_DIFFERENTIATION_NTAR,MATCH(B327,PT_DIFFERENTIATION_NTAR_ID,0))</f>
        <v/>
      </c>
      <c r="H327" s="2374"/>
      <c r="I327" s="2251"/>
      <c r="J327" s="2285"/>
      <c r="K327" s="2290"/>
      <c r="L327" s="2374" t="s">
        <v>424</v>
      </c>
      <c r="M327" s="853"/>
      <c r="N327" s="846"/>
      <c r="O327" s="2136"/>
      <c r="P327" s="2136"/>
      <c r="AH327" s="2143">
        <v>0</v>
      </c>
    </row>
    <row s="46808" customFormat="1" customHeight="1" ht="18.75" hidden="1">
      <c r="A328" s="2292"/>
      <c r="B328" s="2292"/>
      <c r="C328" s="881" t="s">
        <v>1270</v>
      </c>
      <c r="D328" s="2974"/>
      <c r="E328" s="2716"/>
      <c r="F328" s="2895"/>
      <c r="G328" s="2939"/>
      <c r="H328" s="2012"/>
      <c r="I328" s="1163" t="s">
        <v>1269</v>
      </c>
      <c r="J328" s="1083"/>
      <c r="K328" s="2012"/>
      <c r="L328" s="726"/>
      <c r="M328" s="853"/>
      <c r="N328" s="846"/>
      <c r="O328" s="2136"/>
      <c r="P328" s="2136"/>
      <c r="AH328" s="2143">
        <v>0</v>
      </c>
    </row>
    <row s="46808" customFormat="1" customHeight="1" ht="1.05">
      <c r="A329" s="2292"/>
      <c r="B329" s="2292"/>
      <c r="C329" s="881" t="s">
        <v>1277</v>
      </c>
      <c r="D329" s="2974"/>
      <c r="E329" s="2716"/>
      <c r="F329" s="2895"/>
      <c r="G329" s="912"/>
      <c r="H329" s="2012"/>
      <c r="I329" s="1163"/>
      <c r="J329" s="1083"/>
      <c r="K329" s="2012"/>
      <c r="L329" s="726"/>
      <c r="M329" s="853"/>
      <c r="N329" s="846"/>
      <c r="O329" s="2136"/>
      <c r="P329" s="2136"/>
      <c r="AH329" s="2143">
        <v>1</v>
      </c>
    </row>
    <row s="55196" customFormat="1" customHeight="1" ht="3">
      <c r="A330" s="2292"/>
      <c r="B330" s="2292"/>
      <c r="C330" s="2293"/>
      <c r="E330" s="914"/>
      <c r="F330" s="914"/>
      <c r="G330" s="914"/>
      <c r="H330" s="914"/>
      <c r="I330" s="914"/>
      <c r="J330" s="914"/>
      <c r="K330" s="914"/>
      <c r="L330" s="914"/>
      <c r="M330" s="914"/>
      <c r="O330" s="708"/>
      <c r="P330" s="708"/>
      <c r="AH330" s="652">
        <v>3</v>
      </c>
    </row>
    <row customHeight="1" ht="26.25">
      <c r="E331" s="714"/>
      <c r="F331" s="2797"/>
      <c r="G331" s="2797"/>
      <c r="H331" s="2797"/>
      <c r="I331" s="2797"/>
      <c r="J331" s="2797"/>
      <c r="K331" s="2797"/>
      <c r="L331" s="2797"/>
      <c r="M331" s="2797"/>
      <c r="AH331" s="886">
        <v>25</v>
      </c>
    </row>
    <row customHeight="1" ht="14.25" hidden="1">
      <c r="A332" s="2291" t="s">
        <v>84</v>
      </c>
      <c r="B332" s="2291">
        <v>0</v>
      </c>
      <c r="C332" s="881">
        <v>0</v>
      </c>
      <c r="D332" s="856">
        <v>3</v>
      </c>
      <c r="E332" s="886">
        <v>6</v>
      </c>
      <c r="F332" s="886">
        <v>46</v>
      </c>
      <c r="G332" s="886">
        <v>35</v>
      </c>
      <c r="H332" s="886">
        <v>3</v>
      </c>
      <c r="I332" s="886">
        <v>11</v>
      </c>
      <c r="J332" s="886">
        <v>11</v>
      </c>
      <c r="K332" s="886">
        <v>35</v>
      </c>
      <c r="L332" s="886">
        <v>35</v>
      </c>
      <c r="M332" s="886">
        <v>84</v>
      </c>
      <c r="N332" s="886">
        <v>10</v>
      </c>
      <c r="O332" s="862">
        <v>10</v>
      </c>
      <c r="P332" s="862">
        <v>10</v>
      </c>
      <c r="Q332" s="886">
        <v>10</v>
      </c>
      <c r="R332" s="886">
        <v>10</v>
      </c>
      <c r="S332" s="886">
        <v>10</v>
      </c>
      <c r="T332" s="886">
        <v>10</v>
      </c>
      <c r="U332" s="886">
        <v>10</v>
      </c>
      <c r="V332" s="886">
        <v>10</v>
      </c>
      <c r="W332" s="886">
        <v>10</v>
      </c>
      <c r="X332" s="886">
        <v>10</v>
      </c>
      <c r="Y332" s="886">
        <v>10</v>
      </c>
      <c r="Z332" s="886">
        <v>10</v>
      </c>
      <c r="AA332" s="886">
        <v>10</v>
      </c>
      <c r="AB332" s="886">
        <v>10</v>
      </c>
      <c r="AC332" s="886">
        <v>10</v>
      </c>
      <c r="AD332" s="886">
        <v>10</v>
      </c>
      <c r="AE332" s="886">
        <v>10</v>
      </c>
      <c r="AF332" s="886">
        <v>10</v>
      </c>
      <c r="AG332" s="886">
        <v>10</v>
      </c>
      <c r="AH332" s="886">
        <v>14</v>
      </c>
    </row>
  </sheetData>
  <sheetProtection formatColumns="0" formatRows="0" autoFilter="0" sort="0" insertRows="0" insertColumns="1" deleteRows="0" deleteColumns="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21BDBC3-FFC2-7C5C-283B-63F2EE5DE037}" mc:Ignorable="x14ac xr xr2 xr3">
  <sheetPr>
    <tabColor theme="6" tint="0.4"/>
  </sheetPr>
  <dimension ref="A1:R17"/>
  <sheetViews>
    <sheetView topLeftCell="A1" showGridLines="0" zoomScale="90" workbookViewId="0">
      <selection activeCell="A1" sqref="A1"/>
    </sheetView>
  </sheetViews>
  <sheetFormatPr defaultColWidth="10.57421875" customHeight="1" defaultRowHeight="14.25"/>
  <cols>
    <col min="1" max="1" style="47740" width="9.140625" hidden="1" customWidth="1"/>
    <col min="2" max="2" style="46889" width="9.140625" hidden="1" customWidth="1"/>
    <col min="3" max="3" style="47741" width="3.00390625" customWidth="1"/>
    <col min="4" max="4" style="46808" width="6.00390625" customWidth="1"/>
    <col min="5" max="5" style="46808" width="53.00390625" customWidth="1"/>
    <col min="6" max="7" style="46808" width="35.00390625" customWidth="1"/>
    <col min="8" max="8" style="46808" width="89.00390625" customWidth="1"/>
    <col min="9" max="9" style="46808" width="10.00390625" customWidth="1"/>
    <col min="10" max="11" style="46989" width="10.00390625" customWidth="1"/>
    <col min="12" max="17" style="46808" width="10.00390625" customWidth="1"/>
    <col min="18" max="18" style="46808" width="10.57421875" hidden="1"/>
  </cols>
  <sheetData>
    <row customHeight="1" ht="22.5" hidden="1">
      <c r="N1" s="767"/>
      <c r="O1" s="767"/>
      <c r="Q1" s="767"/>
      <c r="R1" s="886" t="s">
        <v>14</v>
      </c>
    </row>
    <row s="46808" customFormat="1" customHeight="1" ht="18.75" hidden="1">
      <c r="A2" s="614"/>
      <c r="B2" s="1672"/>
      <c r="C2" s="2242" t="s">
        <v>106</v>
      </c>
      <c r="D2" s="2185"/>
      <c r="E2" s="2194"/>
      <c r="F2" s="769"/>
      <c r="G2" s="1673"/>
      <c r="H2" s="886"/>
      <c r="I2" s="2136"/>
      <c r="J2" s="2136"/>
      <c r="R2" s="2143">
        <v>0</v>
      </c>
    </row>
    <row customHeight="1" ht="14.25" hidden="1">
      <c r="R3" s="886">
        <v>0</v>
      </c>
    </row>
    <row customHeight="1" ht="6.3">
      <c r="C4" s="888"/>
      <c r="D4" s="875"/>
      <c r="E4" s="875"/>
      <c r="F4" s="875"/>
      <c r="G4" s="597"/>
      <c r="H4" s="597"/>
      <c r="R4" s="886">
        <v>6</v>
      </c>
    </row>
    <row customHeight="1" ht="34.5">
      <c r="C5" s="888"/>
      <c r="D5" s="2966" t="str">
        <f>PURCH_NAME_FORM</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E5" s="2967"/>
      <c r="F5" s="2967"/>
      <c r="G5" s="2968"/>
      <c r="H5" s="778"/>
      <c r="R5" s="886">
        <v>33</v>
      </c>
    </row>
    <row s="46808" customFormat="1" customHeight="1" ht="18">
      <c r="A6" s="2181"/>
      <c r="B6" s="1672"/>
      <c r="C6" s="888"/>
      <c r="D6" s="2969" t="str">
        <f>IF(org=0,"Не определено",org)</f>
        <v>КГУП "Примтеплоэнерго"</v>
      </c>
      <c r="E6" s="2970"/>
      <c r="F6" s="2970"/>
      <c r="G6" s="2971"/>
      <c r="H6" s="778"/>
      <c r="J6" s="2136"/>
      <c r="K6" s="2136"/>
      <c r="R6" s="2143">
        <v>17</v>
      </c>
    </row>
    <row customHeight="1" ht="14.699999999999998">
      <c r="C7" s="888"/>
      <c r="D7" s="875"/>
      <c r="E7" s="901"/>
      <c r="F7" s="901"/>
      <c r="G7" s="1264"/>
      <c r="H7" s="705"/>
      <c r="R7" s="886">
        <v>14</v>
      </c>
    </row>
    <row customHeight="1" ht="14.699999999999998">
      <c r="C8" s="888"/>
      <c r="D8" s="2721" t="s">
        <v>418</v>
      </c>
      <c r="E8" s="2721"/>
      <c r="F8" s="2721"/>
      <c r="G8" s="2721"/>
      <c r="H8" s="2901" t="s">
        <v>419</v>
      </c>
      <c r="R8" s="886">
        <v>14</v>
      </c>
    </row>
    <row customHeight="1" ht="24">
      <c r="C9" s="888"/>
      <c r="D9" s="898" t="s">
        <v>90</v>
      </c>
      <c r="E9" s="620" t="s">
        <v>420</v>
      </c>
      <c r="F9" s="620" t="s">
        <v>421</v>
      </c>
      <c r="G9" s="620" t="s">
        <v>508</v>
      </c>
      <c r="H9" s="2901"/>
      <c r="R9" s="886">
        <v>23</v>
      </c>
    </row>
    <row customHeight="1" ht="14.699999999999998">
      <c r="A10" s="855"/>
      <c r="C10" s="888"/>
      <c r="D10" s="659" t="s">
        <v>101</v>
      </c>
      <c r="E10" s="2398"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водоотведения</v>
      </c>
      <c r="F10" s="769"/>
      <c r="G10" s="725"/>
      <c r="H10" s="2681" t="s">
        <v>1278</v>
      </c>
      <c r="R10" s="886">
        <v>14</v>
      </c>
    </row>
    <row customHeight="1" ht="14.699999999999998">
      <c r="A11" s="855"/>
      <c r="C11" s="888"/>
      <c r="D11" s="659" t="s">
        <v>105</v>
      </c>
      <c r="E11" s="2398"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водоотведения</v>
      </c>
      <c r="F11" s="769"/>
      <c r="G11" s="725"/>
      <c r="H11" s="2682"/>
      <c r="R11" s="886">
        <v>14</v>
      </c>
    </row>
    <row customHeight="1" ht="14.699999999999998">
      <c r="A12" s="614"/>
      <c r="C12" s="899"/>
      <c r="D12" s="659" t="s">
        <v>92</v>
      </c>
      <c r="E12" s="900" t="str">
        <f>"Сведения о планировании закупочных процедур"&amp;IF(TEMPLATE_SPHERE="TKO"," &lt;1&gt;","")</f>
        <v>Сведения о планировании закупочных процедур</v>
      </c>
      <c r="F12" s="769"/>
      <c r="G12" s="725"/>
      <c r="H12" s="2682"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862"/>
      <c r="K12" s="886"/>
      <c r="R12" s="886">
        <v>14</v>
      </c>
    </row>
    <row customHeight="1" ht="14.699999999999998">
      <c r="A13" s="614"/>
      <c r="C13" s="899"/>
      <c r="D13" s="659" t="s">
        <v>93</v>
      </c>
      <c r="E13" s="900" t="str">
        <f>"Сведения о результатах проведения закупочных процедур"&amp;IF(TEMPLATE_SPHERE="TKO"," &lt;1&gt;","")</f>
        <v>Сведения о результатах проведения закупочных процедур</v>
      </c>
      <c r="F13" s="769"/>
      <c r="G13" s="725"/>
      <c r="H13" s="2682"/>
      <c r="I13" s="862"/>
      <c r="K13" s="886"/>
      <c r="R13" s="886">
        <v>14</v>
      </c>
    </row>
    <row customHeight="1" ht="14.699999999999998">
      <c r="A14" s="855"/>
      <c r="C14" s="888"/>
      <c r="D14" s="859"/>
      <c r="E14" s="907" t="s">
        <v>440</v>
      </c>
      <c r="F14" s="861"/>
      <c r="G14" s="713"/>
      <c r="H14" s="2683"/>
      <c r="R14" s="886">
        <v>14</v>
      </c>
    </row>
    <row s="46808" customFormat="1" customHeight="1" ht="14.699999999999998">
      <c r="A15" s="855"/>
      <c r="B15" s="1672"/>
      <c r="C15" s="888"/>
      <c r="D15" s="908"/>
      <c r="E15" s="2189"/>
      <c r="F15" s="2190"/>
      <c r="G15" s="2191"/>
      <c r="H15" s="2192"/>
      <c r="J15" s="2136"/>
      <c r="K15" s="2136"/>
      <c r="R15" s="2143">
        <v>14</v>
      </c>
    </row>
    <row customHeight="1" ht="14.699999999999998">
      <c r="D16" s="2193"/>
      <c r="E16" s="2897"/>
      <c r="F16" s="2897"/>
      <c r="G16" s="2897"/>
      <c r="H16" s="2897"/>
      <c r="R16" s="886">
        <v>14</v>
      </c>
    </row>
    <row customHeight="1" ht="22.5" hidden="1">
      <c r="A17" s="876" t="s">
        <v>84</v>
      </c>
      <c r="B17" s="658">
        <v>0</v>
      </c>
      <c r="C17" s="856">
        <v>3</v>
      </c>
      <c r="D17" s="886">
        <v>6</v>
      </c>
      <c r="E17" s="886">
        <v>53</v>
      </c>
      <c r="F17" s="886">
        <v>35</v>
      </c>
      <c r="G17" s="886">
        <v>35</v>
      </c>
      <c r="H17" s="886">
        <v>89</v>
      </c>
      <c r="I17" s="886">
        <v>10</v>
      </c>
      <c r="J17" s="862">
        <v>10</v>
      </c>
      <c r="K17" s="862">
        <v>10</v>
      </c>
      <c r="L17" s="886">
        <v>10</v>
      </c>
      <c r="M17" s="886">
        <v>10</v>
      </c>
      <c r="N17" s="886">
        <v>10</v>
      </c>
      <c r="O17" s="886">
        <v>10</v>
      </c>
      <c r="P17" s="886">
        <v>10</v>
      </c>
      <c r="Q17" s="886">
        <v>10</v>
      </c>
      <c r="R17" s="886">
        <v>23</v>
      </c>
    </row>
  </sheetData>
  <sheetProtection formatColumns="0" formatRows="0" autoFilter="0" sort="0" insertRows="0" insertColumns="1" deleteRows="0" deleteColumns="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5CED8A9-D81B-4654-141F-BE5A5B389E67}" mc:Ignorable="x14ac xr xr2 xr3">
  <sheetPr>
    <tabColor rgb="FFCCCCFF"/>
  </sheetPr>
  <dimension ref="A1:AR192"/>
  <sheetViews>
    <sheetView topLeftCell="A1" showGridLines="0" zoomScale="90" workbookViewId="0">
      <selection activeCell="R169" sqref="R169"/>
    </sheetView>
  </sheetViews>
  <sheetFormatPr defaultColWidth="9.140625" customHeight="1" defaultRowHeight="11.25"/>
  <cols>
    <col min="1" max="2" style="46989" width="3.7109375" hidden="1" customWidth="1"/>
    <col min="3" max="3" style="47026" width="3.00390625" customWidth="1"/>
    <col min="4" max="4" style="47026" width="6.00390625" customWidth="1"/>
    <col min="5" max="5" style="47026" width="42.00390625" customWidth="1"/>
    <col min="6" max="6" style="47026" width="15.00390625" customWidth="1"/>
    <col min="7" max="7" style="47026" width="42.00390625" customWidth="1"/>
    <col min="8" max="8" style="47026" width="3.00390625" customWidth="1"/>
    <col min="9" max="9" style="47026" width="5.00390625" customWidth="1"/>
    <col min="10" max="10" style="47026" width="47.00390625" customWidth="1"/>
    <col min="11" max="12" style="47026" width="3.00390625" customWidth="1"/>
    <col min="13" max="13" style="47026" width="5.00390625" customWidth="1"/>
    <col min="14" max="14" style="47026" width="28.00390625" customWidth="1"/>
    <col min="15" max="16" style="47026" width="3.00390625" customWidth="1"/>
    <col min="17" max="17" style="47026" width="5.00390625" customWidth="1"/>
    <col min="18" max="18" style="47026" width="34.00390625" customWidth="1"/>
    <col min="19" max="20" style="47026" width="3.7109375" hidden="1" customWidth="1"/>
    <col min="21" max="21" style="47026" width="5.7109375" hidden="1" customWidth="1"/>
    <col min="22" max="22" style="47026" width="34.421875" hidden="1" customWidth="1"/>
    <col min="23" max="23" style="47026" width="30.00390625" customWidth="1"/>
    <col min="24" max="24" style="47026" width="3.00390625" customWidth="1"/>
    <col min="25" max="28" style="47078" width="9.8515625" hidden="1" customWidth="1"/>
    <col min="29" max="29" style="47078" width="27.00390625" hidden="1" customWidth="1"/>
    <col min="30" max="30" style="47078" width="10.57421875" hidden="1" customWidth="1"/>
    <col min="31" max="31" style="47078" width="10.7109375" hidden="1" customWidth="1"/>
    <col min="32" max="32" style="47078" width="10.00390625" hidden="1" customWidth="1"/>
    <col min="33" max="33" style="47078" width="12.8515625" hidden="1" customWidth="1"/>
    <col min="34" max="34" style="47078" width="24.421875" hidden="1" customWidth="1"/>
    <col min="35" max="35" style="47078" width="15.8515625" hidden="1" customWidth="1"/>
    <col min="36" max="36" style="47078" width="19.421875" hidden="1" customWidth="1"/>
    <col min="37" max="37" style="47078" width="11.00390625" hidden="1" customWidth="1"/>
    <col min="38" max="38" style="47078" width="23.57421875" hidden="1" customWidth="1"/>
    <col min="39" max="39" style="47078" width="23.8515625" hidden="1" customWidth="1"/>
    <col min="40" max="40" style="47078" width="25.28125" hidden="1" customWidth="1"/>
    <col min="41" max="41" style="47078" width="16.8515625" hidden="1" customWidth="1"/>
    <col min="42" max="42" style="47078" width="29.57421875" hidden="1" customWidth="1"/>
    <col min="43" max="43" style="47078" width="29.8515625" hidden="1" customWidth="1"/>
    <col min="44" max="44" style="47026" width="9.140625" hidden="1"/>
  </cols>
  <sheetData>
    <row customHeight="1" ht="11.25" hidden="1">
      <c r="A1" s="668"/>
      <c r="AR1" s="616" t="s">
        <v>14</v>
      </c>
    </row>
    <row customHeight="1" ht="11.25" hidden="1">
      <c r="AR2" s="616">
        <v>0</v>
      </c>
    </row>
    <row customHeight="1" ht="11.25" hidden="1">
      <c r="AR3" s="616">
        <v>0</v>
      </c>
    </row>
    <row customHeight="1" ht="3">
      <c r="AR4" s="616">
        <v>3</v>
      </c>
    </row>
    <row s="46997" customFormat="1" customHeight="1" ht="30.45">
      <c r="A5" s="666"/>
      <c r="B5" s="666"/>
      <c r="D5" s="2669"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водоотведения, в отношении которых предлагаются различные тарифы в сфере  водоотведения (информация раскрывается отдельно по каждой системе  водоотведения)</v>
      </c>
      <c r="E5" s="2670"/>
      <c r="F5" s="2670"/>
      <c r="G5" s="2670"/>
      <c r="H5" s="2670"/>
      <c r="I5" s="2670"/>
      <c r="J5" s="2671"/>
      <c r="K5" s="777"/>
      <c r="L5" s="654"/>
      <c r="M5" s="654"/>
      <c r="N5" s="654"/>
      <c r="O5" s="654"/>
      <c r="P5" s="654"/>
      <c r="Q5" s="654"/>
      <c r="R5" s="654"/>
      <c r="S5" s="802"/>
      <c r="T5" s="802"/>
      <c r="U5" s="802"/>
      <c r="V5" s="802"/>
      <c r="W5" s="654"/>
      <c r="Y5" s="1772"/>
      <c r="Z5" s="1772"/>
      <c r="AA5" s="1772"/>
      <c r="AB5" s="1772"/>
      <c r="AC5" s="1772"/>
      <c r="AD5" s="1772"/>
      <c r="AE5" s="1772"/>
      <c r="AF5" s="1772"/>
      <c r="AG5" s="1772"/>
      <c r="AH5" s="1772"/>
      <c r="AI5" s="1772"/>
      <c r="AJ5" s="1772"/>
      <c r="AK5" s="1772"/>
      <c r="AL5" s="1772"/>
      <c r="AM5" s="1772"/>
      <c r="AN5" s="1772"/>
      <c r="AO5" s="1772"/>
      <c r="AP5" s="1772"/>
      <c r="AQ5" s="1772"/>
      <c r="AR5" s="623">
        <v>29</v>
      </c>
    </row>
    <row s="46997" customFormat="1" customHeight="1" ht="14.699999999999998">
      <c r="A6" s="1097"/>
      <c r="B6" s="1097"/>
      <c r="C6" s="1097"/>
      <c r="D6" s="2675" t="str">
        <f>IF(org=0,"Не определено",org)</f>
        <v>КГУП "Примтеплоэнерго"</v>
      </c>
      <c r="E6" s="2675"/>
      <c r="F6" s="2675"/>
      <c r="G6" s="2675"/>
      <c r="H6" s="2675"/>
      <c r="I6" s="2675"/>
      <c r="J6" s="2675"/>
      <c r="K6" s="1098"/>
      <c r="L6" s="1098"/>
      <c r="M6" s="1098"/>
      <c r="N6" s="1098"/>
      <c r="O6" s="1382"/>
      <c r="P6" s="1382"/>
      <c r="Q6" s="1382"/>
      <c r="R6" s="1382"/>
      <c r="S6" s="1382"/>
      <c r="T6" s="1382"/>
      <c r="U6" s="1382"/>
      <c r="V6" s="1382"/>
      <c r="W6" s="1382"/>
      <c r="X6" s="1098"/>
      <c r="Y6" s="1773"/>
      <c r="Z6" s="1773"/>
      <c r="AA6" s="1773"/>
      <c r="AB6" s="1773"/>
      <c r="AC6" s="1773"/>
      <c r="AD6" s="1773"/>
      <c r="AE6" s="1773"/>
      <c r="AF6" s="1773"/>
      <c r="AG6" s="1773"/>
      <c r="AH6" s="1773"/>
      <c r="AI6" s="1773"/>
      <c r="AJ6" s="1773"/>
      <c r="AK6" s="1773"/>
      <c r="AL6" s="1773"/>
      <c r="AM6" s="1773"/>
      <c r="AN6" s="1773"/>
      <c r="AO6" s="1773"/>
      <c r="AP6" s="1773"/>
      <c r="AQ6" s="1773"/>
      <c r="AR6" s="1099">
        <v>14</v>
      </c>
    </row>
    <row s="47091" customFormat="1" customHeight="1" ht="11.549999999999999">
      <c r="A7" s="723"/>
      <c r="B7" s="723"/>
      <c r="D7" s="2672"/>
      <c r="E7" s="2673"/>
      <c r="F7" s="2673"/>
      <c r="G7" s="2673"/>
      <c r="H7" s="2673"/>
      <c r="I7" s="2673"/>
      <c r="J7" s="2674"/>
      <c r="S7" s="811"/>
      <c r="T7" s="811"/>
      <c r="U7" s="811"/>
      <c r="V7" s="811"/>
      <c r="Y7" s="1774"/>
      <c r="Z7" s="1774"/>
      <c r="AA7" s="1774"/>
      <c r="AB7" s="1774"/>
      <c r="AC7" s="1774"/>
      <c r="AD7" s="1774"/>
      <c r="AE7" s="1774"/>
      <c r="AF7" s="1774"/>
      <c r="AG7" s="1774"/>
      <c r="AH7" s="1774"/>
      <c r="AI7" s="1774"/>
      <c r="AJ7" s="1774"/>
      <c r="AK7" s="1774"/>
      <c r="AL7" s="1774"/>
      <c r="AM7" s="1774"/>
      <c r="AN7" s="1774"/>
      <c r="AO7" s="1774"/>
      <c r="AP7" s="1774"/>
      <c r="AQ7" s="1774"/>
      <c r="AR7" s="788">
        <v>11</v>
      </c>
    </row>
    <row s="46997" customFormat="1" customHeight="1" ht="1.05">
      <c r="A8" s="666"/>
      <c r="B8" s="666"/>
      <c r="D8" s="724"/>
      <c r="E8" s="724"/>
      <c r="F8" s="724"/>
      <c r="G8" s="724"/>
      <c r="H8" s="724"/>
      <c r="I8" s="724"/>
      <c r="J8" s="724"/>
      <c r="K8" s="724"/>
      <c r="L8" s="724"/>
      <c r="M8" s="724"/>
      <c r="N8" s="724"/>
      <c r="O8" s="724"/>
      <c r="P8" s="724"/>
      <c r="Q8" s="724"/>
      <c r="R8" s="724"/>
      <c r="S8" s="724"/>
      <c r="T8" s="724"/>
      <c r="U8" s="724"/>
      <c r="V8" s="724"/>
      <c r="W8" s="724"/>
      <c r="X8" s="644"/>
      <c r="Y8" s="1772"/>
      <c r="Z8" s="1772"/>
      <c r="AA8" s="1772"/>
      <c r="AB8" s="1772"/>
      <c r="AC8" s="1772"/>
      <c r="AD8" s="1772"/>
      <c r="AE8" s="1772"/>
      <c r="AF8" s="1772"/>
      <c r="AG8" s="1772"/>
      <c r="AH8" s="1772"/>
      <c r="AI8" s="1772"/>
      <c r="AJ8" s="1772"/>
      <c r="AK8" s="1772"/>
      <c r="AL8" s="1772"/>
      <c r="AM8" s="1772"/>
      <c r="AN8" s="1772"/>
      <c r="AO8" s="1772"/>
      <c r="AP8" s="1772"/>
      <c r="AQ8" s="1772"/>
      <c r="AR8" s="623">
        <v>1</v>
      </c>
    </row>
    <row customHeight="1" ht="28.5">
      <c r="D9" s="2639" t="s">
        <v>90</v>
      </c>
      <c r="E9" s="2613" t="s">
        <v>178</v>
      </c>
      <c r="F9" s="2615"/>
      <c r="G9" s="2639" t="s">
        <v>165</v>
      </c>
      <c r="H9" s="2639" t="s">
        <v>90</v>
      </c>
      <c r="I9" s="2639"/>
      <c r="J9" s="2639" t="s">
        <v>179</v>
      </c>
      <c r="K9" s="2667" t="s">
        <v>180</v>
      </c>
      <c r="L9" s="2667"/>
      <c r="M9" s="2667"/>
      <c r="N9" s="2667"/>
      <c r="O9" s="2667" t="s">
        <v>181</v>
      </c>
      <c r="P9" s="2667"/>
      <c r="Q9" s="2667"/>
      <c r="R9" s="2667"/>
      <c r="S9" s="2667" t="s">
        <v>182</v>
      </c>
      <c r="T9" s="2667"/>
      <c r="U9" s="2667"/>
      <c r="V9" s="2667"/>
      <c r="W9" s="2639" t="s">
        <v>183</v>
      </c>
      <c r="AR9" s="616">
        <v>27</v>
      </c>
    </row>
    <row customHeight="1" ht="31.5">
      <c r="D10" s="2639"/>
      <c r="E10" s="1796" t="s">
        <v>91</v>
      </c>
      <c r="F10" s="1796" t="s">
        <v>184</v>
      </c>
      <c r="G10" s="2639"/>
      <c r="H10" s="2639"/>
      <c r="I10" s="2639"/>
      <c r="J10" s="2639"/>
      <c r="K10" s="622" t="s">
        <v>168</v>
      </c>
      <c r="L10" s="2639" t="s">
        <v>90</v>
      </c>
      <c r="M10" s="2639"/>
      <c r="N10" s="622" t="s">
        <v>185</v>
      </c>
      <c r="O10" s="622" t="s">
        <v>168</v>
      </c>
      <c r="P10" s="2639" t="s">
        <v>90</v>
      </c>
      <c r="Q10" s="2639"/>
      <c r="R10" s="622" t="s">
        <v>185</v>
      </c>
      <c r="S10" s="795" t="s">
        <v>168</v>
      </c>
      <c r="T10" s="2639" t="s">
        <v>90</v>
      </c>
      <c r="U10" s="2639"/>
      <c r="V10" s="795" t="s">
        <v>91</v>
      </c>
      <c r="W10" s="2639"/>
      <c r="Z10" s="1771" t="s">
        <v>186</v>
      </c>
      <c r="AA10" s="1771" t="s">
        <v>187</v>
      </c>
      <c r="AB10" s="1771" t="s">
        <v>188</v>
      </c>
      <c r="AC10" s="1771" t="s">
        <v>189</v>
      </c>
      <c r="AD10" s="1771" t="s">
        <v>190</v>
      </c>
      <c r="AE10" s="1771" t="s">
        <v>191</v>
      </c>
      <c r="AF10" s="1771" t="s">
        <v>192</v>
      </c>
      <c r="AG10" s="1771" t="s">
        <v>193</v>
      </c>
      <c r="AH10" s="1771" t="s">
        <v>194</v>
      </c>
      <c r="AI10" s="1771" t="s">
        <v>195</v>
      </c>
      <c r="AJ10" s="1771" t="s">
        <v>196</v>
      </c>
      <c r="AK10" s="1771" t="s">
        <v>197</v>
      </c>
      <c r="AL10" s="1771" t="s">
        <v>198</v>
      </c>
      <c r="AM10" s="1771" t="s">
        <v>199</v>
      </c>
      <c r="AN10" s="1771" t="s">
        <v>200</v>
      </c>
      <c r="AO10" s="1771" t="s">
        <v>201</v>
      </c>
      <c r="AP10" s="1771" t="s">
        <v>202</v>
      </c>
      <c r="AQ10" s="1771" t="s">
        <v>203</v>
      </c>
      <c r="AR10" s="616">
        <v>30</v>
      </c>
    </row>
    <row s="46989" customFormat="1" customHeight="1" ht="12" hidden="1">
      <c r="D11" s="1761" t="s">
        <v>101</v>
      </c>
      <c r="E11" s="1761" t="s">
        <v>105</v>
      </c>
      <c r="F11" s="1761"/>
      <c r="G11" s="1761" t="s">
        <v>92</v>
      </c>
      <c r="H11" s="2668" t="s">
        <v>120</v>
      </c>
      <c r="I11" s="2668"/>
      <c r="J11" s="1761" t="s">
        <v>94</v>
      </c>
      <c r="K11" s="1761" t="s">
        <v>95</v>
      </c>
      <c r="L11" s="2668" t="s">
        <v>134</v>
      </c>
      <c r="M11" s="2668"/>
      <c r="N11" s="1761" t="s">
        <v>139</v>
      </c>
      <c r="O11" s="1761" t="s">
        <v>145</v>
      </c>
      <c r="P11" s="2668" t="s">
        <v>150</v>
      </c>
      <c r="Q11" s="2668"/>
      <c r="R11" s="1761" t="s">
        <v>154</v>
      </c>
      <c r="S11" s="1761" t="s">
        <v>150</v>
      </c>
      <c r="T11" s="2668" t="s">
        <v>154</v>
      </c>
      <c r="U11" s="2668"/>
      <c r="V11" s="1761" t="s">
        <v>158</v>
      </c>
      <c r="W11" s="1761" t="s">
        <v>204</v>
      </c>
      <c r="Y11" s="1771"/>
      <c r="Z11" s="1771"/>
      <c r="AA11" s="1771"/>
      <c r="AB11" s="1771"/>
      <c r="AC11" s="1771"/>
      <c r="AD11" s="1771"/>
      <c r="AE11" s="1771"/>
      <c r="AF11" s="1771"/>
      <c r="AG11" s="1771"/>
      <c r="AH11" s="1771"/>
      <c r="AI11" s="1771"/>
      <c r="AJ11" s="1771"/>
      <c r="AK11" s="1771"/>
      <c r="AL11" s="1771"/>
      <c r="AM11" s="1771"/>
      <c r="AN11" s="1771"/>
      <c r="AO11" s="1771"/>
      <c r="AP11" s="1771"/>
      <c r="AQ11" s="1771"/>
      <c r="AR11" s="789">
        <v>0</v>
      </c>
    </row>
    <row customHeight="1" ht="14.25" hidden="1">
      <c r="C12" s="721"/>
      <c r="D12" s="1794">
        <v>0</v>
      </c>
      <c r="E12" s="762"/>
      <c r="F12" s="762"/>
      <c r="G12" s="762"/>
      <c r="H12" s="763"/>
      <c r="I12" s="763"/>
      <c r="J12" s="670"/>
      <c r="K12" s="624"/>
      <c r="L12" s="670"/>
      <c r="M12" s="670"/>
      <c r="N12" s="764"/>
      <c r="O12" s="624"/>
      <c r="P12" s="670"/>
      <c r="Q12" s="670"/>
      <c r="R12" s="765"/>
      <c r="S12" s="796"/>
      <c r="T12" s="804"/>
      <c r="U12" s="804"/>
      <c r="V12" s="808"/>
      <c r="W12" s="624"/>
      <c r="X12" s="653"/>
      <c r="AR12" s="616">
        <v>0</v>
      </c>
    </row>
    <row s="47026" customFormat="1" customHeight="1" ht="17.25" hidden="1">
      <c r="A13" s="833"/>
      <c r="C13" s="721"/>
      <c r="D13" s="2647">
        <v>1</v>
      </c>
      <c r="E13" s="2655" t="s">
        <v>205</v>
      </c>
      <c r="F13" s="2657" t="s">
        <v>19</v>
      </c>
      <c r="G13" s="2655"/>
      <c r="H13" s="2660"/>
      <c r="I13" s="2662"/>
      <c r="J13" s="2664"/>
      <c r="K13" s="2649"/>
      <c r="L13" s="2649"/>
      <c r="M13" s="2649"/>
      <c r="N13" s="2651"/>
      <c r="O13" s="2649"/>
      <c r="P13" s="2649"/>
      <c r="Q13" s="2649"/>
      <c r="R13" s="2654"/>
      <c r="S13" s="2649"/>
      <c r="T13" s="1932"/>
      <c r="U13" s="1932"/>
      <c r="V13" s="1931"/>
      <c r="W13" s="1808"/>
      <c r="Y13" s="1779"/>
      <c r="Z13" s="1779"/>
      <c r="AA13" s="1779"/>
      <c r="AB13" s="1779"/>
      <c r="AC13" s="1779" t="s">
        <v>206</v>
      </c>
      <c r="AD13" s="1779" t="s">
        <v>207</v>
      </c>
      <c r="AE13" s="1779" t="s">
        <v>208</v>
      </c>
      <c r="AF13" s="1779" t="s">
        <v>209</v>
      </c>
      <c r="AG13" s="1779" t="s">
        <v>210</v>
      </c>
      <c r="AH13" s="1779"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779" t="str">
        <f>IF($G$13=0,"",$G$13)</f>
        <v/>
      </c>
      <c r="AJ13" s="1779" t="str">
        <f>IF($J$13=0,"",$J$13)</f>
        <v/>
      </c>
      <c r="AK13" s="1779" t="str">
        <f>IF($K$13="нет","без дифференциации",IF($N$13=0,"",$N$13))</f>
        <v/>
      </c>
      <c r="AL13" s="1779" t="str">
        <f>IF($O$13="нет","без дифференциации",IF($R$13=0,"",$R$13))</f>
        <v/>
      </c>
      <c r="AM13" s="1779" t="str">
        <f>IF($S$13="нет","без дифференциации",IF($V$13=0,"",$V$13))</f>
        <v/>
      </c>
      <c r="AN13" s="1779">
        <f>$I$13</f>
        <v>0</v>
      </c>
      <c r="AO13" s="1779" t="str">
        <f>$I$13&amp;"."&amp;$M$13</f>
        <v>.</v>
      </c>
      <c r="AP13" s="1779" t="str">
        <f>$I$13&amp;"."&amp;$M$13&amp;"."&amp;$Q$13</f>
        <v>..</v>
      </c>
      <c r="AQ13" s="1779" t="str">
        <f>$I$13&amp;"."&amp;$M$13&amp;"."&amp;$Q$13&amp;"."&amp;$U$13</f>
        <v>...</v>
      </c>
      <c r="AR13" s="1262">
        <v>0</v>
      </c>
    </row>
    <row s="47026" customFormat="1" customHeight="1" ht="17.25" hidden="1">
      <c r="A14" s="833"/>
      <c r="C14" s="832"/>
      <c r="D14" s="2647"/>
      <c r="E14" s="2655"/>
      <c r="F14" s="2658"/>
      <c r="G14" s="2655"/>
      <c r="H14" s="2661"/>
      <c r="I14" s="2663"/>
      <c r="J14" s="2665"/>
      <c r="K14" s="2650"/>
      <c r="L14" s="2650"/>
      <c r="M14" s="2650"/>
      <c r="N14" s="2652"/>
      <c r="O14" s="2650"/>
      <c r="P14" s="2650"/>
      <c r="Q14" s="2650"/>
      <c r="R14" s="2653"/>
      <c r="S14" s="2650"/>
      <c r="T14" s="1809"/>
      <c r="U14" s="1809"/>
      <c r="V14" s="1809"/>
      <c r="W14" s="1810"/>
      <c r="Y14" s="1771"/>
      <c r="Z14" s="1771"/>
      <c r="AA14" s="1771"/>
      <c r="AB14" s="1771"/>
      <c r="AC14" s="1771"/>
      <c r="AD14" s="1771"/>
      <c r="AE14" s="1771"/>
      <c r="AF14" s="1771"/>
      <c r="AG14" s="1771"/>
      <c r="AH14" s="1771"/>
      <c r="AI14" s="1771"/>
      <c r="AJ14" s="1771"/>
      <c r="AK14" s="1771"/>
      <c r="AL14" s="1771"/>
      <c r="AM14" s="1771"/>
      <c r="AN14" s="1771"/>
      <c r="AO14" s="1771"/>
      <c r="AP14" s="1771"/>
      <c r="AQ14" s="1771"/>
      <c r="AR14" s="1262">
        <v>0</v>
      </c>
    </row>
    <row s="47026" customFormat="1" customHeight="1" ht="17.25" hidden="1">
      <c r="A15" s="833"/>
      <c r="C15" s="721"/>
      <c r="D15" s="2647"/>
      <c r="E15" s="2655"/>
      <c r="F15" s="2658"/>
      <c r="G15" s="2655"/>
      <c r="H15" s="2661"/>
      <c r="I15" s="2663"/>
      <c r="J15" s="2666"/>
      <c r="K15" s="2650"/>
      <c r="L15" s="2650"/>
      <c r="M15" s="2650"/>
      <c r="N15" s="2653"/>
      <c r="O15" s="2650"/>
      <c r="P15" s="1930"/>
      <c r="Q15" s="1809"/>
      <c r="R15" s="1809"/>
      <c r="S15" s="841"/>
      <c r="T15" s="841"/>
      <c r="U15" s="841"/>
      <c r="V15" s="841"/>
      <c r="W15" s="1810"/>
      <c r="Y15" s="1779"/>
      <c r="Z15" s="1779"/>
      <c r="AA15" s="1779"/>
      <c r="AB15" s="1779"/>
      <c r="AC15" s="1779"/>
      <c r="AD15" s="1779"/>
      <c r="AE15" s="1779"/>
      <c r="AF15" s="1779"/>
      <c r="AG15" s="1779"/>
      <c r="AH15" s="1779"/>
      <c r="AI15" s="1779"/>
      <c r="AJ15" s="1779"/>
      <c r="AK15" s="1779"/>
      <c r="AL15" s="1779"/>
      <c r="AM15" s="1779"/>
      <c r="AN15" s="1779"/>
      <c r="AO15" s="1779"/>
      <c r="AP15" s="1779"/>
      <c r="AQ15" s="1779"/>
      <c r="AR15" s="1929">
        <v>0</v>
      </c>
    </row>
    <row s="47026" customFormat="1" customHeight="1" ht="17.25" hidden="1">
      <c r="A16" s="833"/>
      <c r="C16" s="832"/>
      <c r="D16" s="2647"/>
      <c r="E16" s="2655"/>
      <c r="F16" s="2658"/>
      <c r="G16" s="2655"/>
      <c r="H16" s="2661"/>
      <c r="I16" s="2663"/>
      <c r="J16" s="2666"/>
      <c r="K16" s="2650"/>
      <c r="L16" s="1809"/>
      <c r="M16" s="1809"/>
      <c r="N16" s="1809"/>
      <c r="O16" s="1809"/>
      <c r="P16" s="1809"/>
      <c r="Q16" s="1809"/>
      <c r="R16" s="1809"/>
      <c r="S16" s="841"/>
      <c r="T16" s="841"/>
      <c r="U16" s="841"/>
      <c r="V16" s="841"/>
      <c r="W16" s="1810"/>
      <c r="Y16" s="1771"/>
      <c r="Z16" s="1771"/>
      <c r="AA16" s="1771"/>
      <c r="AB16" s="1771"/>
      <c r="AC16" s="1771"/>
      <c r="AD16" s="1771"/>
      <c r="AE16" s="1771"/>
      <c r="AF16" s="1771"/>
      <c r="AG16" s="1771"/>
      <c r="AH16" s="1771"/>
      <c r="AI16" s="1771"/>
      <c r="AJ16" s="1771"/>
      <c r="AK16" s="1771"/>
      <c r="AL16" s="1771"/>
      <c r="AM16" s="1771"/>
      <c r="AN16" s="1771"/>
      <c r="AO16" s="1771"/>
      <c r="AP16" s="1771"/>
      <c r="AQ16" s="1771"/>
      <c r="AR16" s="1929">
        <v>0</v>
      </c>
    </row>
    <row s="47026" customFormat="1" customHeight="1" ht="17.25" hidden="1">
      <c r="A17" s="833"/>
      <c r="C17" s="832"/>
      <c r="D17" s="2648"/>
      <c r="E17" s="2656"/>
      <c r="F17" s="2659"/>
      <c r="G17" s="2656"/>
      <c r="H17" s="1811"/>
      <c r="I17" s="1812"/>
      <c r="J17" s="1812"/>
      <c r="K17" s="1812"/>
      <c r="L17" s="1812"/>
      <c r="M17" s="1812"/>
      <c r="N17" s="1812"/>
      <c r="O17" s="1812"/>
      <c r="P17" s="1812"/>
      <c r="Q17" s="1812"/>
      <c r="R17" s="1812"/>
      <c r="S17" s="1813"/>
      <c r="T17" s="1813"/>
      <c r="U17" s="1813"/>
      <c r="V17" s="1813"/>
      <c r="W17" s="1814"/>
      <c r="Y17" s="1771"/>
      <c r="Z17" s="1771"/>
      <c r="AA17" s="1771"/>
      <c r="AB17" s="1771"/>
      <c r="AC17" s="1771"/>
      <c r="AD17" s="1771"/>
      <c r="AE17" s="1771"/>
      <c r="AF17" s="1771"/>
      <c r="AG17" s="1771"/>
      <c r="AH17" s="1771"/>
      <c r="AI17" s="1771"/>
      <c r="AJ17" s="1771"/>
      <c r="AK17" s="1771"/>
      <c r="AL17" s="1771"/>
      <c r="AM17" s="1771"/>
      <c r="AN17" s="1771"/>
      <c r="AO17" s="1771"/>
      <c r="AP17" s="1771"/>
      <c r="AQ17" s="1771"/>
      <c r="AR17" s="1262">
        <v>0</v>
      </c>
    </row>
    <row s="47026" customFormat="1" customHeight="1" ht="17.25" hidden="1">
      <c r="A18" s="833"/>
      <c r="C18" s="721"/>
      <c r="D18" s="2647">
        <v>2</v>
      </c>
      <c r="E18" s="2676"/>
      <c r="F18" s="2657" t="s">
        <v>19</v>
      </c>
      <c r="G18" s="2655"/>
      <c r="H18" s="2660"/>
      <c r="I18" s="2662"/>
      <c r="J18" s="2664"/>
      <c r="K18" s="2649"/>
      <c r="L18" s="2649"/>
      <c r="M18" s="2649"/>
      <c r="N18" s="2651"/>
      <c r="O18" s="2649"/>
      <c r="P18" s="2649"/>
      <c r="Q18" s="2649"/>
      <c r="R18" s="2654"/>
      <c r="S18" s="2649"/>
      <c r="T18" s="1932"/>
      <c r="U18" s="1932"/>
      <c r="V18" s="1931"/>
      <c r="W18" s="1808"/>
      <c r="X18" s="1779"/>
      <c r="Y18" s="1779"/>
      <c r="Z18" s="1779"/>
      <c r="AA18" s="1779"/>
      <c r="AB18" s="1779"/>
      <c r="AC18" s="1779" t="s">
        <v>211</v>
      </c>
      <c r="AD18" s="1779" t="s">
        <v>212</v>
      </c>
      <c r="AE18" s="1779" t="s">
        <v>213</v>
      </c>
      <c r="AF18" s="1779" t="s">
        <v>214</v>
      </c>
      <c r="AG18" s="1779" t="s">
        <v>215</v>
      </c>
      <c r="AH18" s="1779" t="str">
        <f>IF($E$18=0,"",$E$18)</f>
        <v/>
      </c>
      <c r="AI18" s="1779" t="str">
        <f>IF($G$18=0,"",$G$18)</f>
        <v/>
      </c>
      <c r="AJ18" s="1779" t="str">
        <f>IF($J$18=0,"",$J$18)</f>
        <v/>
      </c>
      <c r="AK18" s="1779" t="str">
        <f>IF($K$18="нет","без дифференциации",IF($N$18=0,"",$N$18))</f>
        <v/>
      </c>
      <c r="AL18" s="1779" t="str">
        <f>IF($O$18="нет","без дифференциации",IF($R$18=0,"",$R$18))</f>
        <v/>
      </c>
      <c r="AM18" s="1779" t="str">
        <f>IF($S$18="нет","без дифференциации",IF($V$18=0,"",$V$18))</f>
        <v/>
      </c>
      <c r="AN18" s="2284">
        <f>$I$18</f>
        <v>0</v>
      </c>
      <c r="AO18" s="1779" t="str">
        <f>$I$18&amp;"."&amp;$M$18</f>
        <v>.</v>
      </c>
      <c r="AP18" s="1771" t="str">
        <f>$I$18&amp;"."&amp;$M$18&amp;"."&amp;$Q$18</f>
        <v>..</v>
      </c>
      <c r="AQ18" s="1771" t="str">
        <f>$I$18&amp;"."&amp;$M$18&amp;"."&amp;$Q$18&amp;"."&amp;$U$18</f>
        <v>...</v>
      </c>
      <c r="AR18" s="1795">
        <v>0</v>
      </c>
    </row>
    <row s="47026" customFormat="1" customHeight="1" ht="17.25" hidden="1">
      <c r="A19" s="833"/>
      <c r="C19" s="832"/>
      <c r="D19" s="2647"/>
      <c r="E19" s="2676"/>
      <c r="F19" s="2658"/>
      <c r="G19" s="2655"/>
      <c r="H19" s="2661"/>
      <c r="I19" s="2663"/>
      <c r="J19" s="2665"/>
      <c r="K19" s="2650"/>
      <c r="L19" s="2650"/>
      <c r="M19" s="2650"/>
      <c r="N19" s="2652"/>
      <c r="O19" s="2650"/>
      <c r="P19" s="2650"/>
      <c r="Q19" s="2650"/>
      <c r="R19" s="2653"/>
      <c r="S19" s="2650"/>
      <c r="T19" s="1809"/>
      <c r="U19" s="1809"/>
      <c r="V19" s="1809"/>
      <c r="W19" s="1810"/>
      <c r="X19" s="1771"/>
      <c r="Y19" s="1771"/>
      <c r="Z19" s="1771"/>
      <c r="AA19" s="1771"/>
      <c r="AB19" s="1771"/>
      <c r="AC19" s="1771"/>
      <c r="AD19" s="1771"/>
      <c r="AE19" s="1771"/>
      <c r="AF19" s="1771"/>
      <c r="AG19" s="1771"/>
      <c r="AH19" s="1771"/>
      <c r="AI19" s="1771"/>
      <c r="AJ19" s="1771"/>
      <c r="AK19" s="1771"/>
      <c r="AL19" s="1771"/>
      <c r="AM19" s="1771"/>
      <c r="AN19" s="1771"/>
      <c r="AO19" s="1771"/>
      <c r="AP19" s="1771"/>
      <c r="AQ19" s="1771"/>
      <c r="AR19" s="1795">
        <v>0</v>
      </c>
    </row>
    <row s="47026" customFormat="1" customHeight="1" ht="17.25" hidden="1">
      <c r="A20" s="833"/>
      <c r="C20" s="832"/>
      <c r="D20" s="2648"/>
      <c r="E20" s="2677"/>
      <c r="F20" s="2658"/>
      <c r="G20" s="2656"/>
      <c r="H20" s="2661"/>
      <c r="I20" s="2663"/>
      <c r="J20" s="2666"/>
      <c r="K20" s="2650"/>
      <c r="L20" s="2650"/>
      <c r="M20" s="2650"/>
      <c r="N20" s="2653"/>
      <c r="O20" s="2650"/>
      <c r="P20" s="1930"/>
      <c r="Q20" s="1809"/>
      <c r="R20" s="1809"/>
      <c r="S20" s="841"/>
      <c r="T20" s="841"/>
      <c r="U20" s="841"/>
      <c r="V20" s="841"/>
      <c r="W20" s="1810"/>
      <c r="X20" s="1771"/>
      <c r="Y20" s="1771"/>
      <c r="Z20" s="1771"/>
      <c r="AA20" s="1771"/>
      <c r="AB20" s="1771"/>
      <c r="AC20" s="1771"/>
      <c r="AD20" s="1771"/>
      <c r="AE20" s="1771"/>
      <c r="AF20" s="1771"/>
      <c r="AG20" s="1771"/>
      <c r="AH20" s="1771"/>
      <c r="AI20" s="1771"/>
      <c r="AJ20" s="1771"/>
      <c r="AK20" s="1771"/>
      <c r="AL20" s="1771"/>
      <c r="AM20" s="1771"/>
      <c r="AN20" s="1771"/>
      <c r="AO20" s="1771"/>
      <c r="AP20" s="1771"/>
      <c r="AQ20" s="1771"/>
      <c r="AR20" s="1795">
        <v>0</v>
      </c>
    </row>
    <row s="47026" customFormat="1" customHeight="1" ht="17.25" hidden="1">
      <c r="A21" s="833"/>
      <c r="C21" s="832"/>
      <c r="D21" s="2648"/>
      <c r="E21" s="2677"/>
      <c r="F21" s="2658"/>
      <c r="G21" s="2656"/>
      <c r="H21" s="2661"/>
      <c r="I21" s="2663"/>
      <c r="J21" s="2666"/>
      <c r="K21" s="2650"/>
      <c r="L21" s="1809"/>
      <c r="M21" s="1809"/>
      <c r="N21" s="1809"/>
      <c r="O21" s="1809"/>
      <c r="P21" s="1809"/>
      <c r="Q21" s="1809"/>
      <c r="R21" s="1809"/>
      <c r="S21" s="841"/>
      <c r="T21" s="841"/>
      <c r="U21" s="841"/>
      <c r="V21" s="841"/>
      <c r="W21" s="1810"/>
      <c r="X21" s="1771"/>
      <c r="Y21" s="1771"/>
      <c r="Z21" s="1771"/>
      <c r="AA21" s="1771"/>
      <c r="AB21" s="1771"/>
      <c r="AC21" s="1771"/>
      <c r="AD21" s="1771"/>
      <c r="AE21" s="1771"/>
      <c r="AF21" s="1771"/>
      <c r="AG21" s="1771"/>
      <c r="AH21" s="1771"/>
      <c r="AI21" s="1771"/>
      <c r="AJ21" s="1771"/>
      <c r="AK21" s="1771"/>
      <c r="AL21" s="1771"/>
      <c r="AM21" s="1771"/>
      <c r="AN21" s="1771"/>
      <c r="AO21" s="1771"/>
      <c r="AP21" s="1771"/>
      <c r="AQ21" s="1771"/>
      <c r="AR21" s="1795">
        <v>0</v>
      </c>
    </row>
    <row s="47026" customFormat="1" customHeight="1" ht="17.25" hidden="1">
      <c r="A22" s="833"/>
      <c r="C22" s="832"/>
      <c r="D22" s="2648"/>
      <c r="E22" s="2677"/>
      <c r="F22" s="2659"/>
      <c r="G22" s="2656"/>
      <c r="H22" s="1811"/>
      <c r="I22" s="1812"/>
      <c r="J22" s="1812"/>
      <c r="K22" s="1812"/>
      <c r="L22" s="1812"/>
      <c r="M22" s="1812"/>
      <c r="N22" s="1812"/>
      <c r="O22" s="1812"/>
      <c r="P22" s="1812"/>
      <c r="Q22" s="1812"/>
      <c r="R22" s="1812"/>
      <c r="S22" s="1813"/>
      <c r="T22" s="1813"/>
      <c r="U22" s="1813"/>
      <c r="V22" s="1813"/>
      <c r="W22" s="1814"/>
      <c r="X22" s="1771"/>
      <c r="Y22" s="1771"/>
      <c r="Z22" s="1771"/>
      <c r="AA22" s="1771"/>
      <c r="AB22" s="1771"/>
      <c r="AC22" s="1771"/>
      <c r="AD22" s="1771"/>
      <c r="AE22" s="1771"/>
      <c r="AF22" s="1771"/>
      <c r="AG22" s="1771"/>
      <c r="AH22" s="1771"/>
      <c r="AI22" s="1771"/>
      <c r="AJ22" s="1771"/>
      <c r="AK22" s="1771"/>
      <c r="AL22" s="1771"/>
      <c r="AM22" s="1771"/>
      <c r="AN22" s="1771"/>
      <c r="AO22" s="1771"/>
      <c r="AP22" s="1771"/>
      <c r="AQ22" s="1771"/>
      <c r="AR22" s="1795">
        <v>0</v>
      </c>
    </row>
    <row s="47026" customFormat="1" customHeight="1" ht="17.25" hidden="1">
      <c r="A23" s="833"/>
      <c r="C23" s="721"/>
      <c r="D23" s="2647">
        <v>2</v>
      </c>
      <c r="E23" s="2655" t="s">
        <v>216</v>
      </c>
      <c r="F23" s="2657" t="s">
        <v>19</v>
      </c>
      <c r="G23" s="2655"/>
      <c r="H23" s="2660"/>
      <c r="I23" s="2662"/>
      <c r="J23" s="2664"/>
      <c r="K23" s="2649"/>
      <c r="L23" s="2649"/>
      <c r="M23" s="2649"/>
      <c r="N23" s="2651"/>
      <c r="O23" s="2649"/>
      <c r="P23" s="2649"/>
      <c r="Q23" s="2649"/>
      <c r="R23" s="2654"/>
      <c r="S23" s="2649"/>
      <c r="T23" s="2510"/>
      <c r="U23" s="2510"/>
      <c r="V23" s="2512"/>
      <c r="W23" s="1808"/>
      <c r="X23" s="1779"/>
      <c r="Y23" s="1779"/>
      <c r="Z23" s="1779"/>
      <c r="AA23" s="1779"/>
      <c r="AB23" s="1779"/>
      <c r="AC23" s="1779" t="s">
        <v>211</v>
      </c>
      <c r="AD23" s="1779" t="s">
        <v>212</v>
      </c>
      <c r="AE23" s="1779" t="s">
        <v>213</v>
      </c>
      <c r="AF23" s="1779" t="s">
        <v>214</v>
      </c>
      <c r="AG23" s="1779" t="s">
        <v>215</v>
      </c>
      <c r="AH23" s="1779" t="str">
        <f>IF($E$23=0,"",$E$23)</f>
        <v>Тарифы на тепловую энергию (мощность), поставляемую теплоснабжающими организациями потребителям, другим теплоснабжающим организациям</v>
      </c>
      <c r="AI23" s="1779" t="str">
        <f>IF($G$23=0,"",$G$23)</f>
        <v/>
      </c>
      <c r="AJ23" s="1779" t="str">
        <f>IF($J$23=0,"",$J$23)</f>
        <v/>
      </c>
      <c r="AK23" s="1779" t="str">
        <f>IF($K$23="нет","без дифференциации",IF($N$23=0,"",$N$23))</f>
        <v/>
      </c>
      <c r="AL23" s="1779" t="str">
        <f>IF($O$23="нет","без дифференциации",IF($R$23=0,"",$R$23))</f>
        <v/>
      </c>
      <c r="AM23" s="1779" t="str">
        <f>IF($S$23="нет","без дифференциации",IF($V$23=0,"",$V$23))</f>
        <v/>
      </c>
      <c r="AN23" s="2284">
        <f>$I$23</f>
        <v>0</v>
      </c>
      <c r="AO23" s="1779" t="str">
        <f>$I$23&amp;"."&amp;$M$23</f>
        <v>.</v>
      </c>
      <c r="AP23" s="1778" t="str">
        <f>$I$23&amp;"."&amp;$M$23&amp;"."&amp;$Q$23</f>
        <v>..</v>
      </c>
      <c r="AQ23" s="1778" t="str">
        <f>$I$23&amp;"."&amp;$M$23&amp;"."&amp;$Q$23&amp;"."&amp;$U$23</f>
        <v>...</v>
      </c>
      <c r="AR23" s="1979">
        <v>0</v>
      </c>
    </row>
    <row s="47026" customFormat="1" customHeight="1" ht="17.25" hidden="1">
      <c r="A24" s="833"/>
      <c r="C24" s="832"/>
      <c r="D24" s="2647"/>
      <c r="E24" s="2655"/>
      <c r="F24" s="2658"/>
      <c r="G24" s="2655"/>
      <c r="H24" s="2661"/>
      <c r="I24" s="2663"/>
      <c r="J24" s="2665"/>
      <c r="K24" s="2650"/>
      <c r="L24" s="2650"/>
      <c r="M24" s="2650"/>
      <c r="N24" s="2652"/>
      <c r="O24" s="2650"/>
      <c r="P24" s="2650"/>
      <c r="Q24" s="2650"/>
      <c r="R24" s="2653"/>
      <c r="S24" s="2650"/>
      <c r="T24" s="2515"/>
      <c r="U24" s="2515"/>
      <c r="V24" s="2515"/>
      <c r="W24" s="2516"/>
      <c r="X24" s="1778"/>
      <c r="Y24" s="1778"/>
      <c r="Z24" s="1778"/>
      <c r="AA24" s="1778"/>
      <c r="AB24" s="1778"/>
      <c r="AC24" s="1778"/>
      <c r="AD24" s="1778"/>
      <c r="AE24" s="1778"/>
      <c r="AF24" s="1778"/>
      <c r="AG24" s="1778"/>
      <c r="AH24" s="1778"/>
      <c r="AI24" s="1778"/>
      <c r="AJ24" s="1778"/>
      <c r="AK24" s="1778"/>
      <c r="AL24" s="1778"/>
      <c r="AM24" s="1778"/>
      <c r="AN24" s="1778"/>
      <c r="AO24" s="1778"/>
      <c r="AP24" s="1778"/>
      <c r="AQ24" s="1778"/>
      <c r="AR24" s="1979">
        <v>0</v>
      </c>
    </row>
    <row s="47026" customFormat="1" customHeight="1" ht="17.25" hidden="1">
      <c r="A25" s="833"/>
      <c r="C25" s="832"/>
      <c r="D25" s="2648"/>
      <c r="E25" s="2656"/>
      <c r="F25" s="2658"/>
      <c r="G25" s="2656"/>
      <c r="H25" s="2661"/>
      <c r="I25" s="2663"/>
      <c r="J25" s="2666"/>
      <c r="K25" s="2650"/>
      <c r="L25" s="2650"/>
      <c r="M25" s="2650"/>
      <c r="N25" s="2653"/>
      <c r="O25" s="2650"/>
      <c r="P25" s="2511"/>
      <c r="Q25" s="2515"/>
      <c r="R25" s="2515"/>
      <c r="S25" s="841"/>
      <c r="T25" s="841"/>
      <c r="U25" s="841"/>
      <c r="V25" s="841"/>
      <c r="W25" s="2516"/>
      <c r="X25" s="1778"/>
      <c r="Y25" s="1778"/>
      <c r="Z25" s="1778"/>
      <c r="AA25" s="1778"/>
      <c r="AB25" s="1778"/>
      <c r="AC25" s="1778"/>
      <c r="AD25" s="1778"/>
      <c r="AE25" s="1778"/>
      <c r="AF25" s="1778"/>
      <c r="AG25" s="1778"/>
      <c r="AH25" s="1778"/>
      <c r="AI25" s="1778"/>
      <c r="AJ25" s="1778"/>
      <c r="AK25" s="1778"/>
      <c r="AL25" s="1778"/>
      <c r="AM25" s="1778"/>
      <c r="AN25" s="1778"/>
      <c r="AO25" s="1778"/>
      <c r="AP25" s="1778"/>
      <c r="AQ25" s="1778"/>
      <c r="AR25" s="1979">
        <v>0</v>
      </c>
    </row>
    <row s="47026" customFormat="1" customHeight="1" ht="17.25" hidden="1">
      <c r="A26" s="833"/>
      <c r="C26" s="832"/>
      <c r="D26" s="2648"/>
      <c r="E26" s="2656"/>
      <c r="F26" s="2658"/>
      <c r="G26" s="2656"/>
      <c r="H26" s="2661"/>
      <c r="I26" s="2663"/>
      <c r="J26" s="2666"/>
      <c r="K26" s="2650"/>
      <c r="L26" s="2515"/>
      <c r="M26" s="2515"/>
      <c r="N26" s="2515"/>
      <c r="O26" s="2515"/>
      <c r="P26" s="2515"/>
      <c r="Q26" s="2515"/>
      <c r="R26" s="2515"/>
      <c r="S26" s="841"/>
      <c r="T26" s="841"/>
      <c r="U26" s="841"/>
      <c r="V26" s="841"/>
      <c r="W26" s="2516"/>
      <c r="X26" s="1778"/>
      <c r="Y26" s="1778"/>
      <c r="Z26" s="1778"/>
      <c r="AA26" s="1778"/>
      <c r="AB26" s="1778"/>
      <c r="AC26" s="1778"/>
      <c r="AD26" s="1778"/>
      <c r="AE26" s="1778"/>
      <c r="AF26" s="1778"/>
      <c r="AG26" s="1778"/>
      <c r="AH26" s="1778"/>
      <c r="AI26" s="1778"/>
      <c r="AJ26" s="1778"/>
      <c r="AK26" s="1778"/>
      <c r="AL26" s="1778"/>
      <c r="AM26" s="1778"/>
      <c r="AN26" s="1778"/>
      <c r="AO26" s="1778"/>
      <c r="AP26" s="1778"/>
      <c r="AQ26" s="1778"/>
      <c r="AR26" s="1979">
        <v>0</v>
      </c>
    </row>
    <row s="47026" customFormat="1" customHeight="1" ht="17.25" hidden="1">
      <c r="A27" s="833"/>
      <c r="C27" s="832"/>
      <c r="D27" s="2648"/>
      <c r="E27" s="2656"/>
      <c r="F27" s="2659"/>
      <c r="G27" s="2656"/>
      <c r="H27" s="1811"/>
      <c r="I27" s="2513"/>
      <c r="J27" s="2513"/>
      <c r="K27" s="2513"/>
      <c r="L27" s="2513"/>
      <c r="M27" s="2513"/>
      <c r="N27" s="2513"/>
      <c r="O27" s="2513"/>
      <c r="P27" s="2513"/>
      <c r="Q27" s="2513"/>
      <c r="R27" s="2513"/>
      <c r="S27" s="1813"/>
      <c r="T27" s="1813"/>
      <c r="U27" s="1813"/>
      <c r="V27" s="1813"/>
      <c r="W27" s="2514"/>
      <c r="X27" s="1778"/>
      <c r="Y27" s="1778"/>
      <c r="Z27" s="1778"/>
      <c r="AA27" s="1778"/>
      <c r="AB27" s="1778"/>
      <c r="AC27" s="1778"/>
      <c r="AD27" s="1778"/>
      <c r="AE27" s="1778"/>
      <c r="AF27" s="1778"/>
      <c r="AG27" s="1778"/>
      <c r="AH27" s="1778"/>
      <c r="AI27" s="1778"/>
      <c r="AJ27" s="1778"/>
      <c r="AK27" s="1778"/>
      <c r="AL27" s="1778"/>
      <c r="AM27" s="1778"/>
      <c r="AN27" s="1778"/>
      <c r="AO27" s="1778"/>
      <c r="AP27" s="1778"/>
      <c r="AQ27" s="1778"/>
      <c r="AR27" s="1979">
        <v>0</v>
      </c>
    </row>
    <row s="47026" customFormat="1" customHeight="1" ht="17.25" hidden="1">
      <c r="A28" s="833"/>
      <c r="C28" s="721"/>
      <c r="D28" s="2647">
        <v>3</v>
      </c>
      <c r="E28" s="2655" t="s">
        <v>217</v>
      </c>
      <c r="F28" s="2657" t="s">
        <v>19</v>
      </c>
      <c r="G28" s="2655"/>
      <c r="H28" s="2660"/>
      <c r="I28" s="2662"/>
      <c r="J28" s="2664"/>
      <c r="K28" s="2649"/>
      <c r="L28" s="2649"/>
      <c r="M28" s="2649"/>
      <c r="N28" s="2651"/>
      <c r="O28" s="2649"/>
      <c r="P28" s="2649"/>
      <c r="Q28" s="2649"/>
      <c r="R28" s="2654"/>
      <c r="S28" s="2649"/>
      <c r="T28" s="1932"/>
      <c r="U28" s="1932"/>
      <c r="V28" s="1931"/>
      <c r="W28" s="1808"/>
      <c r="X28" s="1779"/>
      <c r="Y28" s="1779"/>
      <c r="Z28" s="1779"/>
      <c r="AA28" s="1779"/>
      <c r="AB28" s="1779"/>
      <c r="AC28" s="1779" t="s">
        <v>218</v>
      </c>
      <c r="AD28" s="1779" t="s">
        <v>219</v>
      </c>
      <c r="AE28" s="1779" t="s">
        <v>220</v>
      </c>
      <c r="AF28" s="1779" t="s">
        <v>221</v>
      </c>
      <c r="AG28" s="1779" t="s">
        <v>222</v>
      </c>
      <c r="AH28" s="1779" t="str">
        <f>IF($E$28=0,"",$E$28)</f>
        <v>Тарифы на теплоноситель, поставляемый теплоснабжающими организациями потребителям, другим теплоснабжающим организациям</v>
      </c>
      <c r="AI28" s="1779" t="str">
        <f>IF($G$28=0,"",$G$28)</f>
        <v/>
      </c>
      <c r="AJ28" s="1779" t="str">
        <f>IF($J$28=0,"",$J$28)</f>
        <v/>
      </c>
      <c r="AK28" s="1779" t="str">
        <f>IF($K$28="нет","без дифференциации",IF($N$28=0,"",$N$28))</f>
        <v/>
      </c>
      <c r="AL28" s="1779" t="str">
        <f>IF($O$28="нет","без дифференциации",IF($R$28=0,"",$R$28))</f>
        <v/>
      </c>
      <c r="AM28" s="1779" t="str">
        <f>IF($S$28="нет","без дифференциации",IF($V$28=0,"",$V$28))</f>
        <v/>
      </c>
      <c r="AN28" s="2284">
        <f>$I$28</f>
        <v>0</v>
      </c>
      <c r="AO28" s="1779" t="str">
        <f>$I$28&amp;"."&amp;$M$28</f>
        <v>.</v>
      </c>
      <c r="AP28" s="1771" t="str">
        <f>$I$28&amp;"."&amp;$M$28&amp;"."&amp;$Q$28</f>
        <v>..</v>
      </c>
      <c r="AQ28" s="1771" t="str">
        <f>$I$28&amp;"."&amp;$M$28&amp;"."&amp;$Q$28&amp;"."&amp;$U$28</f>
        <v>...</v>
      </c>
      <c r="AR28" s="1795">
        <v>0</v>
      </c>
    </row>
    <row s="47026" customFormat="1" customHeight="1" ht="17.25" hidden="1">
      <c r="A29" s="833"/>
      <c r="C29" s="832"/>
      <c r="D29" s="2647"/>
      <c r="E29" s="2655"/>
      <c r="F29" s="2658"/>
      <c r="G29" s="2655"/>
      <c r="H29" s="2661"/>
      <c r="I29" s="2663"/>
      <c r="J29" s="2665"/>
      <c r="K29" s="2650"/>
      <c r="L29" s="2650"/>
      <c r="M29" s="2650"/>
      <c r="N29" s="2652"/>
      <c r="O29" s="2650"/>
      <c r="P29" s="2650"/>
      <c r="Q29" s="2650"/>
      <c r="R29" s="2653"/>
      <c r="S29" s="2650"/>
      <c r="T29" s="1809"/>
      <c r="U29" s="1809"/>
      <c r="V29" s="1809"/>
      <c r="W29" s="1810"/>
      <c r="X29" s="1771"/>
      <c r="Y29" s="1771"/>
      <c r="Z29" s="1771"/>
      <c r="AA29" s="1771"/>
      <c r="AB29" s="1771"/>
      <c r="AC29" s="1771"/>
      <c r="AD29" s="1771"/>
      <c r="AE29" s="1771"/>
      <c r="AF29" s="1771"/>
      <c r="AG29" s="1771"/>
      <c r="AH29" s="1771"/>
      <c r="AI29" s="1771"/>
      <c r="AJ29" s="1771"/>
      <c r="AK29" s="1771"/>
      <c r="AL29" s="1771"/>
      <c r="AM29" s="1771"/>
      <c r="AN29" s="1771"/>
      <c r="AO29" s="1771"/>
      <c r="AP29" s="1771"/>
      <c r="AQ29" s="1771"/>
      <c r="AR29" s="1795">
        <v>0</v>
      </c>
    </row>
    <row s="47026" customFormat="1" customHeight="1" ht="17.25" hidden="1">
      <c r="A30" s="833"/>
      <c r="C30" s="832"/>
      <c r="D30" s="2648"/>
      <c r="E30" s="2656"/>
      <c r="F30" s="2658"/>
      <c r="G30" s="2656"/>
      <c r="H30" s="2661"/>
      <c r="I30" s="2663"/>
      <c r="J30" s="2666"/>
      <c r="K30" s="2650"/>
      <c r="L30" s="2650"/>
      <c r="M30" s="2650"/>
      <c r="N30" s="2653"/>
      <c r="O30" s="2650"/>
      <c r="P30" s="1930"/>
      <c r="Q30" s="1809"/>
      <c r="R30" s="1809"/>
      <c r="S30" s="841"/>
      <c r="T30" s="841"/>
      <c r="U30" s="841"/>
      <c r="V30" s="841"/>
      <c r="W30" s="1810"/>
      <c r="X30" s="1771"/>
      <c r="Y30" s="1771"/>
      <c r="Z30" s="1771"/>
      <c r="AA30" s="1771"/>
      <c r="AB30" s="1771"/>
      <c r="AC30" s="1771"/>
      <c r="AD30" s="1771"/>
      <c r="AE30" s="1771"/>
      <c r="AF30" s="1771"/>
      <c r="AG30" s="1771"/>
      <c r="AH30" s="1771"/>
      <c r="AI30" s="1771"/>
      <c r="AJ30" s="1771"/>
      <c r="AK30" s="1771"/>
      <c r="AL30" s="1771"/>
      <c r="AM30" s="1771"/>
      <c r="AN30" s="1771"/>
      <c r="AO30" s="1771"/>
      <c r="AP30" s="1771"/>
      <c r="AQ30" s="1771"/>
      <c r="AR30" s="1795">
        <v>0</v>
      </c>
    </row>
    <row s="47026" customFormat="1" customHeight="1" ht="17.25" hidden="1">
      <c r="A31" s="833"/>
      <c r="C31" s="832"/>
      <c r="D31" s="2648"/>
      <c r="E31" s="2656"/>
      <c r="F31" s="2658"/>
      <c r="G31" s="2656"/>
      <c r="H31" s="2661"/>
      <c r="I31" s="2663"/>
      <c r="J31" s="2666"/>
      <c r="K31" s="2650"/>
      <c r="L31" s="1809"/>
      <c r="M31" s="1809"/>
      <c r="N31" s="1809"/>
      <c r="O31" s="1809"/>
      <c r="P31" s="1809"/>
      <c r="Q31" s="1809"/>
      <c r="R31" s="1809"/>
      <c r="S31" s="841"/>
      <c r="T31" s="841"/>
      <c r="U31" s="841"/>
      <c r="V31" s="841"/>
      <c r="W31" s="1810"/>
      <c r="X31" s="1771"/>
      <c r="Y31" s="1771"/>
      <c r="Z31" s="1771"/>
      <c r="AA31" s="1771"/>
      <c r="AB31" s="1771"/>
      <c r="AC31" s="1771"/>
      <c r="AD31" s="1771"/>
      <c r="AE31" s="1771"/>
      <c r="AF31" s="1771"/>
      <c r="AG31" s="1771"/>
      <c r="AH31" s="1771"/>
      <c r="AI31" s="1771"/>
      <c r="AJ31" s="1771"/>
      <c r="AK31" s="1771"/>
      <c r="AL31" s="1771"/>
      <c r="AM31" s="1771"/>
      <c r="AN31" s="1771"/>
      <c r="AO31" s="1771"/>
      <c r="AP31" s="1771"/>
      <c r="AQ31" s="1771"/>
      <c r="AR31" s="1795">
        <v>0</v>
      </c>
    </row>
    <row s="47026" customFormat="1" customHeight="1" ht="17.25" hidden="1">
      <c r="A32" s="833"/>
      <c r="C32" s="832"/>
      <c r="D32" s="2648"/>
      <c r="E32" s="2656"/>
      <c r="F32" s="2659"/>
      <c r="G32" s="2656"/>
      <c r="H32" s="1811"/>
      <c r="I32" s="1812"/>
      <c r="J32" s="1812"/>
      <c r="K32" s="1812"/>
      <c r="L32" s="1812"/>
      <c r="M32" s="1812"/>
      <c r="N32" s="1812"/>
      <c r="O32" s="1812"/>
      <c r="P32" s="1812"/>
      <c r="Q32" s="1812"/>
      <c r="R32" s="1812"/>
      <c r="S32" s="1813"/>
      <c r="T32" s="1813"/>
      <c r="U32" s="1813"/>
      <c r="V32" s="1813"/>
      <c r="W32" s="1814"/>
      <c r="X32" s="1771"/>
      <c r="Y32" s="1771"/>
      <c r="Z32" s="1771"/>
      <c r="AA32" s="1771"/>
      <c r="AB32" s="1771"/>
      <c r="AC32" s="1771"/>
      <c r="AD32" s="1771"/>
      <c r="AE32" s="1771"/>
      <c r="AF32" s="1771"/>
      <c r="AG32" s="1771"/>
      <c r="AH32" s="1771"/>
      <c r="AI32" s="1771"/>
      <c r="AJ32" s="1771"/>
      <c r="AK32" s="1771"/>
      <c r="AL32" s="1771"/>
      <c r="AM32" s="1771"/>
      <c r="AN32" s="1771"/>
      <c r="AO32" s="1771"/>
      <c r="AP32" s="1771"/>
      <c r="AQ32" s="1771"/>
      <c r="AR32" s="1795">
        <v>0</v>
      </c>
    </row>
    <row s="47026" customFormat="1" customHeight="1" ht="17.25" hidden="1">
      <c r="A33" s="833"/>
      <c r="C33" s="721"/>
      <c r="D33" s="2647">
        <v>4</v>
      </c>
      <c r="E33" s="2655" t="s">
        <v>223</v>
      </c>
      <c r="F33" s="2657" t="s">
        <v>19</v>
      </c>
      <c r="G33" s="2655"/>
      <c r="H33" s="2660"/>
      <c r="I33" s="2662"/>
      <c r="J33" s="2664"/>
      <c r="K33" s="2649"/>
      <c r="L33" s="2649"/>
      <c r="M33" s="2649"/>
      <c r="N33" s="2651"/>
      <c r="O33" s="2649"/>
      <c r="P33" s="2649"/>
      <c r="Q33" s="2649"/>
      <c r="R33" s="2654"/>
      <c r="S33" s="2649"/>
      <c r="T33" s="1932"/>
      <c r="U33" s="1932"/>
      <c r="V33" s="1931"/>
      <c r="W33" s="1808"/>
      <c r="X33" s="1779"/>
      <c r="Y33" s="1779"/>
      <c r="Z33" s="1779"/>
      <c r="AA33" s="1779"/>
      <c r="AB33" s="1779"/>
      <c r="AC33" s="1779" t="s">
        <v>224</v>
      </c>
      <c r="AD33" s="1779" t="s">
        <v>225</v>
      </c>
      <c r="AE33" s="1779" t="s">
        <v>226</v>
      </c>
      <c r="AF33" s="1779" t="s">
        <v>227</v>
      </c>
      <c r="AG33" s="1779" t="s">
        <v>228</v>
      </c>
      <c r="AH33" s="1779"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779" t="str">
        <f>IF($G$33=0,"",$G$33)</f>
        <v/>
      </c>
      <c r="AJ33" s="1779" t="str">
        <f>IF($J$33=0,"",$J$33)</f>
        <v/>
      </c>
      <c r="AK33" s="1779" t="str">
        <f>IF($K$33="нет","без дифференциации",IF($N$33=0,"",$N$33))</f>
        <v/>
      </c>
      <c r="AL33" s="1779" t="str">
        <f>IF($O$33="нет","без дифференциации",IF($R$33=0,"",$R$33))</f>
        <v/>
      </c>
      <c r="AM33" s="1779" t="str">
        <f>IF($S$33="нет","без дифференциации",IF($V$33=0,"",$V$33))</f>
        <v/>
      </c>
      <c r="AN33" s="2284">
        <f>$I$33</f>
        <v>0</v>
      </c>
      <c r="AO33" s="1779" t="str">
        <f>$I$33&amp;"."&amp;$M$33</f>
        <v>.</v>
      </c>
      <c r="AP33" s="1771" t="str">
        <f>$I$33&amp;"."&amp;$M$33&amp;"."&amp;$Q$33</f>
        <v>..</v>
      </c>
      <c r="AQ33" s="1771" t="str">
        <f>$I$33&amp;"."&amp;$M$33&amp;"."&amp;$Q$33&amp;"."&amp;$U$33</f>
        <v>...</v>
      </c>
      <c r="AR33" s="1795">
        <v>0</v>
      </c>
    </row>
    <row s="47026" customFormat="1" customHeight="1" ht="17.25" hidden="1">
      <c r="A34" s="833"/>
      <c r="C34" s="832"/>
      <c r="D34" s="2647"/>
      <c r="E34" s="2655"/>
      <c r="F34" s="2658"/>
      <c r="G34" s="2655"/>
      <c r="H34" s="2661"/>
      <c r="I34" s="2663"/>
      <c r="J34" s="2665"/>
      <c r="K34" s="2650"/>
      <c r="L34" s="2650"/>
      <c r="M34" s="2650"/>
      <c r="N34" s="2652"/>
      <c r="O34" s="2650"/>
      <c r="P34" s="2650"/>
      <c r="Q34" s="2650"/>
      <c r="R34" s="2653"/>
      <c r="S34" s="2650"/>
      <c r="T34" s="1809"/>
      <c r="U34" s="1809"/>
      <c r="V34" s="1809"/>
      <c r="W34" s="1810"/>
      <c r="X34" s="1771"/>
      <c r="Y34" s="1771"/>
      <c r="Z34" s="1771"/>
      <c r="AA34" s="1771"/>
      <c r="AB34" s="1771"/>
      <c r="AC34" s="1771"/>
      <c r="AD34" s="1771"/>
      <c r="AE34" s="1771"/>
      <c r="AF34" s="1771"/>
      <c r="AG34" s="1771"/>
      <c r="AH34" s="1771"/>
      <c r="AI34" s="1771"/>
      <c r="AJ34" s="1771"/>
      <c r="AK34" s="1771"/>
      <c r="AL34" s="1771"/>
      <c r="AM34" s="1771"/>
      <c r="AN34" s="1771"/>
      <c r="AO34" s="1771"/>
      <c r="AP34" s="1771"/>
      <c r="AQ34" s="1771"/>
      <c r="AR34" s="1795">
        <v>0</v>
      </c>
    </row>
    <row s="47026" customFormat="1" customHeight="1" ht="17.25" hidden="1">
      <c r="A35" s="833"/>
      <c r="C35" s="832"/>
      <c r="D35" s="2648"/>
      <c r="E35" s="2656"/>
      <c r="F35" s="2658"/>
      <c r="G35" s="2656"/>
      <c r="H35" s="2661"/>
      <c r="I35" s="2663"/>
      <c r="J35" s="2666"/>
      <c r="K35" s="2650"/>
      <c r="L35" s="2650"/>
      <c r="M35" s="2650"/>
      <c r="N35" s="2653"/>
      <c r="O35" s="2650"/>
      <c r="P35" s="1930"/>
      <c r="Q35" s="1809"/>
      <c r="R35" s="1809"/>
      <c r="S35" s="841"/>
      <c r="T35" s="841"/>
      <c r="U35" s="841"/>
      <c r="V35" s="841"/>
      <c r="W35" s="1810"/>
      <c r="X35" s="1771"/>
      <c r="Y35" s="1771"/>
      <c r="Z35" s="1771"/>
      <c r="AA35" s="1771"/>
      <c r="AB35" s="1771"/>
      <c r="AC35" s="1771"/>
      <c r="AD35" s="1771"/>
      <c r="AE35" s="1771"/>
      <c r="AF35" s="1771"/>
      <c r="AG35" s="1771"/>
      <c r="AH35" s="1771"/>
      <c r="AI35" s="1771"/>
      <c r="AJ35" s="1771"/>
      <c r="AK35" s="1771"/>
      <c r="AL35" s="1771"/>
      <c r="AM35" s="1771"/>
      <c r="AN35" s="1771"/>
      <c r="AO35" s="1771"/>
      <c r="AP35" s="1771"/>
      <c r="AQ35" s="1771"/>
      <c r="AR35" s="1795">
        <v>0</v>
      </c>
    </row>
    <row s="47026" customFormat="1" customHeight="1" ht="17.25" hidden="1">
      <c r="A36" s="833"/>
      <c r="C36" s="832"/>
      <c r="D36" s="2648"/>
      <c r="E36" s="2656"/>
      <c r="F36" s="2658"/>
      <c r="G36" s="2656"/>
      <c r="H36" s="2661"/>
      <c r="I36" s="2663"/>
      <c r="J36" s="2666"/>
      <c r="K36" s="2650"/>
      <c r="L36" s="1809"/>
      <c r="M36" s="1809"/>
      <c r="N36" s="1809"/>
      <c r="O36" s="1809"/>
      <c r="P36" s="1809"/>
      <c r="Q36" s="1809"/>
      <c r="R36" s="1809"/>
      <c r="S36" s="841"/>
      <c r="T36" s="841"/>
      <c r="U36" s="841"/>
      <c r="V36" s="841"/>
      <c r="W36" s="1810"/>
      <c r="X36" s="1771"/>
      <c r="Y36" s="1771"/>
      <c r="Z36" s="1771"/>
      <c r="AA36" s="1771"/>
      <c r="AB36" s="1771"/>
      <c r="AC36" s="1771"/>
      <c r="AD36" s="1771"/>
      <c r="AE36" s="1771"/>
      <c r="AF36" s="1771"/>
      <c r="AG36" s="1771"/>
      <c r="AH36" s="1771"/>
      <c r="AI36" s="1771"/>
      <c r="AJ36" s="1771"/>
      <c r="AK36" s="1771"/>
      <c r="AL36" s="1771"/>
      <c r="AM36" s="1771"/>
      <c r="AN36" s="1771"/>
      <c r="AO36" s="1771"/>
      <c r="AP36" s="1771"/>
      <c r="AQ36" s="1771"/>
      <c r="AR36" s="1795">
        <v>0</v>
      </c>
    </row>
    <row s="47026" customFormat="1" customHeight="1" ht="17.25" hidden="1">
      <c r="A37" s="833"/>
      <c r="C37" s="832"/>
      <c r="D37" s="2648"/>
      <c r="E37" s="2656"/>
      <c r="F37" s="2659"/>
      <c r="G37" s="2656"/>
      <c r="H37" s="1811"/>
      <c r="I37" s="1812"/>
      <c r="J37" s="1812"/>
      <c r="K37" s="1812"/>
      <c r="L37" s="1812"/>
      <c r="M37" s="1812"/>
      <c r="N37" s="1812"/>
      <c r="O37" s="1812"/>
      <c r="P37" s="1812"/>
      <c r="Q37" s="1812"/>
      <c r="R37" s="1812"/>
      <c r="S37" s="1813"/>
      <c r="T37" s="1813"/>
      <c r="U37" s="1813"/>
      <c r="V37" s="1813"/>
      <c r="W37" s="1814"/>
      <c r="X37" s="1771"/>
      <c r="Y37" s="1771"/>
      <c r="Z37" s="1771"/>
      <c r="AA37" s="1771"/>
      <c r="AB37" s="1771"/>
      <c r="AC37" s="1771"/>
      <c r="AD37" s="1771"/>
      <c r="AE37" s="1771"/>
      <c r="AF37" s="1771"/>
      <c r="AG37" s="1771"/>
      <c r="AH37" s="1771"/>
      <c r="AI37" s="1771"/>
      <c r="AJ37" s="1771"/>
      <c r="AK37" s="1771"/>
      <c r="AL37" s="1771"/>
      <c r="AM37" s="1771"/>
      <c r="AN37" s="1771"/>
      <c r="AO37" s="1771"/>
      <c r="AP37" s="1771"/>
      <c r="AQ37" s="1771"/>
      <c r="AR37" s="1795">
        <v>0</v>
      </c>
    </row>
    <row s="47026" customFormat="1" customHeight="1" ht="17.25" hidden="1">
      <c r="A38" s="833"/>
      <c r="C38" s="721"/>
      <c r="D38" s="2647">
        <v>5</v>
      </c>
      <c r="E38" s="2655" t="s">
        <v>229</v>
      </c>
      <c r="F38" s="2657" t="s">
        <v>19</v>
      </c>
      <c r="G38" s="2655"/>
      <c r="H38" s="2660"/>
      <c r="I38" s="2662"/>
      <c r="J38" s="2664"/>
      <c r="K38" s="2649"/>
      <c r="L38" s="2649"/>
      <c r="M38" s="2649"/>
      <c r="N38" s="2651"/>
      <c r="O38" s="2649"/>
      <c r="P38" s="2649"/>
      <c r="Q38" s="2649"/>
      <c r="R38" s="2654"/>
      <c r="S38" s="2649"/>
      <c r="T38" s="1932"/>
      <c r="U38" s="1932"/>
      <c r="V38" s="1931"/>
      <c r="W38" s="1808"/>
      <c r="X38" s="1779"/>
      <c r="Y38" s="1779"/>
      <c r="Z38" s="1779"/>
      <c r="AA38" s="1779"/>
      <c r="AB38" s="1779"/>
      <c r="AC38" s="1779" t="s">
        <v>230</v>
      </c>
      <c r="AD38" s="1779" t="s">
        <v>231</v>
      </c>
      <c r="AE38" s="1779" t="s">
        <v>232</v>
      </c>
      <c r="AF38" s="1779" t="s">
        <v>233</v>
      </c>
      <c r="AG38" s="1779" t="s">
        <v>234</v>
      </c>
      <c r="AH38" s="1779" t="str">
        <f>IF($E$38=0,"",$E$38)</f>
        <v>Тарифы на услуги по передаче тепловой энергии</v>
      </c>
      <c r="AI38" s="1779" t="str">
        <f>IF($G$38=0,"",$G$38)</f>
        <v/>
      </c>
      <c r="AJ38" s="1779" t="str">
        <f>IF($J$38=0,"",$J$38)</f>
        <v/>
      </c>
      <c r="AK38" s="1779" t="str">
        <f>IF($K$38="нет","без дифференциации",IF($N$38=0,"",$N$38))</f>
        <v/>
      </c>
      <c r="AL38" s="1779" t="str">
        <f>IF($O$38="нет","без дифференциации",IF($R$38=0,"",$R$38))</f>
        <v/>
      </c>
      <c r="AM38" s="1779" t="str">
        <f>IF($S$38="нет","без дифференциации",IF($V$38=0,"",$V$38))</f>
        <v/>
      </c>
      <c r="AN38" s="2284">
        <f>$I$38</f>
        <v>0</v>
      </c>
      <c r="AO38" s="1779" t="str">
        <f>$I$38&amp;"."&amp;$M$38</f>
        <v>.</v>
      </c>
      <c r="AP38" s="1771" t="str">
        <f>$I$38&amp;"."&amp;$M$38&amp;"."&amp;$Q$38</f>
        <v>..</v>
      </c>
      <c r="AQ38" s="1771" t="str">
        <f>$I$38&amp;"."&amp;$M$38&amp;"."&amp;$Q$38&amp;"."&amp;$U$38</f>
        <v>...</v>
      </c>
      <c r="AR38" s="1795">
        <v>0</v>
      </c>
    </row>
    <row s="47026" customFormat="1" customHeight="1" ht="17.25" hidden="1">
      <c r="A39" s="833"/>
      <c r="C39" s="832"/>
      <c r="D39" s="2647"/>
      <c r="E39" s="2655"/>
      <c r="F39" s="2658"/>
      <c r="G39" s="2655"/>
      <c r="H39" s="2661"/>
      <c r="I39" s="2663"/>
      <c r="J39" s="2665"/>
      <c r="K39" s="2650"/>
      <c r="L39" s="2650"/>
      <c r="M39" s="2650"/>
      <c r="N39" s="2652"/>
      <c r="O39" s="2650"/>
      <c r="P39" s="2650"/>
      <c r="Q39" s="2650"/>
      <c r="R39" s="2653"/>
      <c r="S39" s="2650"/>
      <c r="T39" s="1809"/>
      <c r="U39" s="1809"/>
      <c r="V39" s="1809"/>
      <c r="W39" s="1810"/>
      <c r="X39" s="1771"/>
      <c r="Y39" s="1771"/>
      <c r="Z39" s="1771"/>
      <c r="AA39" s="1771"/>
      <c r="AB39" s="1771"/>
      <c r="AC39" s="1771"/>
      <c r="AD39" s="1771"/>
      <c r="AE39" s="1771"/>
      <c r="AF39" s="1771"/>
      <c r="AG39" s="1771"/>
      <c r="AH39" s="1771"/>
      <c r="AI39" s="1771"/>
      <c r="AJ39" s="1771"/>
      <c r="AK39" s="1771"/>
      <c r="AL39" s="1771"/>
      <c r="AM39" s="1771"/>
      <c r="AN39" s="1771"/>
      <c r="AO39" s="1771"/>
      <c r="AP39" s="1771"/>
      <c r="AQ39" s="1771"/>
      <c r="AR39" s="1795">
        <v>0</v>
      </c>
    </row>
    <row s="47026" customFormat="1" customHeight="1" ht="17.25" hidden="1">
      <c r="A40" s="833"/>
      <c r="C40" s="832"/>
      <c r="D40" s="2648"/>
      <c r="E40" s="2656"/>
      <c r="F40" s="2658"/>
      <c r="G40" s="2656"/>
      <c r="H40" s="2661"/>
      <c r="I40" s="2663"/>
      <c r="J40" s="2666"/>
      <c r="K40" s="2650"/>
      <c r="L40" s="2650"/>
      <c r="M40" s="2650"/>
      <c r="N40" s="2653"/>
      <c r="O40" s="2650"/>
      <c r="P40" s="1930"/>
      <c r="Q40" s="1809"/>
      <c r="R40" s="1809"/>
      <c r="S40" s="841"/>
      <c r="T40" s="841"/>
      <c r="U40" s="841"/>
      <c r="V40" s="841"/>
      <c r="W40" s="1810"/>
      <c r="X40" s="1771"/>
      <c r="Y40" s="1771"/>
      <c r="Z40" s="1771"/>
      <c r="AA40" s="1771"/>
      <c r="AB40" s="1771"/>
      <c r="AC40" s="1771"/>
      <c r="AD40" s="1771"/>
      <c r="AE40" s="1771"/>
      <c r="AF40" s="1771"/>
      <c r="AG40" s="1771"/>
      <c r="AH40" s="1771"/>
      <c r="AI40" s="1771"/>
      <c r="AJ40" s="1771"/>
      <c r="AK40" s="1771"/>
      <c r="AL40" s="1771"/>
      <c r="AM40" s="1771"/>
      <c r="AN40" s="1771"/>
      <c r="AO40" s="1771"/>
      <c r="AP40" s="1771"/>
      <c r="AQ40" s="1771"/>
      <c r="AR40" s="1795">
        <v>0</v>
      </c>
    </row>
    <row s="47026" customFormat="1" customHeight="1" ht="17.25" hidden="1">
      <c r="A41" s="833"/>
      <c r="C41" s="832"/>
      <c r="D41" s="2648"/>
      <c r="E41" s="2656"/>
      <c r="F41" s="2658"/>
      <c r="G41" s="2656"/>
      <c r="H41" s="2661"/>
      <c r="I41" s="2663"/>
      <c r="J41" s="2666"/>
      <c r="K41" s="2650"/>
      <c r="L41" s="1809"/>
      <c r="M41" s="1809"/>
      <c r="N41" s="1809"/>
      <c r="O41" s="1809"/>
      <c r="P41" s="1809"/>
      <c r="Q41" s="1809"/>
      <c r="R41" s="1809"/>
      <c r="S41" s="841"/>
      <c r="T41" s="841"/>
      <c r="U41" s="841"/>
      <c r="V41" s="841"/>
      <c r="W41" s="1810"/>
      <c r="X41" s="1771"/>
      <c r="Y41" s="1771"/>
      <c r="Z41" s="1771"/>
      <c r="AA41" s="1771"/>
      <c r="AB41" s="1771"/>
      <c r="AC41" s="1771"/>
      <c r="AD41" s="1771"/>
      <c r="AE41" s="1771"/>
      <c r="AF41" s="1771"/>
      <c r="AG41" s="1771"/>
      <c r="AH41" s="1771"/>
      <c r="AI41" s="1771"/>
      <c r="AJ41" s="1771"/>
      <c r="AK41" s="1771"/>
      <c r="AL41" s="1771"/>
      <c r="AM41" s="1771"/>
      <c r="AN41" s="1771"/>
      <c r="AO41" s="1771"/>
      <c r="AP41" s="1771"/>
      <c r="AQ41" s="1771"/>
      <c r="AR41" s="1795">
        <v>0</v>
      </c>
    </row>
    <row s="47026" customFormat="1" customHeight="1" ht="17.25" hidden="1">
      <c r="A42" s="833"/>
      <c r="C42" s="832"/>
      <c r="D42" s="2648"/>
      <c r="E42" s="2656"/>
      <c r="F42" s="2659"/>
      <c r="G42" s="2656"/>
      <c r="H42" s="1811"/>
      <c r="I42" s="1812"/>
      <c r="J42" s="1812"/>
      <c r="K42" s="1812"/>
      <c r="L42" s="1812"/>
      <c r="M42" s="1812"/>
      <c r="N42" s="1812"/>
      <c r="O42" s="1812"/>
      <c r="P42" s="1812"/>
      <c r="Q42" s="1812"/>
      <c r="R42" s="1812"/>
      <c r="S42" s="1813"/>
      <c r="T42" s="1813"/>
      <c r="U42" s="1813"/>
      <c r="V42" s="1813"/>
      <c r="W42" s="1814"/>
      <c r="X42" s="1771"/>
      <c r="Y42" s="1771"/>
      <c r="Z42" s="1771"/>
      <c r="AA42" s="1771"/>
      <c r="AB42" s="1771"/>
      <c r="AC42" s="1771"/>
      <c r="AD42" s="1771"/>
      <c r="AE42" s="1771"/>
      <c r="AF42" s="1771"/>
      <c r="AG42" s="1771"/>
      <c r="AH42" s="1771"/>
      <c r="AI42" s="1771"/>
      <c r="AJ42" s="1771"/>
      <c r="AK42" s="1771"/>
      <c r="AL42" s="1771"/>
      <c r="AM42" s="1771"/>
      <c r="AN42" s="1771"/>
      <c r="AO42" s="1771"/>
      <c r="AP42" s="1771"/>
      <c r="AQ42" s="1771"/>
      <c r="AR42" s="1795">
        <v>0</v>
      </c>
    </row>
    <row s="47026" customFormat="1" customHeight="1" ht="17.25" hidden="1">
      <c r="A43" s="833"/>
      <c r="C43" s="721"/>
      <c r="D43" s="2647">
        <v>6</v>
      </c>
      <c r="E43" s="2655" t="s">
        <v>235</v>
      </c>
      <c r="F43" s="2657" t="s">
        <v>19</v>
      </c>
      <c r="G43" s="2655"/>
      <c r="H43" s="2660"/>
      <c r="I43" s="2662"/>
      <c r="J43" s="2664"/>
      <c r="K43" s="2649"/>
      <c r="L43" s="2649"/>
      <c r="M43" s="2649"/>
      <c r="N43" s="2651"/>
      <c r="O43" s="2649"/>
      <c r="P43" s="2649"/>
      <c r="Q43" s="2649"/>
      <c r="R43" s="2654"/>
      <c r="S43" s="2649"/>
      <c r="T43" s="1932"/>
      <c r="U43" s="1932"/>
      <c r="V43" s="1931"/>
      <c r="W43" s="1808"/>
      <c r="X43" s="1779"/>
      <c r="Y43" s="1779"/>
      <c r="Z43" s="1779"/>
      <c r="AA43" s="1779"/>
      <c r="AB43" s="1779"/>
      <c r="AC43" s="1779" t="s">
        <v>236</v>
      </c>
      <c r="AD43" s="1779" t="s">
        <v>237</v>
      </c>
      <c r="AE43" s="1779" t="s">
        <v>238</v>
      </c>
      <c r="AF43" s="1779" t="s">
        <v>239</v>
      </c>
      <c r="AG43" s="1779" t="s">
        <v>240</v>
      </c>
      <c r="AH43" s="1779" t="str">
        <f>IF($E$43=0,"",$E$43)</f>
        <v>Тарифы на услуги по передаче теплоносителя</v>
      </c>
      <c r="AI43" s="1779" t="str">
        <f>IF($G$43=0,"",$G$43)</f>
        <v/>
      </c>
      <c r="AJ43" s="1779" t="str">
        <f>IF($J$43=0,"",$J$43)</f>
        <v/>
      </c>
      <c r="AK43" s="1779" t="str">
        <f>IF($K$43="нет","без дифференциации",IF($N$43=0,"",$N$43))</f>
        <v/>
      </c>
      <c r="AL43" s="1779" t="str">
        <f>IF($O$43="нет","без дифференциации",IF($R$43=0,"",$R$43))</f>
        <v/>
      </c>
      <c r="AM43" s="1779" t="str">
        <f>IF($S$43="нет","без дифференциации",IF($V$43=0,"",$V$43))</f>
        <v/>
      </c>
      <c r="AN43" s="2284">
        <f>$I$43</f>
        <v>0</v>
      </c>
      <c r="AO43" s="1779" t="str">
        <f>$I$43&amp;"."&amp;$M$43</f>
        <v>.</v>
      </c>
      <c r="AP43" s="1771" t="str">
        <f>$I$43&amp;"."&amp;$M$43&amp;"."&amp;$Q$43</f>
        <v>..</v>
      </c>
      <c r="AQ43" s="1771" t="str">
        <f>$I$43&amp;"."&amp;$M$43&amp;"."&amp;$Q$43&amp;"."&amp;$U$43</f>
        <v>...</v>
      </c>
      <c r="AR43" s="1795">
        <v>0</v>
      </c>
    </row>
    <row s="47026" customFormat="1" customHeight="1" ht="17.25" hidden="1">
      <c r="A44" s="833"/>
      <c r="C44" s="832"/>
      <c r="D44" s="2647"/>
      <c r="E44" s="2655"/>
      <c r="F44" s="2658"/>
      <c r="G44" s="2655"/>
      <c r="H44" s="2661"/>
      <c r="I44" s="2663"/>
      <c r="J44" s="2665"/>
      <c r="K44" s="2650"/>
      <c r="L44" s="2650"/>
      <c r="M44" s="2650"/>
      <c r="N44" s="2652"/>
      <c r="O44" s="2650"/>
      <c r="P44" s="2650"/>
      <c r="Q44" s="2650"/>
      <c r="R44" s="2653"/>
      <c r="S44" s="2650"/>
      <c r="T44" s="1809"/>
      <c r="U44" s="1809"/>
      <c r="V44" s="1809"/>
      <c r="W44" s="1810"/>
      <c r="X44" s="1771"/>
      <c r="Y44" s="1771"/>
      <c r="Z44" s="1771"/>
      <c r="AA44" s="1771"/>
      <c r="AB44" s="1771"/>
      <c r="AC44" s="1771"/>
      <c r="AD44" s="1771"/>
      <c r="AE44" s="1771"/>
      <c r="AF44" s="1771"/>
      <c r="AG44" s="1771"/>
      <c r="AH44" s="1771"/>
      <c r="AI44" s="1771"/>
      <c r="AJ44" s="1771"/>
      <c r="AK44" s="1771"/>
      <c r="AL44" s="1771"/>
      <c r="AM44" s="1771"/>
      <c r="AN44" s="1771"/>
      <c r="AO44" s="1771"/>
      <c r="AP44" s="1771"/>
      <c r="AQ44" s="1771"/>
      <c r="AR44" s="1795">
        <v>0</v>
      </c>
    </row>
    <row s="47026" customFormat="1" customHeight="1" ht="17.25" hidden="1">
      <c r="A45" s="833"/>
      <c r="C45" s="832"/>
      <c r="D45" s="2648"/>
      <c r="E45" s="2656"/>
      <c r="F45" s="2658"/>
      <c r="G45" s="2656"/>
      <c r="H45" s="2661"/>
      <c r="I45" s="2663"/>
      <c r="J45" s="2666"/>
      <c r="K45" s="2650"/>
      <c r="L45" s="2650"/>
      <c r="M45" s="2650"/>
      <c r="N45" s="2653"/>
      <c r="O45" s="2650"/>
      <c r="P45" s="1930"/>
      <c r="Q45" s="1809"/>
      <c r="R45" s="1809"/>
      <c r="S45" s="841"/>
      <c r="T45" s="841"/>
      <c r="U45" s="841"/>
      <c r="V45" s="841"/>
      <c r="W45" s="1810"/>
      <c r="X45" s="1771"/>
      <c r="Y45" s="1771"/>
      <c r="Z45" s="1771"/>
      <c r="AA45" s="1771"/>
      <c r="AB45" s="1771"/>
      <c r="AC45" s="1771"/>
      <c r="AD45" s="1771"/>
      <c r="AE45" s="1771"/>
      <c r="AF45" s="1771"/>
      <c r="AG45" s="1771"/>
      <c r="AH45" s="1771"/>
      <c r="AI45" s="1771"/>
      <c r="AJ45" s="1771"/>
      <c r="AK45" s="1771"/>
      <c r="AL45" s="1771"/>
      <c r="AM45" s="1771"/>
      <c r="AN45" s="1771"/>
      <c r="AO45" s="1771"/>
      <c r="AP45" s="1771"/>
      <c r="AQ45" s="1771"/>
      <c r="AR45" s="1795">
        <v>0</v>
      </c>
    </row>
    <row s="47026" customFormat="1" customHeight="1" ht="17.25" hidden="1">
      <c r="A46" s="833"/>
      <c r="C46" s="721"/>
      <c r="D46" s="2648"/>
      <c r="E46" s="2656"/>
      <c r="F46" s="2658"/>
      <c r="G46" s="2656"/>
      <c r="H46" s="2661"/>
      <c r="I46" s="2663"/>
      <c r="J46" s="2666"/>
      <c r="K46" s="2650"/>
      <c r="L46" s="1809"/>
      <c r="M46" s="1809"/>
      <c r="N46" s="1809"/>
      <c r="O46" s="1809"/>
      <c r="P46" s="1809"/>
      <c r="Q46" s="1809"/>
      <c r="R46" s="1809"/>
      <c r="S46" s="841"/>
      <c r="T46" s="841"/>
      <c r="U46" s="841"/>
      <c r="V46" s="841"/>
      <c r="W46" s="1810"/>
      <c r="Y46" s="1779"/>
      <c r="Z46" s="1779"/>
      <c r="AA46" s="1779"/>
      <c r="AB46" s="1779"/>
      <c r="AC46" s="1779"/>
      <c r="AD46" s="1779"/>
      <c r="AE46" s="1779"/>
      <c r="AF46" s="1779"/>
      <c r="AG46" s="1779"/>
      <c r="AH46" s="1779"/>
      <c r="AI46" s="1779"/>
      <c r="AJ46" s="1779"/>
      <c r="AK46" s="1779"/>
      <c r="AL46" s="1779"/>
      <c r="AM46" s="1779"/>
      <c r="AN46" s="1779"/>
      <c r="AO46" s="1779"/>
      <c r="AP46" s="1779"/>
      <c r="AQ46" s="1779"/>
      <c r="AR46" s="1838">
        <v>0</v>
      </c>
    </row>
    <row s="47026" customFormat="1" customHeight="1" ht="17.25" hidden="1">
      <c r="A47" s="833"/>
      <c r="C47" s="832"/>
      <c r="D47" s="2648"/>
      <c r="E47" s="2656"/>
      <c r="F47" s="2659"/>
      <c r="G47" s="2656"/>
      <c r="H47" s="1811"/>
      <c r="I47" s="1812"/>
      <c r="J47" s="1812"/>
      <c r="K47" s="1812"/>
      <c r="L47" s="1812"/>
      <c r="M47" s="1812"/>
      <c r="N47" s="1812"/>
      <c r="O47" s="1812"/>
      <c r="P47" s="1812"/>
      <c r="Q47" s="1812"/>
      <c r="R47" s="1812"/>
      <c r="S47" s="1813"/>
      <c r="T47" s="1813"/>
      <c r="U47" s="1813"/>
      <c r="V47" s="1813"/>
      <c r="W47" s="1814"/>
      <c r="X47" s="1771"/>
      <c r="Y47" s="1771"/>
      <c r="Z47" s="1771"/>
      <c r="AA47" s="1771"/>
      <c r="AB47" s="1771"/>
      <c r="AC47" s="1771"/>
      <c r="AD47" s="1771"/>
      <c r="AE47" s="1771"/>
      <c r="AF47" s="1771"/>
      <c r="AG47" s="1771"/>
      <c r="AH47" s="1771"/>
      <c r="AI47" s="1771"/>
      <c r="AJ47" s="1771"/>
      <c r="AK47" s="1771"/>
      <c r="AL47" s="1771"/>
      <c r="AM47" s="1771"/>
      <c r="AN47" s="1771"/>
      <c r="AO47" s="1771"/>
      <c r="AP47" s="1771"/>
      <c r="AQ47" s="1771"/>
      <c r="AR47" s="1795">
        <v>0</v>
      </c>
    </row>
    <row s="47026" customFormat="1" customHeight="1" ht="17.25" hidden="1">
      <c r="A48" s="833"/>
      <c r="C48" s="721"/>
      <c r="D48" s="2678">
        <v>7</v>
      </c>
      <c r="E48" s="2681" t="s">
        <v>241</v>
      </c>
      <c r="F48" s="2657" t="s">
        <v>19</v>
      </c>
      <c r="G48" s="2681"/>
      <c r="H48" s="2660"/>
      <c r="I48" s="2662"/>
      <c r="J48" s="2664"/>
      <c r="K48" s="2649"/>
      <c r="L48" s="2649"/>
      <c r="M48" s="2649"/>
      <c r="N48" s="2651"/>
      <c r="O48" s="2649"/>
      <c r="P48" s="2649"/>
      <c r="Q48" s="2649"/>
      <c r="R48" s="2654"/>
      <c r="S48" s="2649"/>
      <c r="T48" s="1932"/>
      <c r="U48" s="1932"/>
      <c r="V48" s="1931"/>
      <c r="W48" s="1808"/>
      <c r="X48" s="1779"/>
      <c r="Y48" s="1779"/>
      <c r="Z48" s="1779"/>
      <c r="AA48" s="1779"/>
      <c r="AB48" s="1779"/>
      <c r="AC48" s="1779" t="s">
        <v>242</v>
      </c>
      <c r="AD48" s="1779" t="s">
        <v>243</v>
      </c>
      <c r="AE48" s="1779" t="s">
        <v>244</v>
      </c>
      <c r="AF48" s="1779" t="s">
        <v>245</v>
      </c>
      <c r="AG48" s="1779" t="s">
        <v>246</v>
      </c>
      <c r="AH48" s="1779" t="str">
        <f>IF($E$48=0,"",$E$48)</f>
        <v>Плата за услуги по поддержанию резервной тепловой мощности при отсутствии потребления тепловой энергии</v>
      </c>
      <c r="AI48" s="1779" t="str">
        <f>IF($G$48=0,"",$G$48)</f>
        <v/>
      </c>
      <c r="AJ48" s="1779" t="str">
        <f>IF($J$48=0,"",$J$48)</f>
        <v/>
      </c>
      <c r="AK48" s="1779" t="str">
        <f>IF($K$48="нет","без дифференциации",IF($N$48=0,"",$N$48))</f>
        <v/>
      </c>
      <c r="AL48" s="1779" t="str">
        <f>IF($O$48="нет","без дифференциации",IF($R$48=0,"",$R$48))</f>
        <v/>
      </c>
      <c r="AM48" s="1779" t="str">
        <f>IF($S$48="нет","без дифференциации",IF($V$48=0,"",$V$48))</f>
        <v/>
      </c>
      <c r="AN48" s="2284">
        <f>$I$48</f>
        <v>0</v>
      </c>
      <c r="AO48" s="1779" t="str">
        <f>$I$48&amp;"."&amp;$M$48</f>
        <v>.</v>
      </c>
      <c r="AP48" s="1771" t="str">
        <f>$I$48&amp;"."&amp;$M$48&amp;"."&amp;$Q$48</f>
        <v>..</v>
      </c>
      <c r="AQ48" s="1771" t="str">
        <f>$I$48&amp;"."&amp;$M$48&amp;"."&amp;$Q$48&amp;"."&amp;$U$48</f>
        <v>...</v>
      </c>
      <c r="AR48" s="1820">
        <v>0</v>
      </c>
    </row>
    <row s="47026" customFormat="1" customHeight="1" ht="17.25" hidden="1">
      <c r="A49" s="833"/>
      <c r="C49" s="832"/>
      <c r="D49" s="2679"/>
      <c r="E49" s="2682"/>
      <c r="F49" s="2658"/>
      <c r="G49" s="2682"/>
      <c r="H49" s="2661"/>
      <c r="I49" s="2663"/>
      <c r="J49" s="2665"/>
      <c r="K49" s="2650"/>
      <c r="L49" s="2650"/>
      <c r="M49" s="2650"/>
      <c r="N49" s="2652"/>
      <c r="O49" s="2650"/>
      <c r="P49" s="2650"/>
      <c r="Q49" s="2650"/>
      <c r="R49" s="2653"/>
      <c r="S49" s="2650"/>
      <c r="T49" s="1809"/>
      <c r="U49" s="1809"/>
      <c r="V49" s="1809"/>
      <c r="W49" s="1810"/>
      <c r="X49" s="1771"/>
      <c r="Y49" s="1771"/>
      <c r="Z49" s="1771"/>
      <c r="AA49" s="1771"/>
      <c r="AB49" s="1771"/>
      <c r="AC49" s="1771"/>
      <c r="AD49" s="1771"/>
      <c r="AE49" s="1771"/>
      <c r="AF49" s="1771"/>
      <c r="AG49" s="1771"/>
      <c r="AH49" s="1771"/>
      <c r="AI49" s="1771"/>
      <c r="AJ49" s="1771"/>
      <c r="AK49" s="1771"/>
      <c r="AL49" s="1771"/>
      <c r="AM49" s="1771"/>
      <c r="AN49" s="1771"/>
      <c r="AO49" s="1771"/>
      <c r="AP49" s="1771"/>
      <c r="AQ49" s="1771"/>
      <c r="AR49" s="1820">
        <v>0</v>
      </c>
    </row>
    <row s="47026" customFormat="1" customHeight="1" ht="17.25" hidden="1">
      <c r="A50" s="833"/>
      <c r="C50" s="832"/>
      <c r="D50" s="2679"/>
      <c r="E50" s="2682"/>
      <c r="F50" s="2658"/>
      <c r="G50" s="2682"/>
      <c r="H50" s="2661"/>
      <c r="I50" s="2663"/>
      <c r="J50" s="2666"/>
      <c r="K50" s="2650"/>
      <c r="L50" s="2650"/>
      <c r="M50" s="2650"/>
      <c r="N50" s="2653"/>
      <c r="O50" s="2650"/>
      <c r="P50" s="1930"/>
      <c r="Q50" s="1809"/>
      <c r="R50" s="1809"/>
      <c r="S50" s="841"/>
      <c r="T50" s="841"/>
      <c r="U50" s="841"/>
      <c r="V50" s="841"/>
      <c r="W50" s="1810"/>
      <c r="X50" s="1771"/>
      <c r="Y50" s="1771"/>
      <c r="Z50" s="1771"/>
      <c r="AA50" s="1771"/>
      <c r="AB50" s="1771"/>
      <c r="AC50" s="1771"/>
      <c r="AD50" s="1771"/>
      <c r="AE50" s="1771"/>
      <c r="AF50" s="1771"/>
      <c r="AG50" s="1771"/>
      <c r="AH50" s="1771"/>
      <c r="AI50" s="1771"/>
      <c r="AJ50" s="1771"/>
      <c r="AK50" s="1771"/>
      <c r="AL50" s="1771"/>
      <c r="AM50" s="1771"/>
      <c r="AN50" s="1771"/>
      <c r="AO50" s="1771"/>
      <c r="AP50" s="1771"/>
      <c r="AQ50" s="1771"/>
      <c r="AR50" s="1820">
        <v>0</v>
      </c>
    </row>
    <row s="47026" customFormat="1" customHeight="1" ht="17.25" hidden="1">
      <c r="A51" s="833"/>
      <c r="C51" s="721"/>
      <c r="D51" s="2679"/>
      <c r="E51" s="2682"/>
      <c r="F51" s="2658"/>
      <c r="G51" s="2682"/>
      <c r="H51" s="2661"/>
      <c r="I51" s="2663"/>
      <c r="J51" s="2666"/>
      <c r="K51" s="2650"/>
      <c r="L51" s="1809"/>
      <c r="M51" s="1809"/>
      <c r="N51" s="1809"/>
      <c r="O51" s="1809"/>
      <c r="P51" s="1809"/>
      <c r="Q51" s="1809"/>
      <c r="R51" s="1809"/>
      <c r="S51" s="841"/>
      <c r="T51" s="841"/>
      <c r="U51" s="841"/>
      <c r="V51" s="841"/>
      <c r="W51" s="1810"/>
      <c r="Y51" s="1779"/>
      <c r="Z51" s="1779"/>
      <c r="AA51" s="1779"/>
      <c r="AB51" s="1779"/>
      <c r="AC51" s="1779"/>
      <c r="AD51" s="1779"/>
      <c r="AE51" s="1779"/>
      <c r="AF51" s="1779"/>
      <c r="AG51" s="1779"/>
      <c r="AH51" s="1779"/>
      <c r="AI51" s="1779"/>
      <c r="AJ51" s="1779"/>
      <c r="AK51" s="1779"/>
      <c r="AL51" s="1779"/>
      <c r="AM51" s="1779"/>
      <c r="AN51" s="1779"/>
      <c r="AO51" s="1779"/>
      <c r="AP51" s="1779"/>
      <c r="AQ51" s="1779"/>
      <c r="AR51" s="1838">
        <v>0</v>
      </c>
    </row>
    <row s="47026" customFormat="1" customHeight="1" ht="17.25" hidden="1">
      <c r="A52" s="833"/>
      <c r="C52" s="832"/>
      <c r="D52" s="2680"/>
      <c r="E52" s="2683"/>
      <c r="F52" s="2659"/>
      <c r="G52" s="2683"/>
      <c r="H52" s="1811"/>
      <c r="I52" s="1812"/>
      <c r="J52" s="1812"/>
      <c r="K52" s="1812"/>
      <c r="L52" s="1812"/>
      <c r="M52" s="1812"/>
      <c r="N52" s="1812"/>
      <c r="O52" s="1812"/>
      <c r="P52" s="1812"/>
      <c r="Q52" s="1812"/>
      <c r="R52" s="1812"/>
      <c r="S52" s="1813"/>
      <c r="T52" s="1813"/>
      <c r="U52" s="1813"/>
      <c r="V52" s="1813"/>
      <c r="W52" s="1814"/>
      <c r="X52" s="1771"/>
      <c r="Y52" s="1771"/>
      <c r="Z52" s="1771"/>
      <c r="AA52" s="1771"/>
      <c r="AB52" s="1771"/>
      <c r="AC52" s="1771"/>
      <c r="AD52" s="1771"/>
      <c r="AE52" s="1771"/>
      <c r="AF52" s="1771"/>
      <c r="AG52" s="1771"/>
      <c r="AH52" s="1771"/>
      <c r="AI52" s="1771"/>
      <c r="AJ52" s="1771"/>
      <c r="AK52" s="1771"/>
      <c r="AL52" s="1771"/>
      <c r="AM52" s="1771"/>
      <c r="AN52" s="1771"/>
      <c r="AO52" s="1771"/>
      <c r="AP52" s="1771"/>
      <c r="AQ52" s="1771"/>
      <c r="AR52" s="1820">
        <v>0</v>
      </c>
    </row>
    <row s="47026" customFormat="1" customHeight="1" ht="17.25" hidden="1">
      <c r="A53" s="833"/>
      <c r="C53" s="721"/>
      <c r="D53" s="2647">
        <v>8</v>
      </c>
      <c r="E53" s="2655" t="s">
        <v>247</v>
      </c>
      <c r="F53" s="2657" t="s">
        <v>19</v>
      </c>
      <c r="G53" s="2655"/>
      <c r="H53" s="2660"/>
      <c r="I53" s="2662"/>
      <c r="J53" s="2664"/>
      <c r="K53" s="2649"/>
      <c r="L53" s="2649"/>
      <c r="M53" s="2649"/>
      <c r="N53" s="2651"/>
      <c r="O53" s="2649"/>
      <c r="P53" s="2649"/>
      <c r="Q53" s="2649"/>
      <c r="R53" s="2654"/>
      <c r="S53" s="2649"/>
      <c r="T53" s="1982"/>
      <c r="U53" s="1982"/>
      <c r="V53" s="1984"/>
      <c r="W53" s="1808"/>
      <c r="X53" s="1779"/>
      <c r="Y53" s="1779"/>
      <c r="Z53" s="1779"/>
      <c r="AA53" s="1779"/>
      <c r="AB53" s="1779"/>
      <c r="AC53" s="1779" t="s">
        <v>248</v>
      </c>
      <c r="AD53" s="1779" t="s">
        <v>249</v>
      </c>
      <c r="AE53" s="1779" t="s">
        <v>250</v>
      </c>
      <c r="AF53" s="1779" t="s">
        <v>251</v>
      </c>
      <c r="AG53" s="1779" t="s">
        <v>252</v>
      </c>
      <c r="AH53" s="1779" t="str">
        <f>IF($E$53=0,"",$E$53)</f>
        <v>Плата за подключение (технологическое присоединение) к системе теплоснабжения</v>
      </c>
      <c r="AI53" s="1779" t="str">
        <f>IF($G$53=0,"",$G$53)</f>
        <v/>
      </c>
      <c r="AJ53" s="1779" t="str">
        <f>IF($J$53=0,"",$J$53)</f>
        <v/>
      </c>
      <c r="AK53" s="1779" t="str">
        <f>IF($K$53="нет","без дифференциации",IF($N$53=0,"",$N$53))</f>
        <v/>
      </c>
      <c r="AL53" s="1779" t="str">
        <f>IF($O$53="нет","без дифференциации",IF($R$53=0,"",$R$53))</f>
        <v/>
      </c>
      <c r="AM53" s="1779" t="str">
        <f>IF($S$53="нет","без дифференциации",IF($V$53=0,"",$V$53))</f>
        <v/>
      </c>
      <c r="AN53" s="2284">
        <f>$I$53</f>
        <v>0</v>
      </c>
      <c r="AO53" s="1779" t="str">
        <f>$I$53&amp;"."&amp;$M$53</f>
        <v>.</v>
      </c>
      <c r="AP53" s="1771" t="str">
        <f>$I$53&amp;"."&amp;$M$53&amp;"."&amp;$Q$53</f>
        <v>..</v>
      </c>
      <c r="AQ53" s="1771" t="str">
        <f>$I$53&amp;"."&amp;$M$53&amp;"."&amp;$Q$53&amp;"."&amp;$U$53</f>
        <v>...</v>
      </c>
      <c r="AR53" s="1820">
        <v>0</v>
      </c>
    </row>
    <row s="47026" customFormat="1" customHeight="1" ht="17.25" hidden="1">
      <c r="A54" s="833"/>
      <c r="C54" s="832"/>
      <c r="D54" s="2647"/>
      <c r="E54" s="2655"/>
      <c r="F54" s="2658"/>
      <c r="G54" s="2655"/>
      <c r="H54" s="2661"/>
      <c r="I54" s="2663"/>
      <c r="J54" s="2665"/>
      <c r="K54" s="2650"/>
      <c r="L54" s="2650"/>
      <c r="M54" s="2650"/>
      <c r="N54" s="2652"/>
      <c r="O54" s="2650"/>
      <c r="P54" s="2650"/>
      <c r="Q54" s="2650"/>
      <c r="R54" s="2653"/>
      <c r="S54" s="2650"/>
      <c r="T54" s="1809"/>
      <c r="U54" s="1809"/>
      <c r="V54" s="1809"/>
      <c r="W54" s="1810"/>
      <c r="X54" s="1771"/>
      <c r="Y54" s="1771"/>
      <c r="Z54" s="1771"/>
      <c r="AA54" s="1771"/>
      <c r="AB54" s="1771"/>
      <c r="AC54" s="1771"/>
      <c r="AD54" s="1771"/>
      <c r="AE54" s="1771"/>
      <c r="AF54" s="1771"/>
      <c r="AG54" s="1771"/>
      <c r="AH54" s="1771"/>
      <c r="AI54" s="1771"/>
      <c r="AJ54" s="1771"/>
      <c r="AK54" s="1771"/>
      <c r="AL54" s="1771"/>
      <c r="AM54" s="1771"/>
      <c r="AN54" s="1771"/>
      <c r="AO54" s="1771"/>
      <c r="AP54" s="1771"/>
      <c r="AQ54" s="1771"/>
      <c r="AR54" s="1820">
        <v>0</v>
      </c>
    </row>
    <row s="47026" customFormat="1" customHeight="1" ht="17.25" hidden="1">
      <c r="A55" s="833"/>
      <c r="C55" s="832"/>
      <c r="D55" s="2648"/>
      <c r="E55" s="2656"/>
      <c r="F55" s="2658"/>
      <c r="G55" s="2656"/>
      <c r="H55" s="2661"/>
      <c r="I55" s="2663"/>
      <c r="J55" s="2666"/>
      <c r="K55" s="2650"/>
      <c r="L55" s="2650"/>
      <c r="M55" s="2650"/>
      <c r="N55" s="2653"/>
      <c r="O55" s="2650"/>
      <c r="P55" s="1983"/>
      <c r="Q55" s="1809"/>
      <c r="R55" s="1809"/>
      <c r="S55" s="841"/>
      <c r="T55" s="841"/>
      <c r="U55" s="841"/>
      <c r="V55" s="841"/>
      <c r="W55" s="1810"/>
      <c r="X55" s="1771"/>
      <c r="Y55" s="1771"/>
      <c r="Z55" s="1771"/>
      <c r="AA55" s="1771"/>
      <c r="AB55" s="1771"/>
      <c r="AC55" s="1771"/>
      <c r="AD55" s="1771"/>
      <c r="AE55" s="1771"/>
      <c r="AF55" s="1771"/>
      <c r="AG55" s="1771"/>
      <c r="AH55" s="1771"/>
      <c r="AI55" s="1771"/>
      <c r="AJ55" s="1771"/>
      <c r="AK55" s="1771"/>
      <c r="AL55" s="1771"/>
      <c r="AM55" s="1771"/>
      <c r="AN55" s="1771"/>
      <c r="AO55" s="1771"/>
      <c r="AP55" s="1771"/>
      <c r="AQ55" s="1771"/>
      <c r="AR55" s="1820">
        <v>0</v>
      </c>
    </row>
    <row s="47026" customFormat="1" customHeight="1" ht="17.25" hidden="1">
      <c r="A56" s="833"/>
      <c r="C56" s="721"/>
      <c r="D56" s="2648"/>
      <c r="E56" s="2656"/>
      <c r="F56" s="2658"/>
      <c r="G56" s="2656"/>
      <c r="H56" s="2661"/>
      <c r="I56" s="2663"/>
      <c r="J56" s="2666"/>
      <c r="K56" s="2650"/>
      <c r="L56" s="1809"/>
      <c r="M56" s="1809"/>
      <c r="N56" s="1809"/>
      <c r="O56" s="1809"/>
      <c r="P56" s="1809"/>
      <c r="Q56" s="1809"/>
      <c r="R56" s="1809"/>
      <c r="S56" s="841"/>
      <c r="T56" s="841"/>
      <c r="U56" s="841"/>
      <c r="V56" s="841"/>
      <c r="W56" s="1810"/>
      <c r="Y56" s="1779"/>
      <c r="Z56" s="1779"/>
      <c r="AA56" s="1779"/>
      <c r="AB56" s="1779"/>
      <c r="AC56" s="1779"/>
      <c r="AD56" s="1779"/>
      <c r="AE56" s="1779"/>
      <c r="AF56" s="1779"/>
      <c r="AG56" s="1779"/>
      <c r="AH56" s="1779"/>
      <c r="AI56" s="1779"/>
      <c r="AJ56" s="1779"/>
      <c r="AK56" s="1779"/>
      <c r="AL56" s="1779"/>
      <c r="AM56" s="1779"/>
      <c r="AN56" s="1779"/>
      <c r="AO56" s="1779"/>
      <c r="AP56" s="1779"/>
      <c r="AQ56" s="1779"/>
      <c r="AR56" s="1838">
        <v>0</v>
      </c>
    </row>
    <row s="47026" customFormat="1" customHeight="1" ht="17.25" hidden="1">
      <c r="A57" s="833"/>
      <c r="C57" s="832"/>
      <c r="D57" s="2648"/>
      <c r="E57" s="2656"/>
      <c r="F57" s="2659"/>
      <c r="G57" s="2656"/>
      <c r="H57" s="1811"/>
      <c r="I57" s="1812"/>
      <c r="J57" s="1812"/>
      <c r="K57" s="1812"/>
      <c r="L57" s="1812"/>
      <c r="M57" s="1812"/>
      <c r="N57" s="1812"/>
      <c r="O57" s="1812"/>
      <c r="P57" s="1812"/>
      <c r="Q57" s="1812"/>
      <c r="R57" s="1812"/>
      <c r="S57" s="1813"/>
      <c r="T57" s="1813"/>
      <c r="U57" s="1813"/>
      <c r="V57" s="1813"/>
      <c r="W57" s="1814"/>
      <c r="X57" s="1771"/>
      <c r="Y57" s="1771"/>
      <c r="Z57" s="1771"/>
      <c r="AA57" s="1771"/>
      <c r="AB57" s="1771"/>
      <c r="AC57" s="1771"/>
      <c r="AD57" s="1771"/>
      <c r="AE57" s="1771"/>
      <c r="AF57" s="1771"/>
      <c r="AG57" s="1771"/>
      <c r="AH57" s="1771"/>
      <c r="AI57" s="1771"/>
      <c r="AJ57" s="1771"/>
      <c r="AK57" s="1771"/>
      <c r="AL57" s="1771"/>
      <c r="AM57" s="1771"/>
      <c r="AN57" s="1771"/>
      <c r="AO57" s="1771"/>
      <c r="AP57" s="1771"/>
      <c r="AQ57" s="1771"/>
      <c r="AR57" s="1820">
        <v>0</v>
      </c>
    </row>
    <row s="47026" customFormat="1" customHeight="1" ht="17.25" hidden="1">
      <c r="A58" s="833"/>
      <c r="C58" s="721"/>
      <c r="D58" s="2647">
        <v>9</v>
      </c>
      <c r="E58" s="2655" t="s">
        <v>253</v>
      </c>
      <c r="F58" s="2657" t="s">
        <v>19</v>
      </c>
      <c r="G58" s="2655"/>
      <c r="H58" s="2660"/>
      <c r="I58" s="2662"/>
      <c r="J58" s="2664"/>
      <c r="K58" s="2649"/>
      <c r="L58" s="2649"/>
      <c r="M58" s="2649"/>
      <c r="N58" s="2651"/>
      <c r="O58" s="2649"/>
      <c r="P58" s="2649"/>
      <c r="Q58" s="2649"/>
      <c r="R58" s="2654"/>
      <c r="S58" s="2649"/>
      <c r="T58" s="2443"/>
      <c r="U58" s="2443"/>
      <c r="V58" s="2445"/>
      <c r="W58" s="1808"/>
      <c r="X58" s="1779"/>
      <c r="Y58" s="1779"/>
      <c r="Z58" s="1779"/>
      <c r="AA58" s="1779"/>
      <c r="AB58" s="1779"/>
      <c r="AC58" s="1779" t="s">
        <v>254</v>
      </c>
      <c r="AD58" s="1779" t="s">
        <v>255</v>
      </c>
      <c r="AE58" s="1779" t="s">
        <v>256</v>
      </c>
      <c r="AF58" s="1779" t="s">
        <v>257</v>
      </c>
      <c r="AG58" s="1779" t="s">
        <v>258</v>
      </c>
      <c r="AH58" s="1779" t="str">
        <f>IF($E$58=0,"",$E$58)</f>
        <v>Плата за подключение (технологическое присоединение) к системе теплоснабжения (индивидуальная)</v>
      </c>
      <c r="AI58" s="1779" t="str">
        <f>IF($G$58=0,"",$G$58)</f>
        <v/>
      </c>
      <c r="AJ58" s="1779" t="str">
        <f>IF($J$58=0,"",$J$58)</f>
        <v/>
      </c>
      <c r="AK58" s="1779" t="str">
        <f>IF($K$58="нет","без дифференциации",IF($N$58=0,"",$N$58))</f>
        <v/>
      </c>
      <c r="AL58" s="1779" t="str">
        <f>IF($O$58="нет","без дифференциации",IF($R$58=0,"",$R$58))</f>
        <v/>
      </c>
      <c r="AM58" s="1779" t="str">
        <f>IF($S$58="нет","без дифференциации",IF($V$58=0,"",$V$58))</f>
        <v/>
      </c>
      <c r="AN58" s="2284">
        <f>$I$58</f>
        <v>0</v>
      </c>
      <c r="AO58" s="1779" t="str">
        <f>$I$58&amp;"."&amp;$M$58</f>
        <v>.</v>
      </c>
      <c r="AP58" s="1778" t="str">
        <f>$I$58&amp;"."&amp;$M$58&amp;"."&amp;$Q$58</f>
        <v>..</v>
      </c>
      <c r="AQ58" s="1778" t="str">
        <f>$I$58&amp;"."&amp;$M$58&amp;"."&amp;$Q$58&amp;"."&amp;$U$58</f>
        <v>...</v>
      </c>
      <c r="AR58" s="1979">
        <v>0</v>
      </c>
    </row>
    <row s="47026" customFormat="1" customHeight="1" ht="17.25" hidden="1">
      <c r="A59" s="833"/>
      <c r="C59" s="832"/>
      <c r="D59" s="2647"/>
      <c r="E59" s="2655"/>
      <c r="F59" s="2658"/>
      <c r="G59" s="2655"/>
      <c r="H59" s="2661"/>
      <c r="I59" s="2663"/>
      <c r="J59" s="2665"/>
      <c r="K59" s="2650"/>
      <c r="L59" s="2650"/>
      <c r="M59" s="2650"/>
      <c r="N59" s="2652"/>
      <c r="O59" s="2650"/>
      <c r="P59" s="2650"/>
      <c r="Q59" s="2650"/>
      <c r="R59" s="2653"/>
      <c r="S59" s="2650"/>
      <c r="T59" s="2446"/>
      <c r="U59" s="2446"/>
      <c r="V59" s="2446"/>
      <c r="W59" s="2447"/>
      <c r="X59" s="1778"/>
      <c r="Y59" s="1778"/>
      <c r="Z59" s="1778"/>
      <c r="AA59" s="1778"/>
      <c r="AB59" s="1778"/>
      <c r="AC59" s="1778"/>
      <c r="AD59" s="1778"/>
      <c r="AE59" s="1778"/>
      <c r="AF59" s="1778"/>
      <c r="AG59" s="1778"/>
      <c r="AH59" s="1778"/>
      <c r="AI59" s="1778"/>
      <c r="AJ59" s="1778"/>
      <c r="AK59" s="1778"/>
      <c r="AL59" s="1778"/>
      <c r="AM59" s="1778"/>
      <c r="AN59" s="1778"/>
      <c r="AO59" s="1778"/>
      <c r="AP59" s="1778"/>
      <c r="AQ59" s="1778"/>
      <c r="AR59" s="1979">
        <v>0</v>
      </c>
    </row>
    <row s="47026" customFormat="1" customHeight="1" ht="17.25" hidden="1">
      <c r="A60" s="833"/>
      <c r="C60" s="832"/>
      <c r="D60" s="2648"/>
      <c r="E60" s="2656"/>
      <c r="F60" s="2658"/>
      <c r="G60" s="2656"/>
      <c r="H60" s="2661"/>
      <c r="I60" s="2663"/>
      <c r="J60" s="2666"/>
      <c r="K60" s="2650"/>
      <c r="L60" s="2650"/>
      <c r="M60" s="2650"/>
      <c r="N60" s="2653"/>
      <c r="O60" s="2650"/>
      <c r="P60" s="2444"/>
      <c r="Q60" s="2446"/>
      <c r="R60" s="2446"/>
      <c r="S60" s="841"/>
      <c r="T60" s="841"/>
      <c r="U60" s="841"/>
      <c r="V60" s="841"/>
      <c r="W60" s="2447"/>
      <c r="X60" s="1778"/>
      <c r="Y60" s="1778"/>
      <c r="Z60" s="1778"/>
      <c r="AA60" s="1778"/>
      <c r="AB60" s="1778"/>
      <c r="AC60" s="1778"/>
      <c r="AD60" s="1778"/>
      <c r="AE60" s="1778"/>
      <c r="AF60" s="1778"/>
      <c r="AG60" s="1778"/>
      <c r="AH60" s="1778"/>
      <c r="AI60" s="1778"/>
      <c r="AJ60" s="1778"/>
      <c r="AK60" s="1778"/>
      <c r="AL60" s="1778"/>
      <c r="AM60" s="1778"/>
      <c r="AN60" s="1778"/>
      <c r="AO60" s="1778"/>
      <c r="AP60" s="1778"/>
      <c r="AQ60" s="1778"/>
      <c r="AR60" s="1979">
        <v>0</v>
      </c>
    </row>
    <row s="47026" customFormat="1" customHeight="1" ht="17.25" hidden="1">
      <c r="A61" s="833"/>
      <c r="C61" s="721"/>
      <c r="D61" s="2648"/>
      <c r="E61" s="2656"/>
      <c r="F61" s="2658"/>
      <c r="G61" s="2656"/>
      <c r="H61" s="2661"/>
      <c r="I61" s="2663"/>
      <c r="J61" s="2666"/>
      <c r="K61" s="2650"/>
      <c r="L61" s="2446"/>
      <c r="M61" s="2446"/>
      <c r="N61" s="2446"/>
      <c r="O61" s="2446"/>
      <c r="P61" s="2446"/>
      <c r="Q61" s="2446"/>
      <c r="R61" s="2446"/>
      <c r="S61" s="841"/>
      <c r="T61" s="841"/>
      <c r="U61" s="841"/>
      <c r="V61" s="841"/>
      <c r="W61" s="2447"/>
      <c r="Y61" s="1779"/>
      <c r="Z61" s="1779"/>
      <c r="AA61" s="1779"/>
      <c r="AB61" s="1779"/>
      <c r="AC61" s="1779"/>
      <c r="AD61" s="1779"/>
      <c r="AE61" s="1779"/>
      <c r="AF61" s="1779"/>
      <c r="AG61" s="1779"/>
      <c r="AH61" s="1779"/>
      <c r="AI61" s="1779"/>
      <c r="AJ61" s="1779"/>
      <c r="AK61" s="1779"/>
      <c r="AL61" s="1779"/>
      <c r="AM61" s="1779"/>
      <c r="AN61" s="1779"/>
      <c r="AO61" s="1779"/>
      <c r="AP61" s="1779"/>
      <c r="AQ61" s="1779"/>
      <c r="AR61" s="1979">
        <v>0</v>
      </c>
    </row>
    <row s="47026" customFormat="1" customHeight="1" ht="17.25" hidden="1">
      <c r="A62" s="833"/>
      <c r="C62" s="832"/>
      <c r="D62" s="2648"/>
      <c r="E62" s="2656"/>
      <c r="F62" s="2659"/>
      <c r="G62" s="2656"/>
      <c r="H62" s="1811"/>
      <c r="I62" s="2448"/>
      <c r="J62" s="2448"/>
      <c r="K62" s="2448"/>
      <c r="L62" s="2448"/>
      <c r="M62" s="2448"/>
      <c r="N62" s="2448"/>
      <c r="O62" s="2448"/>
      <c r="P62" s="2448"/>
      <c r="Q62" s="2448"/>
      <c r="R62" s="2448"/>
      <c r="S62" s="1813"/>
      <c r="T62" s="1813"/>
      <c r="U62" s="1813"/>
      <c r="V62" s="1813"/>
      <c r="W62" s="2449"/>
      <c r="X62" s="1778"/>
      <c r="Y62" s="1778"/>
      <c r="Z62" s="1778"/>
      <c r="AA62" s="1778"/>
      <c r="AB62" s="1778"/>
      <c r="AC62" s="1778"/>
      <c r="AD62" s="1778"/>
      <c r="AE62" s="1778"/>
      <c r="AF62" s="1778"/>
      <c r="AG62" s="1778"/>
      <c r="AH62" s="1778"/>
      <c r="AI62" s="1778"/>
      <c r="AJ62" s="1778"/>
      <c r="AK62" s="1778"/>
      <c r="AL62" s="1778"/>
      <c r="AM62" s="1778"/>
      <c r="AN62" s="1778"/>
      <c r="AO62" s="1778"/>
      <c r="AP62" s="1778"/>
      <c r="AQ62" s="1778"/>
      <c r="AR62" s="1979">
        <v>0</v>
      </c>
    </row>
    <row s="47026" customFormat="1" customHeight="1" ht="17.25" hidden="1">
      <c r="A63" s="833"/>
      <c r="C63" s="721"/>
      <c r="D63" s="2647">
        <v>10</v>
      </c>
      <c r="E63" s="2655" t="s">
        <v>259</v>
      </c>
      <c r="F63" s="2657" t="s">
        <v>19</v>
      </c>
      <c r="G63" s="2655"/>
      <c r="H63" s="2660"/>
      <c r="I63" s="2662"/>
      <c r="J63" s="2664"/>
      <c r="K63" s="2649"/>
      <c r="L63" s="2649"/>
      <c r="M63" s="2649"/>
      <c r="N63" s="2651"/>
      <c r="O63" s="2649"/>
      <c r="P63" s="2649"/>
      <c r="Q63" s="2649"/>
      <c r="R63" s="2654"/>
      <c r="S63" s="2649"/>
      <c r="T63" s="2443"/>
      <c r="U63" s="2443"/>
      <c r="V63" s="2445"/>
      <c r="W63" s="1808"/>
      <c r="X63" s="1779"/>
      <c r="Y63" s="1779"/>
      <c r="Z63" s="1779"/>
      <c r="AA63" s="1779"/>
      <c r="AB63" s="1779"/>
      <c r="AC63" s="1779" t="s">
        <v>260</v>
      </c>
      <c r="AD63" s="1779" t="s">
        <v>261</v>
      </c>
      <c r="AE63" s="1779" t="s">
        <v>262</v>
      </c>
      <c r="AF63" s="1779" t="s">
        <v>263</v>
      </c>
      <c r="AG63" s="1779" t="s">
        <v>264</v>
      </c>
      <c r="AH63" s="1779" t="str">
        <f>IF($E$63=0,"",$E$63)</f>
        <v>Предельный уровень цены на тепловую энергию (мощность), поставляемую теплоснабжающими организациями потребителям</v>
      </c>
      <c r="AI63" s="1779" t="str">
        <f>IF($G$63=0,"",$G$63)</f>
        <v/>
      </c>
      <c r="AJ63" s="1779" t="str">
        <f>IF($J$63=0,"",$J$63)</f>
        <v/>
      </c>
      <c r="AK63" s="1779" t="str">
        <f>IF($K$63="нет","без дифференциации",IF($N$63=0,"",$N$63))</f>
        <v/>
      </c>
      <c r="AL63" s="1779" t="str">
        <f>IF($O$63="нет","без дифференциации",IF($R$63=0,"",$R$63))</f>
        <v/>
      </c>
      <c r="AM63" s="1779" t="str">
        <f>IF($S$63="нет","без дифференциации",IF($V$63=0,"",$V$63))</f>
        <v/>
      </c>
      <c r="AN63" s="2284">
        <f>$I$63</f>
        <v>0</v>
      </c>
      <c r="AO63" s="1779" t="str">
        <f>$I$63&amp;"."&amp;$M$63</f>
        <v>.</v>
      </c>
      <c r="AP63" s="1778" t="str">
        <f>$I$63&amp;"."&amp;$M$63&amp;"."&amp;$Q$63</f>
        <v>..</v>
      </c>
      <c r="AQ63" s="1778" t="str">
        <f>$I$63&amp;"."&amp;$M$63&amp;"."&amp;$Q$63&amp;"."&amp;$U$63</f>
        <v>...</v>
      </c>
      <c r="AR63" s="1979">
        <v>0</v>
      </c>
    </row>
    <row s="47026" customFormat="1" customHeight="1" ht="17.25" hidden="1">
      <c r="A64" s="833"/>
      <c r="C64" s="832"/>
      <c r="D64" s="2647"/>
      <c r="E64" s="2655"/>
      <c r="F64" s="2658"/>
      <c r="G64" s="2655"/>
      <c r="H64" s="2661"/>
      <c r="I64" s="2663"/>
      <c r="J64" s="2665"/>
      <c r="K64" s="2650"/>
      <c r="L64" s="2650"/>
      <c r="M64" s="2650"/>
      <c r="N64" s="2652"/>
      <c r="O64" s="2650"/>
      <c r="P64" s="2650"/>
      <c r="Q64" s="2650"/>
      <c r="R64" s="2653"/>
      <c r="S64" s="2650"/>
      <c r="T64" s="2446"/>
      <c r="U64" s="2446"/>
      <c r="V64" s="2446"/>
      <c r="W64" s="2447"/>
      <c r="X64" s="1778"/>
      <c r="Y64" s="1778"/>
      <c r="Z64" s="1778"/>
      <c r="AA64" s="1778"/>
      <c r="AB64" s="1778"/>
      <c r="AC64" s="1778"/>
      <c r="AD64" s="1778"/>
      <c r="AE64" s="1778"/>
      <c r="AF64" s="1778"/>
      <c r="AG64" s="1778"/>
      <c r="AH64" s="1778"/>
      <c r="AI64" s="1778"/>
      <c r="AJ64" s="1778"/>
      <c r="AK64" s="1778"/>
      <c r="AL64" s="1778"/>
      <c r="AM64" s="1778"/>
      <c r="AN64" s="1778"/>
      <c r="AO64" s="1778"/>
      <c r="AP64" s="1778"/>
      <c r="AQ64" s="1778"/>
      <c r="AR64" s="1979">
        <v>0</v>
      </c>
    </row>
    <row s="47026" customFormat="1" customHeight="1" ht="17.25" hidden="1">
      <c r="A65" s="833"/>
      <c r="C65" s="832"/>
      <c r="D65" s="2648"/>
      <c r="E65" s="2656"/>
      <c r="F65" s="2658"/>
      <c r="G65" s="2656"/>
      <c r="H65" s="2661"/>
      <c r="I65" s="2663"/>
      <c r="J65" s="2666"/>
      <c r="K65" s="2650"/>
      <c r="L65" s="2650"/>
      <c r="M65" s="2650"/>
      <c r="N65" s="2653"/>
      <c r="O65" s="2650"/>
      <c r="P65" s="2444"/>
      <c r="Q65" s="2446"/>
      <c r="R65" s="2446"/>
      <c r="S65" s="841"/>
      <c r="T65" s="841"/>
      <c r="U65" s="841"/>
      <c r="V65" s="841"/>
      <c r="W65" s="2447"/>
      <c r="X65" s="1778"/>
      <c r="Y65" s="1778"/>
      <c r="Z65" s="1778"/>
      <c r="AA65" s="1778"/>
      <c r="AB65" s="1778"/>
      <c r="AC65" s="1778"/>
      <c r="AD65" s="1778"/>
      <c r="AE65" s="1778"/>
      <c r="AF65" s="1778"/>
      <c r="AG65" s="1778"/>
      <c r="AH65" s="1778"/>
      <c r="AI65" s="1778"/>
      <c r="AJ65" s="1778"/>
      <c r="AK65" s="1778"/>
      <c r="AL65" s="1778"/>
      <c r="AM65" s="1778"/>
      <c r="AN65" s="1778"/>
      <c r="AO65" s="1778"/>
      <c r="AP65" s="1778"/>
      <c r="AQ65" s="1778"/>
      <c r="AR65" s="1979">
        <v>0</v>
      </c>
    </row>
    <row s="47026" customFormat="1" customHeight="1" ht="17.25" hidden="1">
      <c r="A66" s="833"/>
      <c r="C66" s="721"/>
      <c r="D66" s="2648"/>
      <c r="E66" s="2656"/>
      <c r="F66" s="2658"/>
      <c r="G66" s="2656"/>
      <c r="H66" s="2661"/>
      <c r="I66" s="2663"/>
      <c r="J66" s="2666"/>
      <c r="K66" s="2650"/>
      <c r="L66" s="2446"/>
      <c r="M66" s="2446"/>
      <c r="N66" s="2446"/>
      <c r="O66" s="2446"/>
      <c r="P66" s="2446"/>
      <c r="Q66" s="2446"/>
      <c r="R66" s="2446"/>
      <c r="S66" s="841"/>
      <c r="T66" s="841"/>
      <c r="U66" s="841"/>
      <c r="V66" s="841"/>
      <c r="W66" s="2447"/>
      <c r="Y66" s="1779"/>
      <c r="Z66" s="1779"/>
      <c r="AA66" s="1779"/>
      <c r="AB66" s="1779"/>
      <c r="AC66" s="1779"/>
      <c r="AD66" s="1779"/>
      <c r="AE66" s="1779"/>
      <c r="AF66" s="1779"/>
      <c r="AG66" s="1779"/>
      <c r="AH66" s="1779"/>
      <c r="AI66" s="1779"/>
      <c r="AJ66" s="1779"/>
      <c r="AK66" s="1779"/>
      <c r="AL66" s="1779"/>
      <c r="AM66" s="1779"/>
      <c r="AN66" s="1779"/>
      <c r="AO66" s="1779"/>
      <c r="AP66" s="1779"/>
      <c r="AQ66" s="1779"/>
      <c r="AR66" s="1979">
        <v>0</v>
      </c>
    </row>
    <row s="47026" customFormat="1" customHeight="1" ht="17.25" hidden="1">
      <c r="A67" s="833"/>
      <c r="C67" s="832"/>
      <c r="D67" s="2648"/>
      <c r="E67" s="2656"/>
      <c r="F67" s="2659"/>
      <c r="G67" s="2656"/>
      <c r="H67" s="1811"/>
      <c r="I67" s="2448"/>
      <c r="J67" s="2448"/>
      <c r="K67" s="2448"/>
      <c r="L67" s="2448"/>
      <c r="M67" s="2448"/>
      <c r="N67" s="2448"/>
      <c r="O67" s="2448"/>
      <c r="P67" s="2448"/>
      <c r="Q67" s="2448"/>
      <c r="R67" s="2448"/>
      <c r="S67" s="1813"/>
      <c r="T67" s="1813"/>
      <c r="U67" s="1813"/>
      <c r="V67" s="1813"/>
      <c r="W67" s="2449"/>
      <c r="X67" s="1778"/>
      <c r="Y67" s="1778"/>
      <c r="Z67" s="1778"/>
      <c r="AA67" s="1778"/>
      <c r="AB67" s="1778"/>
      <c r="AC67" s="1778"/>
      <c r="AD67" s="1778"/>
      <c r="AE67" s="1778"/>
      <c r="AF67" s="1778"/>
      <c r="AG67" s="1778"/>
      <c r="AH67" s="1778"/>
      <c r="AI67" s="1778"/>
      <c r="AJ67" s="1778"/>
      <c r="AK67" s="1778"/>
      <c r="AL67" s="1778"/>
      <c r="AM67" s="1778"/>
      <c r="AN67" s="1778"/>
      <c r="AO67" s="1778"/>
      <c r="AP67" s="1778"/>
      <c r="AQ67" s="1778"/>
      <c r="AR67" s="1979">
        <v>0</v>
      </c>
    </row>
    <row customHeight="1" ht="11.25" hidden="1">
      <c r="AR68" s="616">
        <v>0</v>
      </c>
    </row>
    <row customHeight="1" ht="11.25" hidden="1">
      <c r="E69" s="2686" t="s">
        <v>265</v>
      </c>
      <c r="F69" s="2686"/>
      <c r="G69" s="2686"/>
      <c r="H69" s="2686"/>
      <c r="I69" s="2686"/>
      <c r="J69" s="2686"/>
      <c r="K69" s="2686"/>
      <c r="L69" s="2686"/>
      <c r="M69" s="2686"/>
      <c r="N69" s="2686"/>
      <c r="O69" s="2686"/>
      <c r="P69" s="2686"/>
      <c r="Q69" s="2686"/>
      <c r="R69" s="2686"/>
      <c r="S69" s="2686"/>
      <c r="T69" s="2686"/>
      <c r="U69" s="2686"/>
      <c r="V69" s="2686"/>
      <c r="W69" s="2686"/>
      <c r="AR69" s="616">
        <v>0</v>
      </c>
    </row>
    <row customHeight="1" ht="36.75" hidden="1">
      <c r="E70" s="2684" t="s">
        <v>266</v>
      </c>
      <c r="F70" s="2684"/>
      <c r="G70" s="2685"/>
      <c r="H70" s="2685"/>
      <c r="I70" s="2685"/>
      <c r="J70" s="2685"/>
      <c r="K70" s="2685"/>
      <c r="L70" s="2685"/>
      <c r="M70" s="2685"/>
      <c r="N70" s="2685"/>
      <c r="O70" s="2685"/>
      <c r="P70" s="2685"/>
      <c r="Q70" s="2685"/>
      <c r="R70" s="2685"/>
      <c r="S70" s="2685"/>
      <c r="T70" s="2685"/>
      <c r="U70" s="2685"/>
      <c r="V70" s="2685"/>
      <c r="W70" s="2685"/>
      <c r="AR70" s="616">
        <v>0</v>
      </c>
    </row>
    <row customHeight="1" ht="28.5" hidden="1">
      <c r="E71" s="2684" t="s">
        <v>267</v>
      </c>
      <c r="F71" s="2684"/>
      <c r="G71" s="2685"/>
      <c r="H71" s="2685"/>
      <c r="I71" s="2685"/>
      <c r="J71" s="2685"/>
      <c r="K71" s="2685"/>
      <c r="L71" s="2685"/>
      <c r="M71" s="2685"/>
      <c r="N71" s="2685"/>
      <c r="O71" s="2685"/>
      <c r="P71" s="2685"/>
      <c r="Q71" s="2685"/>
      <c r="R71" s="2685"/>
      <c r="S71" s="2685"/>
      <c r="T71" s="2685"/>
      <c r="U71" s="2685"/>
      <c r="V71" s="2685"/>
      <c r="W71" s="2685"/>
      <c r="AR71" s="616">
        <v>0</v>
      </c>
    </row>
    <row customHeight="1" ht="27" hidden="1">
      <c r="E72" s="2684" t="s">
        <v>268</v>
      </c>
      <c r="F72" s="2684"/>
      <c r="G72" s="2685"/>
      <c r="H72" s="2685"/>
      <c r="I72" s="2685"/>
      <c r="J72" s="2685"/>
      <c r="K72" s="2685"/>
      <c r="L72" s="2685"/>
      <c r="M72" s="2685"/>
      <c r="N72" s="2685"/>
      <c r="O72" s="2685"/>
      <c r="P72" s="2685"/>
      <c r="Q72" s="2685"/>
      <c r="R72" s="2685"/>
      <c r="S72" s="2685"/>
      <c r="T72" s="2685"/>
      <c r="U72" s="2685"/>
      <c r="V72" s="2685"/>
      <c r="W72" s="2685"/>
      <c r="AR72" s="616">
        <v>0</v>
      </c>
    </row>
    <row customHeight="1" ht="17.25" hidden="1">
      <c r="E73" s="2684" t="s">
        <v>269</v>
      </c>
      <c r="F73" s="2684"/>
      <c r="G73" s="2685"/>
      <c r="H73" s="2685"/>
      <c r="I73" s="2685"/>
      <c r="J73" s="2685"/>
      <c r="K73" s="2685"/>
      <c r="L73" s="2685"/>
      <c r="M73" s="2685"/>
      <c r="N73" s="2685"/>
      <c r="O73" s="2685"/>
      <c r="P73" s="2685"/>
      <c r="Q73" s="2685"/>
      <c r="R73" s="2685"/>
      <c r="S73" s="2685"/>
      <c r="T73" s="2685"/>
      <c r="U73" s="2685"/>
      <c r="V73" s="2685"/>
      <c r="W73" s="2685"/>
      <c r="AR73" s="616">
        <v>0</v>
      </c>
    </row>
    <row customHeight="1" ht="15" hidden="1">
      <c r="E74" s="852"/>
      <c r="F74" s="1797"/>
      <c r="G74" s="669"/>
      <c r="H74" s="669"/>
      <c r="I74" s="669"/>
      <c r="J74" s="669"/>
      <c r="K74" s="669"/>
      <c r="L74" s="669"/>
      <c r="M74" s="669"/>
      <c r="N74" s="669"/>
      <c r="O74" s="669"/>
      <c r="P74" s="669"/>
      <c r="Q74" s="669"/>
      <c r="R74" s="669"/>
      <c r="S74" s="669"/>
      <c r="T74" s="669"/>
      <c r="U74" s="669"/>
      <c r="V74" s="669"/>
      <c r="W74" s="669"/>
      <c r="AR74" s="616">
        <v>0</v>
      </c>
    </row>
    <row customHeight="1" ht="15" hidden="1">
      <c r="E75" s="2686" t="s">
        <v>270</v>
      </c>
      <c r="F75" s="2686"/>
      <c r="G75" s="2686"/>
      <c r="H75" s="2686"/>
      <c r="I75" s="2686"/>
      <c r="J75" s="2686"/>
      <c r="K75" s="2686"/>
      <c r="L75" s="2686"/>
      <c r="M75" s="2686"/>
      <c r="N75" s="2686"/>
      <c r="O75" s="2686"/>
      <c r="P75" s="2686"/>
      <c r="Q75" s="2686"/>
      <c r="R75" s="2686"/>
      <c r="S75" s="2686"/>
      <c r="T75" s="2686"/>
      <c r="U75" s="2686"/>
      <c r="V75" s="2686"/>
      <c r="W75" s="2686"/>
      <c r="AR75" s="616">
        <v>0</v>
      </c>
    </row>
    <row customHeight="1" ht="17.25" hidden="1">
      <c r="E76" s="2684" t="s">
        <v>271</v>
      </c>
      <c r="F76" s="2684"/>
      <c r="G76" s="2685"/>
      <c r="H76" s="2685"/>
      <c r="I76" s="2685"/>
      <c r="J76" s="2685"/>
      <c r="K76" s="2685"/>
      <c r="L76" s="2685"/>
      <c r="M76" s="2685"/>
      <c r="N76" s="2685"/>
      <c r="O76" s="2685"/>
      <c r="P76" s="2685"/>
      <c r="Q76" s="2685"/>
      <c r="R76" s="2685"/>
      <c r="S76" s="2685"/>
      <c r="T76" s="2685"/>
      <c r="U76" s="2685"/>
      <c r="V76" s="2685"/>
      <c r="W76" s="2685"/>
      <c r="AR76" s="616">
        <v>0</v>
      </c>
    </row>
    <row customHeight="1" ht="17.25" hidden="1">
      <c r="E77" s="2684" t="s">
        <v>272</v>
      </c>
      <c r="F77" s="2684"/>
      <c r="G77" s="2685"/>
      <c r="H77" s="2685"/>
      <c r="I77" s="2685"/>
      <c r="J77" s="2685"/>
      <c r="K77" s="2685"/>
      <c r="L77" s="2685"/>
      <c r="M77" s="2685"/>
      <c r="N77" s="2685"/>
      <c r="O77" s="2685"/>
      <c r="P77" s="2685"/>
      <c r="Q77" s="2685"/>
      <c r="R77" s="2685"/>
      <c r="S77" s="2685"/>
      <c r="T77" s="2685"/>
      <c r="U77" s="2685"/>
      <c r="V77" s="2685"/>
      <c r="W77" s="2685"/>
      <c r="AR77" s="616">
        <v>0</v>
      </c>
    </row>
    <row s="47026" customFormat="1" customHeight="1" ht="11.25" hidden="1">
      <c r="A78" s="789"/>
      <c r="B78" s="789"/>
      <c r="Y78" s="1771"/>
      <c r="Z78" s="1771"/>
      <c r="AA78" s="1771"/>
      <c r="AB78" s="1771"/>
      <c r="AC78" s="1771"/>
      <c r="AD78" s="1771"/>
      <c r="AE78" s="1771"/>
      <c r="AF78" s="1771"/>
      <c r="AG78" s="1771"/>
      <c r="AH78" s="1771"/>
      <c r="AI78" s="1771"/>
      <c r="AJ78" s="1771"/>
      <c r="AK78" s="1771"/>
      <c r="AL78" s="1771"/>
      <c r="AM78" s="1771"/>
      <c r="AN78" s="1771"/>
      <c r="AO78" s="1771"/>
      <c r="AP78" s="1771"/>
      <c r="AQ78" s="1771"/>
      <c r="AR78" s="1862">
        <v>0</v>
      </c>
    </row>
    <row s="47026" customFormat="1" customHeight="1" ht="17.25" hidden="1">
      <c r="A79" s="833"/>
      <c r="C79" s="721"/>
      <c r="D79" s="2647">
        <v>1</v>
      </c>
      <c r="E79" s="2655" t="s">
        <v>273</v>
      </c>
      <c r="F79" s="2657" t="s">
        <v>19</v>
      </c>
      <c r="G79" s="2655"/>
      <c r="H79" s="2660"/>
      <c r="I79" s="2662"/>
      <c r="J79" s="2664"/>
      <c r="K79" s="2649"/>
      <c r="L79" s="2649"/>
      <c r="M79" s="2649"/>
      <c r="N79" s="2651"/>
      <c r="O79" s="2649"/>
      <c r="P79" s="2649"/>
      <c r="Q79" s="2649"/>
      <c r="R79" s="2654"/>
      <c r="S79" s="2649"/>
      <c r="T79" s="1982"/>
      <c r="U79" s="1982"/>
      <c r="V79" s="1984"/>
      <c r="W79" s="1808"/>
      <c r="Y79" s="1779"/>
      <c r="Z79" s="1779"/>
      <c r="AA79" s="1779"/>
      <c r="AB79" s="1779"/>
      <c r="AC79" s="1779" t="s">
        <v>274</v>
      </c>
      <c r="AD79" s="1779" t="s">
        <v>275</v>
      </c>
      <c r="AE79" s="1779" t="s">
        <v>276</v>
      </c>
      <c r="AF79" s="1779" t="s">
        <v>277</v>
      </c>
      <c r="AG79" s="1779"/>
      <c r="AH79" s="1779" t="str">
        <f>IF($E$79=0,"",$E$79)</f>
        <v>Тариф на питьевую воду (питьевое водоснабжение)</v>
      </c>
      <c r="AI79" s="1779" t="str">
        <f>IF($G$79=0,"",$G$79)</f>
        <v/>
      </c>
      <c r="AJ79" s="1779" t="str">
        <f>IF($J$79=0,"",$J$79)</f>
        <v/>
      </c>
      <c r="AK79" s="1779" t="str">
        <f>IF($K$79="нет","без дифференциации",IF($N$79=0,"",$N$79))</f>
        <v/>
      </c>
      <c r="AL79" s="1779" t="str">
        <f>IF($O$79="нет","без дифференциации",IF($R$79=0,"",$R$79))</f>
        <v/>
      </c>
      <c r="AM79" s="1779" t="str">
        <f>IF($S$79="нет","без дифференциации",IF($V$79=0,"",$V$79))</f>
        <v/>
      </c>
      <c r="AN79" s="1779">
        <f>$I$79</f>
        <v>0</v>
      </c>
      <c r="AO79" s="1779" t="str">
        <f>$I$79&amp;"."&amp;$M$79</f>
        <v>.</v>
      </c>
      <c r="AP79" s="1779" t="str">
        <f>$I$79&amp;"."&amp;$M$79&amp;"."&amp;$Q$79</f>
        <v>..</v>
      </c>
      <c r="AQ79" s="1779" t="str">
        <f>$I$79&amp;"."&amp;$M$79&amp;"."&amp;$Q$79&amp;"."&amp;$U$79</f>
        <v>...</v>
      </c>
      <c r="AR79" s="1862">
        <v>0</v>
      </c>
    </row>
    <row s="47026" customFormat="1" customHeight="1" ht="17.25" hidden="1">
      <c r="A80" s="833"/>
      <c r="C80" s="832"/>
      <c r="D80" s="2647"/>
      <c r="E80" s="2655"/>
      <c r="F80" s="2658"/>
      <c r="G80" s="2655"/>
      <c r="H80" s="2661"/>
      <c r="I80" s="2663"/>
      <c r="J80" s="2665"/>
      <c r="K80" s="2650"/>
      <c r="L80" s="2650"/>
      <c r="M80" s="2650"/>
      <c r="N80" s="2652"/>
      <c r="O80" s="2650"/>
      <c r="P80" s="2650"/>
      <c r="Q80" s="2650"/>
      <c r="R80" s="2653"/>
      <c r="S80" s="2650"/>
      <c r="T80" s="1809"/>
      <c r="U80" s="1809"/>
      <c r="V80" s="1809"/>
      <c r="W80" s="1810"/>
      <c r="Y80" s="1771"/>
      <c r="Z80" s="1771"/>
      <c r="AA80" s="1771"/>
      <c r="AB80" s="1771"/>
      <c r="AC80" s="1771"/>
      <c r="AD80" s="1771"/>
      <c r="AE80" s="1771"/>
      <c r="AF80" s="1771"/>
      <c r="AG80" s="1771"/>
      <c r="AH80" s="1771"/>
      <c r="AI80" s="1771"/>
      <c r="AJ80" s="1771"/>
      <c r="AK80" s="1771"/>
      <c r="AL80" s="1771"/>
      <c r="AM80" s="1771"/>
      <c r="AN80" s="1771"/>
      <c r="AO80" s="1771"/>
      <c r="AP80" s="1771"/>
      <c r="AQ80" s="1771"/>
      <c r="AR80" s="1862">
        <v>0</v>
      </c>
    </row>
    <row s="47026" customFormat="1" customHeight="1" ht="17.25" hidden="1">
      <c r="A81" s="833"/>
      <c r="C81" s="721"/>
      <c r="D81" s="2647"/>
      <c r="E81" s="2655"/>
      <c r="F81" s="2658"/>
      <c r="G81" s="2655"/>
      <c r="H81" s="2661"/>
      <c r="I81" s="2663"/>
      <c r="J81" s="2666"/>
      <c r="K81" s="2650"/>
      <c r="L81" s="2650"/>
      <c r="M81" s="2650"/>
      <c r="N81" s="2653"/>
      <c r="O81" s="2650"/>
      <c r="P81" s="1983"/>
      <c r="Q81" s="1809"/>
      <c r="R81" s="1809"/>
      <c r="S81" s="841"/>
      <c r="T81" s="841"/>
      <c r="U81" s="841"/>
      <c r="V81" s="841"/>
      <c r="W81" s="1810"/>
      <c r="Y81" s="1779"/>
      <c r="Z81" s="1779"/>
      <c r="AA81" s="1779"/>
      <c r="AB81" s="1779"/>
      <c r="AC81" s="1779"/>
      <c r="AD81" s="1779"/>
      <c r="AE81" s="1779"/>
      <c r="AF81" s="1779"/>
      <c r="AG81" s="1779"/>
      <c r="AH81" s="1779"/>
      <c r="AI81" s="1779"/>
      <c r="AJ81" s="1779"/>
      <c r="AK81" s="1779"/>
      <c r="AL81" s="1779"/>
      <c r="AM81" s="1779"/>
      <c r="AN81" s="1779"/>
      <c r="AO81" s="1779"/>
      <c r="AP81" s="1779"/>
      <c r="AQ81" s="1779"/>
      <c r="AR81" s="1953">
        <v>0</v>
      </c>
    </row>
    <row s="47026" customFormat="1" customHeight="1" ht="17.25" hidden="1">
      <c r="A82" s="833"/>
      <c r="C82" s="832"/>
      <c r="D82" s="2647"/>
      <c r="E82" s="2655"/>
      <c r="F82" s="2658"/>
      <c r="G82" s="2655"/>
      <c r="H82" s="2661"/>
      <c r="I82" s="2663"/>
      <c r="J82" s="2666"/>
      <c r="K82" s="2650"/>
      <c r="L82" s="1809"/>
      <c r="M82" s="1809"/>
      <c r="N82" s="1809"/>
      <c r="O82" s="1809"/>
      <c r="P82" s="1809"/>
      <c r="Q82" s="1809"/>
      <c r="R82" s="1809"/>
      <c r="S82" s="841"/>
      <c r="T82" s="841"/>
      <c r="U82" s="841"/>
      <c r="V82" s="841"/>
      <c r="W82" s="1810"/>
      <c r="Y82" s="1771"/>
      <c r="Z82" s="1771"/>
      <c r="AA82" s="1771"/>
      <c r="AB82" s="1771"/>
      <c r="AC82" s="1771"/>
      <c r="AD82" s="1771"/>
      <c r="AE82" s="1771"/>
      <c r="AF82" s="1771"/>
      <c r="AG82" s="1771"/>
      <c r="AH82" s="1771"/>
      <c r="AI82" s="1771"/>
      <c r="AJ82" s="1771"/>
      <c r="AK82" s="1771"/>
      <c r="AL82" s="1771"/>
      <c r="AM82" s="1771"/>
      <c r="AN82" s="1771"/>
      <c r="AO82" s="1771"/>
      <c r="AP82" s="1771"/>
      <c r="AQ82" s="1771"/>
      <c r="AR82" s="1953">
        <v>0</v>
      </c>
    </row>
    <row s="47026" customFormat="1" customHeight="1" ht="17.25" hidden="1">
      <c r="A83" s="833"/>
      <c r="C83" s="832"/>
      <c r="D83" s="2648"/>
      <c r="E83" s="2656"/>
      <c r="F83" s="2659"/>
      <c r="G83" s="2656"/>
      <c r="H83" s="1811"/>
      <c r="I83" s="1812"/>
      <c r="J83" s="1812"/>
      <c r="K83" s="1812"/>
      <c r="L83" s="1812"/>
      <c r="M83" s="1812"/>
      <c r="N83" s="1812"/>
      <c r="O83" s="1812"/>
      <c r="P83" s="1812"/>
      <c r="Q83" s="1812"/>
      <c r="R83" s="1812"/>
      <c r="S83" s="1813"/>
      <c r="T83" s="1813"/>
      <c r="U83" s="1813"/>
      <c r="V83" s="1813"/>
      <c r="W83" s="1814"/>
      <c r="Y83" s="1771"/>
      <c r="Z83" s="1771"/>
      <c r="AA83" s="1771"/>
      <c r="AB83" s="1771"/>
      <c r="AC83" s="1771"/>
      <c r="AD83" s="1771"/>
      <c r="AE83" s="1771"/>
      <c r="AF83" s="1771"/>
      <c r="AG83" s="1771"/>
      <c r="AH83" s="1771"/>
      <c r="AI83" s="1771"/>
      <c r="AJ83" s="1771"/>
      <c r="AK83" s="1771"/>
      <c r="AL83" s="1771"/>
      <c r="AM83" s="1771"/>
      <c r="AN83" s="1771"/>
      <c r="AO83" s="1771"/>
      <c r="AP83" s="1771"/>
      <c r="AQ83" s="1771"/>
      <c r="AR83" s="1862">
        <v>0</v>
      </c>
    </row>
    <row s="47026" customFormat="1" customHeight="1" ht="17.25" hidden="1">
      <c r="A84" s="833"/>
      <c r="C84" s="721"/>
      <c r="D84" s="2647">
        <v>2</v>
      </c>
      <c r="E84" s="2655" t="s">
        <v>278</v>
      </c>
      <c r="F84" s="2657" t="s">
        <v>19</v>
      </c>
      <c r="G84" s="2655"/>
      <c r="H84" s="2660"/>
      <c r="I84" s="2662"/>
      <c r="J84" s="2664"/>
      <c r="K84" s="2649"/>
      <c r="L84" s="2649"/>
      <c r="M84" s="2649"/>
      <c r="N84" s="2651"/>
      <c r="O84" s="2649"/>
      <c r="P84" s="2649"/>
      <c r="Q84" s="2649"/>
      <c r="R84" s="2654"/>
      <c r="S84" s="2649"/>
      <c r="T84" s="1955"/>
      <c r="U84" s="1955"/>
      <c r="V84" s="1957"/>
      <c r="W84" s="1808"/>
      <c r="X84" s="1779"/>
      <c r="Y84" s="1779"/>
      <c r="Z84" s="1779"/>
      <c r="AA84" s="1779"/>
      <c r="AB84" s="1779"/>
      <c r="AC84" s="1779" t="s">
        <v>279</v>
      </c>
      <c r="AD84" s="1779" t="s">
        <v>280</v>
      </c>
      <c r="AE84" s="1779" t="s">
        <v>281</v>
      </c>
      <c r="AF84" s="1779" t="s">
        <v>282</v>
      </c>
      <c r="AG84" s="1779"/>
      <c r="AH84" s="1779" t="str">
        <f>IF($E$84=0,"",$E$84)</f>
        <v>Тариф на техническую воду</v>
      </c>
      <c r="AI84" s="1779" t="str">
        <f>IF($G$84=0,"",$G$84)</f>
        <v/>
      </c>
      <c r="AJ84" s="1779" t="str">
        <f>IF($J$84=0,"",$J$84)</f>
        <v/>
      </c>
      <c r="AK84" s="1779" t="str">
        <f>IF($K$84="нет","без дифференциации",IF($N$84=0,"",$N$84))</f>
        <v/>
      </c>
      <c r="AL84" s="1779" t="str">
        <f>IF($O$84="нет","без дифференциации",IF($R$84=0,"",$R$84))</f>
        <v/>
      </c>
      <c r="AM84" s="1779" t="str">
        <f>IF($S$84="нет","без дифференциации",IF($V$84=0,"",$V$84))</f>
        <v/>
      </c>
      <c r="AN84" s="2284">
        <f>$I$84</f>
        <v>0</v>
      </c>
      <c r="AO84" s="1779" t="str">
        <f>$I$84&amp;"."&amp;$M$84</f>
        <v>.</v>
      </c>
      <c r="AP84" s="1771" t="str">
        <f>$I$84&amp;"."&amp;$M$84&amp;"."&amp;$Q$84</f>
        <v>..</v>
      </c>
      <c r="AQ84" s="1771" t="str">
        <f>$I$84&amp;"."&amp;$M$84&amp;"."&amp;$Q$84&amp;"."&amp;$U$84</f>
        <v>...</v>
      </c>
      <c r="AR84" s="1862">
        <v>0</v>
      </c>
    </row>
    <row s="47026" customFormat="1" customHeight="1" ht="17.25" hidden="1">
      <c r="A85" s="833"/>
      <c r="C85" s="832"/>
      <c r="D85" s="2647"/>
      <c r="E85" s="2655"/>
      <c r="F85" s="2658"/>
      <c r="G85" s="2655"/>
      <c r="H85" s="2661"/>
      <c r="I85" s="2663"/>
      <c r="J85" s="2665"/>
      <c r="K85" s="2650"/>
      <c r="L85" s="2650"/>
      <c r="M85" s="2650"/>
      <c r="N85" s="2652"/>
      <c r="O85" s="2650"/>
      <c r="P85" s="2650"/>
      <c r="Q85" s="2650"/>
      <c r="R85" s="2653"/>
      <c r="S85" s="2650"/>
      <c r="T85" s="1809"/>
      <c r="U85" s="1809"/>
      <c r="V85" s="1809"/>
      <c r="W85" s="1810"/>
      <c r="X85" s="1771"/>
      <c r="Y85" s="1771"/>
      <c r="Z85" s="1771"/>
      <c r="AA85" s="1771"/>
      <c r="AB85" s="1771"/>
      <c r="AC85" s="1771"/>
      <c r="AD85" s="1771"/>
      <c r="AE85" s="1771"/>
      <c r="AF85" s="1771"/>
      <c r="AG85" s="1771"/>
      <c r="AH85" s="1771"/>
      <c r="AI85" s="1771"/>
      <c r="AJ85" s="1771"/>
      <c r="AK85" s="1771"/>
      <c r="AL85" s="1771"/>
      <c r="AM85" s="1771"/>
      <c r="AN85" s="1771"/>
      <c r="AO85" s="1771"/>
      <c r="AP85" s="1771"/>
      <c r="AQ85" s="1771"/>
      <c r="AR85" s="1862">
        <v>0</v>
      </c>
    </row>
    <row s="47026" customFormat="1" customHeight="1" ht="17.25" hidden="1">
      <c r="A86" s="833"/>
      <c r="C86" s="832"/>
      <c r="D86" s="2648"/>
      <c r="E86" s="2656"/>
      <c r="F86" s="2658"/>
      <c r="G86" s="2656"/>
      <c r="H86" s="2661"/>
      <c r="I86" s="2663"/>
      <c r="J86" s="2666"/>
      <c r="K86" s="2650"/>
      <c r="L86" s="2650"/>
      <c r="M86" s="2650"/>
      <c r="N86" s="2653"/>
      <c r="O86" s="2650"/>
      <c r="P86" s="1956"/>
      <c r="Q86" s="1809"/>
      <c r="R86" s="1809"/>
      <c r="S86" s="841"/>
      <c r="T86" s="841"/>
      <c r="U86" s="841"/>
      <c r="V86" s="841"/>
      <c r="W86" s="1810"/>
      <c r="X86" s="1771"/>
      <c r="Y86" s="1771"/>
      <c r="Z86" s="1771"/>
      <c r="AA86" s="1771"/>
      <c r="AB86" s="1771"/>
      <c r="AC86" s="1771"/>
      <c r="AD86" s="1771"/>
      <c r="AE86" s="1771"/>
      <c r="AF86" s="1771"/>
      <c r="AG86" s="1771"/>
      <c r="AH86" s="1771"/>
      <c r="AI86" s="1771"/>
      <c r="AJ86" s="1771"/>
      <c r="AK86" s="1771"/>
      <c r="AL86" s="1771"/>
      <c r="AM86" s="1771"/>
      <c r="AN86" s="1771"/>
      <c r="AO86" s="1771"/>
      <c r="AP86" s="1771"/>
      <c r="AQ86" s="1771"/>
      <c r="AR86" s="1862">
        <v>0</v>
      </c>
    </row>
    <row s="47026" customFormat="1" customHeight="1" ht="17.25" hidden="1">
      <c r="A87" s="833"/>
      <c r="C87" s="832"/>
      <c r="D87" s="2648"/>
      <c r="E87" s="2656"/>
      <c r="F87" s="2658"/>
      <c r="G87" s="2656"/>
      <c r="H87" s="2661"/>
      <c r="I87" s="2663"/>
      <c r="J87" s="2666"/>
      <c r="K87" s="2650"/>
      <c r="L87" s="1809"/>
      <c r="M87" s="1809"/>
      <c r="N87" s="1809"/>
      <c r="O87" s="1809"/>
      <c r="P87" s="1809"/>
      <c r="Q87" s="1809"/>
      <c r="R87" s="1809"/>
      <c r="S87" s="841"/>
      <c r="T87" s="841"/>
      <c r="U87" s="841"/>
      <c r="V87" s="841"/>
      <c r="W87" s="1810"/>
      <c r="X87" s="1771"/>
      <c r="Y87" s="1771"/>
      <c r="Z87" s="1771"/>
      <c r="AA87" s="1771"/>
      <c r="AB87" s="1771"/>
      <c r="AC87" s="1771"/>
      <c r="AD87" s="1771"/>
      <c r="AE87" s="1771"/>
      <c r="AF87" s="1771"/>
      <c r="AG87" s="1771"/>
      <c r="AH87" s="1771"/>
      <c r="AI87" s="1771"/>
      <c r="AJ87" s="1771"/>
      <c r="AK87" s="1771"/>
      <c r="AL87" s="1771"/>
      <c r="AM87" s="1771"/>
      <c r="AN87" s="1771"/>
      <c r="AO87" s="1771"/>
      <c r="AP87" s="1771"/>
      <c r="AQ87" s="1771"/>
      <c r="AR87" s="1862">
        <v>0</v>
      </c>
    </row>
    <row s="47026" customFormat="1" customHeight="1" ht="17.25" hidden="1">
      <c r="A88" s="833"/>
      <c r="C88" s="832"/>
      <c r="D88" s="2648"/>
      <c r="E88" s="2656"/>
      <c r="F88" s="2659"/>
      <c r="G88" s="2656"/>
      <c r="H88" s="1811"/>
      <c r="I88" s="1812"/>
      <c r="J88" s="1812"/>
      <c r="K88" s="1812"/>
      <c r="L88" s="1812"/>
      <c r="M88" s="1812"/>
      <c r="N88" s="1812"/>
      <c r="O88" s="1812"/>
      <c r="P88" s="1812"/>
      <c r="Q88" s="1812"/>
      <c r="R88" s="1812"/>
      <c r="S88" s="1813"/>
      <c r="T88" s="1813"/>
      <c r="U88" s="1813"/>
      <c r="V88" s="1813"/>
      <c r="W88" s="1814"/>
      <c r="X88" s="1771"/>
      <c r="Y88" s="1771"/>
      <c r="Z88" s="1771"/>
      <c r="AA88" s="1771"/>
      <c r="AB88" s="1771"/>
      <c r="AC88" s="1771"/>
      <c r="AD88" s="1771"/>
      <c r="AE88" s="1771"/>
      <c r="AF88" s="1771"/>
      <c r="AG88" s="1771"/>
      <c r="AH88" s="1771"/>
      <c r="AI88" s="1771"/>
      <c r="AJ88" s="1771"/>
      <c r="AK88" s="1771"/>
      <c r="AL88" s="1771"/>
      <c r="AM88" s="1771"/>
      <c r="AN88" s="1771"/>
      <c r="AO88" s="1771"/>
      <c r="AP88" s="1771"/>
      <c r="AQ88" s="1771"/>
      <c r="AR88" s="1862">
        <v>0</v>
      </c>
    </row>
    <row s="47026" customFormat="1" customHeight="1" ht="17.25" hidden="1">
      <c r="A89" s="833"/>
      <c r="C89" s="721"/>
      <c r="D89" s="2647">
        <v>3</v>
      </c>
      <c r="E89" s="2655" t="s">
        <v>283</v>
      </c>
      <c r="F89" s="2657" t="s">
        <v>19</v>
      </c>
      <c r="G89" s="2655"/>
      <c r="H89" s="2660"/>
      <c r="I89" s="2662"/>
      <c r="J89" s="2664"/>
      <c r="K89" s="2649"/>
      <c r="L89" s="2649"/>
      <c r="M89" s="2649"/>
      <c r="N89" s="2651"/>
      <c r="O89" s="2649"/>
      <c r="P89" s="2649"/>
      <c r="Q89" s="2649"/>
      <c r="R89" s="2654"/>
      <c r="S89" s="2649"/>
      <c r="T89" s="1955"/>
      <c r="U89" s="1955"/>
      <c r="V89" s="1957"/>
      <c r="W89" s="1808"/>
      <c r="X89" s="1779"/>
      <c r="Y89" s="1779"/>
      <c r="Z89" s="1779"/>
      <c r="AA89" s="1779"/>
      <c r="AB89" s="1779"/>
      <c r="AC89" s="1779" t="s">
        <v>284</v>
      </c>
      <c r="AD89" s="1779" t="s">
        <v>285</v>
      </c>
      <c r="AE89" s="1779" t="s">
        <v>286</v>
      </c>
      <c r="AF89" s="1779" t="s">
        <v>287</v>
      </c>
      <c r="AG89" s="1779"/>
      <c r="AH89" s="1779" t="str">
        <f>IF($E$89=0,"",$E$89)</f>
        <v>Тариф на транспортировку воды</v>
      </c>
      <c r="AI89" s="1779" t="str">
        <f>IF($G$89=0,"",$G$89)</f>
        <v/>
      </c>
      <c r="AJ89" s="1779" t="str">
        <f>IF($J$89=0,"",$J$89)</f>
        <v/>
      </c>
      <c r="AK89" s="1779" t="str">
        <f>IF($K$89="нет","без дифференциации",IF($N$89=0,"",$N$89))</f>
        <v/>
      </c>
      <c r="AL89" s="1779" t="str">
        <f>IF($O$89="нет","без дифференциации",IF($R$89=0,"",$R$89))</f>
        <v/>
      </c>
      <c r="AM89" s="1779" t="str">
        <f>IF($S$89="нет","без дифференциации",IF($V$89=0,"",$V$89))</f>
        <v/>
      </c>
      <c r="AN89" s="2284">
        <f>$I$89</f>
        <v>0</v>
      </c>
      <c r="AO89" s="1779" t="str">
        <f>$I$89&amp;"."&amp;$M$89</f>
        <v>.</v>
      </c>
      <c r="AP89" s="1771" t="str">
        <f>$I$89&amp;"."&amp;$M$89&amp;"."&amp;$Q$89</f>
        <v>..</v>
      </c>
      <c r="AQ89" s="1771" t="str">
        <f>$I$89&amp;"."&amp;$M$89&amp;"."&amp;$Q$89&amp;"."&amp;$U$89</f>
        <v>...</v>
      </c>
      <c r="AR89" s="1862">
        <v>0</v>
      </c>
    </row>
    <row s="47026" customFormat="1" customHeight="1" ht="17.25" hidden="1">
      <c r="A90" s="833"/>
      <c r="C90" s="832"/>
      <c r="D90" s="2647"/>
      <c r="E90" s="2655"/>
      <c r="F90" s="2658"/>
      <c r="G90" s="2655"/>
      <c r="H90" s="2661"/>
      <c r="I90" s="2663"/>
      <c r="J90" s="2665"/>
      <c r="K90" s="2650"/>
      <c r="L90" s="2650"/>
      <c r="M90" s="2650"/>
      <c r="N90" s="2652"/>
      <c r="O90" s="2650"/>
      <c r="P90" s="2650"/>
      <c r="Q90" s="2650"/>
      <c r="R90" s="2653"/>
      <c r="S90" s="2650"/>
      <c r="T90" s="1809"/>
      <c r="U90" s="1809"/>
      <c r="V90" s="1809"/>
      <c r="W90" s="1810"/>
      <c r="X90" s="1771"/>
      <c r="Y90" s="1771"/>
      <c r="Z90" s="1771"/>
      <c r="AA90" s="1771"/>
      <c r="AB90" s="1771"/>
      <c r="AC90" s="1771"/>
      <c r="AD90" s="1771"/>
      <c r="AE90" s="1771"/>
      <c r="AF90" s="1771"/>
      <c r="AG90" s="1771"/>
      <c r="AH90" s="1771"/>
      <c r="AI90" s="1771"/>
      <c r="AJ90" s="1771"/>
      <c r="AK90" s="1771"/>
      <c r="AL90" s="1771"/>
      <c r="AM90" s="1771"/>
      <c r="AN90" s="1771"/>
      <c r="AO90" s="1771"/>
      <c r="AP90" s="1771"/>
      <c r="AQ90" s="1771"/>
      <c r="AR90" s="1862">
        <v>0</v>
      </c>
    </row>
    <row s="47026" customFormat="1" customHeight="1" ht="17.25" hidden="1">
      <c r="A91" s="833"/>
      <c r="C91" s="832"/>
      <c r="D91" s="2648"/>
      <c r="E91" s="2656"/>
      <c r="F91" s="2658"/>
      <c r="G91" s="2656"/>
      <c r="H91" s="2661"/>
      <c r="I91" s="2663"/>
      <c r="J91" s="2666"/>
      <c r="K91" s="2650"/>
      <c r="L91" s="2650"/>
      <c r="M91" s="2650"/>
      <c r="N91" s="2653"/>
      <c r="O91" s="2650"/>
      <c r="P91" s="1956"/>
      <c r="Q91" s="1809"/>
      <c r="R91" s="1809"/>
      <c r="S91" s="841"/>
      <c r="T91" s="841"/>
      <c r="U91" s="841"/>
      <c r="V91" s="841"/>
      <c r="W91" s="1810"/>
      <c r="X91" s="1771"/>
      <c r="Y91" s="1771"/>
      <c r="Z91" s="1771"/>
      <c r="AA91" s="1771"/>
      <c r="AB91" s="1771"/>
      <c r="AC91" s="1771"/>
      <c r="AD91" s="1771"/>
      <c r="AE91" s="1771"/>
      <c r="AF91" s="1771"/>
      <c r="AG91" s="1771"/>
      <c r="AH91" s="1771"/>
      <c r="AI91" s="1771"/>
      <c r="AJ91" s="1771"/>
      <c r="AK91" s="1771"/>
      <c r="AL91" s="1771"/>
      <c r="AM91" s="1771"/>
      <c r="AN91" s="1771"/>
      <c r="AO91" s="1771"/>
      <c r="AP91" s="1771"/>
      <c r="AQ91" s="1771"/>
      <c r="AR91" s="1862">
        <v>0</v>
      </c>
    </row>
    <row s="47026" customFormat="1" customHeight="1" ht="17.25" hidden="1">
      <c r="A92" s="833"/>
      <c r="C92" s="832"/>
      <c r="D92" s="2648"/>
      <c r="E92" s="2656"/>
      <c r="F92" s="2658"/>
      <c r="G92" s="2656"/>
      <c r="H92" s="2661"/>
      <c r="I92" s="2663"/>
      <c r="J92" s="2666"/>
      <c r="K92" s="2650"/>
      <c r="L92" s="1809"/>
      <c r="M92" s="1809"/>
      <c r="N92" s="1809"/>
      <c r="O92" s="1809"/>
      <c r="P92" s="1809"/>
      <c r="Q92" s="1809"/>
      <c r="R92" s="1809"/>
      <c r="S92" s="841"/>
      <c r="T92" s="841"/>
      <c r="U92" s="841"/>
      <c r="V92" s="841"/>
      <c r="W92" s="1810"/>
      <c r="X92" s="1771"/>
      <c r="Y92" s="1771"/>
      <c r="Z92" s="1771"/>
      <c r="AA92" s="1771"/>
      <c r="AB92" s="1771"/>
      <c r="AC92" s="1771"/>
      <c r="AD92" s="1771"/>
      <c r="AE92" s="1771"/>
      <c r="AF92" s="1771"/>
      <c r="AG92" s="1771"/>
      <c r="AH92" s="1771"/>
      <c r="AI92" s="1771"/>
      <c r="AJ92" s="1771"/>
      <c r="AK92" s="1771"/>
      <c r="AL92" s="1771"/>
      <c r="AM92" s="1771"/>
      <c r="AN92" s="1771"/>
      <c r="AO92" s="1771"/>
      <c r="AP92" s="1771"/>
      <c r="AQ92" s="1771"/>
      <c r="AR92" s="1862">
        <v>0</v>
      </c>
    </row>
    <row s="47026" customFormat="1" customHeight="1" ht="17.25" hidden="1">
      <c r="A93" s="833"/>
      <c r="C93" s="832"/>
      <c r="D93" s="2648"/>
      <c r="E93" s="2656"/>
      <c r="F93" s="2659"/>
      <c r="G93" s="2656"/>
      <c r="H93" s="1811"/>
      <c r="I93" s="1812"/>
      <c r="J93" s="1812"/>
      <c r="K93" s="1812"/>
      <c r="L93" s="1812"/>
      <c r="M93" s="1812"/>
      <c r="N93" s="1812"/>
      <c r="O93" s="1812"/>
      <c r="P93" s="1812"/>
      <c r="Q93" s="1812"/>
      <c r="R93" s="1812"/>
      <c r="S93" s="1813"/>
      <c r="T93" s="1813"/>
      <c r="U93" s="1813"/>
      <c r="V93" s="1813"/>
      <c r="W93" s="1814"/>
      <c r="X93" s="1771"/>
      <c r="Y93" s="1771"/>
      <c r="Z93" s="1771"/>
      <c r="AA93" s="1771"/>
      <c r="AB93" s="1771"/>
      <c r="AC93" s="1771"/>
      <c r="AD93" s="1771"/>
      <c r="AE93" s="1771"/>
      <c r="AF93" s="1771"/>
      <c r="AG93" s="1771"/>
      <c r="AH93" s="1771"/>
      <c r="AI93" s="1771"/>
      <c r="AJ93" s="1771"/>
      <c r="AK93" s="1771"/>
      <c r="AL93" s="1771"/>
      <c r="AM93" s="1771"/>
      <c r="AN93" s="1771"/>
      <c r="AO93" s="1771"/>
      <c r="AP93" s="1771"/>
      <c r="AQ93" s="1771"/>
      <c r="AR93" s="1862">
        <v>0</v>
      </c>
    </row>
    <row s="47026" customFormat="1" customHeight="1" ht="17.25" hidden="1">
      <c r="A94" s="833"/>
      <c r="C94" s="721"/>
      <c r="D94" s="2647">
        <v>4</v>
      </c>
      <c r="E94" s="2655" t="s">
        <v>288</v>
      </c>
      <c r="F94" s="2657" t="s">
        <v>19</v>
      </c>
      <c r="G94" s="2655"/>
      <c r="H94" s="2660"/>
      <c r="I94" s="2662"/>
      <c r="J94" s="2664"/>
      <c r="K94" s="2649"/>
      <c r="L94" s="2649"/>
      <c r="M94" s="2649"/>
      <c r="N94" s="2651"/>
      <c r="O94" s="2649"/>
      <c r="P94" s="2649"/>
      <c r="Q94" s="2649"/>
      <c r="R94" s="2654"/>
      <c r="S94" s="2649"/>
      <c r="T94" s="1955"/>
      <c r="U94" s="1955"/>
      <c r="V94" s="1957"/>
      <c r="W94" s="1808"/>
      <c r="X94" s="1779"/>
      <c r="Y94" s="1779"/>
      <c r="Z94" s="1779"/>
      <c r="AA94" s="1779"/>
      <c r="AB94" s="1779"/>
      <c r="AC94" s="1779" t="s">
        <v>289</v>
      </c>
      <c r="AD94" s="1779" t="s">
        <v>290</v>
      </c>
      <c r="AE94" s="1779" t="s">
        <v>291</v>
      </c>
      <c r="AF94" s="1779" t="s">
        <v>292</v>
      </c>
      <c r="AG94" s="1779"/>
      <c r="AH94" s="1779" t="str">
        <f>IF($E$94=0,"",$E$94)</f>
        <v>Тариф на подвоз воды</v>
      </c>
      <c r="AI94" s="1779" t="str">
        <f>IF($G$94=0,"",$G$94)</f>
        <v/>
      </c>
      <c r="AJ94" s="1779" t="str">
        <f>IF($J$94=0,"",$J$94)</f>
        <v/>
      </c>
      <c r="AK94" s="1779" t="str">
        <f>IF($K$94="нет","без дифференциации",IF($N$94=0,"",$N$94))</f>
        <v/>
      </c>
      <c r="AL94" s="1779" t="str">
        <f>IF($O$94="нет","без дифференциации",IF($R$94=0,"",$R$94))</f>
        <v/>
      </c>
      <c r="AM94" s="1779" t="str">
        <f>IF($S$94="нет","без дифференциации",IF($V$94=0,"",$V$94))</f>
        <v/>
      </c>
      <c r="AN94" s="2284">
        <f>$I$94</f>
        <v>0</v>
      </c>
      <c r="AO94" s="1779" t="str">
        <f>$I$94&amp;"."&amp;$M$94</f>
        <v>.</v>
      </c>
      <c r="AP94" s="1771" t="str">
        <f>$I$94&amp;"."&amp;$M$94&amp;"."&amp;$Q$94</f>
        <v>..</v>
      </c>
      <c r="AQ94" s="1771" t="str">
        <f>$I$94&amp;"."&amp;$M$94&amp;"."&amp;$Q$94&amp;"."&amp;$U$94</f>
        <v>...</v>
      </c>
      <c r="AR94" s="1862">
        <v>0</v>
      </c>
    </row>
    <row s="47026" customFormat="1" customHeight="1" ht="17.25" hidden="1">
      <c r="A95" s="833"/>
      <c r="C95" s="832"/>
      <c r="D95" s="2647"/>
      <c r="E95" s="2655"/>
      <c r="F95" s="2658"/>
      <c r="G95" s="2655"/>
      <c r="H95" s="2661"/>
      <c r="I95" s="2663"/>
      <c r="J95" s="2665"/>
      <c r="K95" s="2650"/>
      <c r="L95" s="2650"/>
      <c r="M95" s="2650"/>
      <c r="N95" s="2652"/>
      <c r="O95" s="2650"/>
      <c r="P95" s="2650"/>
      <c r="Q95" s="2650"/>
      <c r="R95" s="2653"/>
      <c r="S95" s="2650"/>
      <c r="T95" s="1809"/>
      <c r="U95" s="1809"/>
      <c r="V95" s="1809"/>
      <c r="W95" s="1810"/>
      <c r="X95" s="1771"/>
      <c r="Y95" s="1771"/>
      <c r="Z95" s="1771"/>
      <c r="AA95" s="1771"/>
      <c r="AB95" s="1771"/>
      <c r="AC95" s="1771"/>
      <c r="AD95" s="1771"/>
      <c r="AE95" s="1771"/>
      <c r="AF95" s="1771"/>
      <c r="AG95" s="1771"/>
      <c r="AH95" s="1771"/>
      <c r="AI95" s="1771"/>
      <c r="AJ95" s="1771"/>
      <c r="AK95" s="1771"/>
      <c r="AL95" s="1771"/>
      <c r="AM95" s="1771"/>
      <c r="AN95" s="1771"/>
      <c r="AO95" s="1771"/>
      <c r="AP95" s="1771"/>
      <c r="AQ95" s="1771"/>
      <c r="AR95" s="1862">
        <v>0</v>
      </c>
    </row>
    <row s="47026" customFormat="1" customHeight="1" ht="17.25" hidden="1">
      <c r="A96" s="833"/>
      <c r="C96" s="832"/>
      <c r="D96" s="2648"/>
      <c r="E96" s="2656"/>
      <c r="F96" s="2658"/>
      <c r="G96" s="2656"/>
      <c r="H96" s="2661"/>
      <c r="I96" s="2663"/>
      <c r="J96" s="2666"/>
      <c r="K96" s="2650"/>
      <c r="L96" s="2650"/>
      <c r="M96" s="2650"/>
      <c r="N96" s="2653"/>
      <c r="O96" s="2650"/>
      <c r="P96" s="1956"/>
      <c r="Q96" s="1809"/>
      <c r="R96" s="1809"/>
      <c r="S96" s="841"/>
      <c r="T96" s="841"/>
      <c r="U96" s="841"/>
      <c r="V96" s="841"/>
      <c r="W96" s="1810"/>
      <c r="X96" s="1771"/>
      <c r="Y96" s="1771"/>
      <c r="Z96" s="1771"/>
      <c r="AA96" s="1771"/>
      <c r="AB96" s="1771"/>
      <c r="AC96" s="1771"/>
      <c r="AD96" s="1771"/>
      <c r="AE96" s="1771"/>
      <c r="AF96" s="1771"/>
      <c r="AG96" s="1771"/>
      <c r="AH96" s="1771"/>
      <c r="AI96" s="1771"/>
      <c r="AJ96" s="1771"/>
      <c r="AK96" s="1771"/>
      <c r="AL96" s="1771"/>
      <c r="AM96" s="1771"/>
      <c r="AN96" s="1771"/>
      <c r="AO96" s="1771"/>
      <c r="AP96" s="1771"/>
      <c r="AQ96" s="1771"/>
      <c r="AR96" s="1862">
        <v>0</v>
      </c>
    </row>
    <row s="47026" customFormat="1" customHeight="1" ht="17.25" hidden="1">
      <c r="A97" s="833"/>
      <c r="C97" s="832"/>
      <c r="D97" s="2648"/>
      <c r="E97" s="2656"/>
      <c r="F97" s="2658"/>
      <c r="G97" s="2656"/>
      <c r="H97" s="2661"/>
      <c r="I97" s="2663"/>
      <c r="J97" s="2666"/>
      <c r="K97" s="2650"/>
      <c r="L97" s="1809"/>
      <c r="M97" s="1809"/>
      <c r="N97" s="1809"/>
      <c r="O97" s="1809"/>
      <c r="P97" s="1809"/>
      <c r="Q97" s="1809"/>
      <c r="R97" s="1809"/>
      <c r="S97" s="841"/>
      <c r="T97" s="841"/>
      <c r="U97" s="841"/>
      <c r="V97" s="841"/>
      <c r="W97" s="1810"/>
      <c r="X97" s="1771"/>
      <c r="Y97" s="1771"/>
      <c r="Z97" s="1771"/>
      <c r="AA97" s="1771"/>
      <c r="AB97" s="1771"/>
      <c r="AC97" s="1771"/>
      <c r="AD97" s="1771"/>
      <c r="AE97" s="1771"/>
      <c r="AF97" s="1771"/>
      <c r="AG97" s="1771"/>
      <c r="AH97" s="1771"/>
      <c r="AI97" s="1771"/>
      <c r="AJ97" s="1771"/>
      <c r="AK97" s="1771"/>
      <c r="AL97" s="1771"/>
      <c r="AM97" s="1771"/>
      <c r="AN97" s="1771"/>
      <c r="AO97" s="1771"/>
      <c r="AP97" s="1771"/>
      <c r="AQ97" s="1771"/>
      <c r="AR97" s="1862">
        <v>0</v>
      </c>
    </row>
    <row s="47026" customFormat="1" customHeight="1" ht="17.25" hidden="1">
      <c r="A98" s="833"/>
      <c r="C98" s="832"/>
      <c r="D98" s="2648"/>
      <c r="E98" s="2656"/>
      <c r="F98" s="2659"/>
      <c r="G98" s="2656"/>
      <c r="H98" s="1811"/>
      <c r="I98" s="1812"/>
      <c r="J98" s="1812"/>
      <c r="K98" s="1812"/>
      <c r="L98" s="1812"/>
      <c r="M98" s="1812"/>
      <c r="N98" s="1812"/>
      <c r="O98" s="1812"/>
      <c r="P98" s="1812"/>
      <c r="Q98" s="1812"/>
      <c r="R98" s="1812"/>
      <c r="S98" s="1813"/>
      <c r="T98" s="1813"/>
      <c r="U98" s="1813"/>
      <c r="V98" s="1813"/>
      <c r="W98" s="1814"/>
      <c r="X98" s="1771"/>
      <c r="Y98" s="1771"/>
      <c r="Z98" s="1771"/>
      <c r="AA98" s="1771"/>
      <c r="AB98" s="1771"/>
      <c r="AC98" s="1771"/>
      <c r="AD98" s="1771"/>
      <c r="AE98" s="1771"/>
      <c r="AF98" s="1771"/>
      <c r="AG98" s="1771"/>
      <c r="AH98" s="1771"/>
      <c r="AI98" s="1771"/>
      <c r="AJ98" s="1771"/>
      <c r="AK98" s="1771"/>
      <c r="AL98" s="1771"/>
      <c r="AM98" s="1771"/>
      <c r="AN98" s="1771"/>
      <c r="AO98" s="1771"/>
      <c r="AP98" s="1771"/>
      <c r="AQ98" s="1771"/>
      <c r="AR98" s="1862">
        <v>0</v>
      </c>
    </row>
    <row s="47026" customFormat="1" customHeight="1" ht="17.25" hidden="1">
      <c r="A99" s="833"/>
      <c r="C99" s="721"/>
      <c r="D99" s="2647">
        <v>5</v>
      </c>
      <c r="E99" s="2655" t="s">
        <v>293</v>
      </c>
      <c r="F99" s="2657" t="s">
        <v>19</v>
      </c>
      <c r="G99" s="2655"/>
      <c r="H99" s="2660"/>
      <c r="I99" s="2662"/>
      <c r="J99" s="2664"/>
      <c r="K99" s="2649"/>
      <c r="L99" s="2649"/>
      <c r="M99" s="2649"/>
      <c r="N99" s="2651"/>
      <c r="O99" s="2649"/>
      <c r="P99" s="2649"/>
      <c r="Q99" s="2649"/>
      <c r="R99" s="2654"/>
      <c r="S99" s="2649"/>
      <c r="T99" s="2455"/>
      <c r="U99" s="2455"/>
      <c r="V99" s="2457"/>
      <c r="W99" s="1808"/>
      <c r="X99" s="1779"/>
      <c r="Y99" s="1779"/>
      <c r="Z99" s="1779"/>
      <c r="AA99" s="1779"/>
      <c r="AB99" s="1779"/>
      <c r="AC99" s="1779" t="s">
        <v>294</v>
      </c>
      <c r="AD99" s="1779" t="s">
        <v>295</v>
      </c>
      <c r="AE99" s="1779" t="s">
        <v>296</v>
      </c>
      <c r="AF99" s="1779" t="s">
        <v>297</v>
      </c>
      <c r="AG99" s="1779"/>
      <c r="AH99" s="1779" t="str">
        <f>IF($E$99=0,"",$E$99)</f>
        <v>Тариф на подключение (технологическое присоединение) к централизованной системе холодного водоснабжения</v>
      </c>
      <c r="AI99" s="1779" t="str">
        <f>IF($G$99=0,"",$G$99)</f>
        <v/>
      </c>
      <c r="AJ99" s="1779" t="str">
        <f>IF($J$99=0,"",$J$99)</f>
        <v/>
      </c>
      <c r="AK99" s="1779" t="str">
        <f>IF($K$99="нет","без дифференциации",IF($N$99=0,"",$N$99))</f>
        <v/>
      </c>
      <c r="AL99" s="1779" t="str">
        <f>IF($O$99="нет","без дифференциации",IF($R$99=0,"",$R$99))</f>
        <v/>
      </c>
      <c r="AM99" s="1779" t="str">
        <f>IF($S$99="нет","без дифференциации",IF($V$99=0,"",$V$99))</f>
        <v/>
      </c>
      <c r="AN99" s="2284">
        <f>$I$99</f>
        <v>0</v>
      </c>
      <c r="AO99" s="1779" t="str">
        <f>$I$99&amp;"."&amp;$M$99</f>
        <v>.</v>
      </c>
      <c r="AP99" s="1778" t="str">
        <f>$I$99&amp;"."&amp;$M$99&amp;"."&amp;$Q$99</f>
        <v>..</v>
      </c>
      <c r="AQ99" s="1778" t="str">
        <f>$I$99&amp;"."&amp;$M$99&amp;"."&amp;$Q$99&amp;"."&amp;$U$99</f>
        <v>...</v>
      </c>
      <c r="AR99" s="1979">
        <v>0</v>
      </c>
    </row>
    <row s="47026" customFormat="1" customHeight="1" ht="17.25" hidden="1">
      <c r="A100" s="833"/>
      <c r="C100" s="832"/>
      <c r="D100" s="2647"/>
      <c r="E100" s="2655"/>
      <c r="F100" s="2658"/>
      <c r="G100" s="2655"/>
      <c r="H100" s="2661"/>
      <c r="I100" s="2663"/>
      <c r="J100" s="2665"/>
      <c r="K100" s="2650"/>
      <c r="L100" s="2650"/>
      <c r="M100" s="2650"/>
      <c r="N100" s="2652"/>
      <c r="O100" s="2650"/>
      <c r="P100" s="2650"/>
      <c r="Q100" s="2650"/>
      <c r="R100" s="2653"/>
      <c r="S100" s="2650"/>
      <c r="T100" s="2460"/>
      <c r="U100" s="2460"/>
      <c r="V100" s="2460"/>
      <c r="W100" s="2461"/>
      <c r="X100" s="1778"/>
      <c r="Y100" s="1778"/>
      <c r="Z100" s="1778"/>
      <c r="AA100" s="1778"/>
      <c r="AB100" s="1778"/>
      <c r="AC100" s="1778"/>
      <c r="AD100" s="1778"/>
      <c r="AE100" s="1778"/>
      <c r="AF100" s="1778"/>
      <c r="AG100" s="1778"/>
      <c r="AH100" s="1778"/>
      <c r="AI100" s="1778"/>
      <c r="AJ100" s="1778"/>
      <c r="AK100" s="1778"/>
      <c r="AL100" s="1778"/>
      <c r="AM100" s="1778"/>
      <c r="AN100" s="1778"/>
      <c r="AO100" s="1778"/>
      <c r="AP100" s="1778"/>
      <c r="AQ100" s="1778"/>
      <c r="AR100" s="1979">
        <v>0</v>
      </c>
    </row>
    <row s="47026" customFormat="1" customHeight="1" ht="17.25" hidden="1">
      <c r="A101" s="833"/>
      <c r="C101" s="832"/>
      <c r="D101" s="2648"/>
      <c r="E101" s="2656"/>
      <c r="F101" s="2658"/>
      <c r="G101" s="2656"/>
      <c r="H101" s="2661"/>
      <c r="I101" s="2663"/>
      <c r="J101" s="2666"/>
      <c r="K101" s="2650"/>
      <c r="L101" s="2650"/>
      <c r="M101" s="2650"/>
      <c r="N101" s="2653"/>
      <c r="O101" s="2650"/>
      <c r="P101" s="2456"/>
      <c r="Q101" s="2460"/>
      <c r="R101" s="2460"/>
      <c r="S101" s="841"/>
      <c r="T101" s="841"/>
      <c r="U101" s="841"/>
      <c r="V101" s="841"/>
      <c r="W101" s="2461"/>
      <c r="X101" s="1778"/>
      <c r="Y101" s="1778"/>
      <c r="Z101" s="1778"/>
      <c r="AA101" s="1778"/>
      <c r="AB101" s="1778"/>
      <c r="AC101" s="1778"/>
      <c r="AD101" s="1778"/>
      <c r="AE101" s="1778"/>
      <c r="AF101" s="1778"/>
      <c r="AG101" s="1778"/>
      <c r="AH101" s="1778"/>
      <c r="AI101" s="1778"/>
      <c r="AJ101" s="1778"/>
      <c r="AK101" s="1778"/>
      <c r="AL101" s="1778"/>
      <c r="AM101" s="1778"/>
      <c r="AN101" s="1778"/>
      <c r="AO101" s="1778"/>
      <c r="AP101" s="1778"/>
      <c r="AQ101" s="1778"/>
      <c r="AR101" s="1979">
        <v>0</v>
      </c>
    </row>
    <row s="47026" customFormat="1" customHeight="1" ht="17.25" hidden="1">
      <c r="A102" s="833"/>
      <c r="C102" s="832"/>
      <c r="D102" s="2648"/>
      <c r="E102" s="2656"/>
      <c r="F102" s="2658"/>
      <c r="G102" s="2656"/>
      <c r="H102" s="2661"/>
      <c r="I102" s="2663"/>
      <c r="J102" s="2666"/>
      <c r="K102" s="2650"/>
      <c r="L102" s="2460"/>
      <c r="M102" s="2460"/>
      <c r="N102" s="2460"/>
      <c r="O102" s="2460"/>
      <c r="P102" s="2460"/>
      <c r="Q102" s="2460"/>
      <c r="R102" s="2460"/>
      <c r="S102" s="841"/>
      <c r="T102" s="841"/>
      <c r="U102" s="841"/>
      <c r="V102" s="841"/>
      <c r="W102" s="2461"/>
      <c r="X102" s="1778"/>
      <c r="Y102" s="1778"/>
      <c r="Z102" s="1778"/>
      <c r="AA102" s="1778"/>
      <c r="AB102" s="1778"/>
      <c r="AC102" s="1778"/>
      <c r="AD102" s="1778"/>
      <c r="AE102" s="1778"/>
      <c r="AF102" s="1778"/>
      <c r="AG102" s="1778"/>
      <c r="AH102" s="1778"/>
      <c r="AI102" s="1778"/>
      <c r="AJ102" s="1778"/>
      <c r="AK102" s="1778"/>
      <c r="AL102" s="1778"/>
      <c r="AM102" s="1778"/>
      <c r="AN102" s="1778"/>
      <c r="AO102" s="1778"/>
      <c r="AP102" s="1778"/>
      <c r="AQ102" s="1778"/>
      <c r="AR102" s="1979">
        <v>0</v>
      </c>
    </row>
    <row s="47026" customFormat="1" customHeight="1" ht="17.25" hidden="1">
      <c r="A103" s="833"/>
      <c r="C103" s="832"/>
      <c r="D103" s="2648"/>
      <c r="E103" s="2656"/>
      <c r="F103" s="2659"/>
      <c r="G103" s="2656"/>
      <c r="H103" s="1811"/>
      <c r="I103" s="2458"/>
      <c r="J103" s="2458"/>
      <c r="K103" s="2458"/>
      <c r="L103" s="2458"/>
      <c r="M103" s="2458"/>
      <c r="N103" s="2458"/>
      <c r="O103" s="2458"/>
      <c r="P103" s="2458"/>
      <c r="Q103" s="2458"/>
      <c r="R103" s="2458"/>
      <c r="S103" s="1813"/>
      <c r="T103" s="1813"/>
      <c r="U103" s="1813"/>
      <c r="V103" s="1813"/>
      <c r="W103" s="2459"/>
      <c r="X103" s="1778"/>
      <c r="Y103" s="1778"/>
      <c r="Z103" s="1778"/>
      <c r="AA103" s="1778"/>
      <c r="AB103" s="1778"/>
      <c r="AC103" s="1778"/>
      <c r="AD103" s="1778"/>
      <c r="AE103" s="1778"/>
      <c r="AF103" s="1778"/>
      <c r="AG103" s="1778"/>
      <c r="AH103" s="1778"/>
      <c r="AI103" s="1778"/>
      <c r="AJ103" s="1778"/>
      <c r="AK103" s="1778"/>
      <c r="AL103" s="1778"/>
      <c r="AM103" s="1778"/>
      <c r="AN103" s="1778"/>
      <c r="AO103" s="1778"/>
      <c r="AP103" s="1778"/>
      <c r="AQ103" s="1778"/>
      <c r="AR103" s="1979">
        <v>0</v>
      </c>
    </row>
    <row s="47026" customFormat="1" customHeight="1" ht="11.25" hidden="1">
      <c r="A104" s="789"/>
      <c r="B104" s="789"/>
      <c r="Y104" s="1771"/>
      <c r="Z104" s="1771"/>
      <c r="AA104" s="1771"/>
      <c r="AB104" s="1771"/>
      <c r="AC104" s="1771"/>
      <c r="AD104" s="1771"/>
      <c r="AE104" s="1771"/>
      <c r="AF104" s="1771"/>
      <c r="AG104" s="1771"/>
      <c r="AH104" s="1771"/>
      <c r="AI104" s="1771"/>
      <c r="AJ104" s="1771"/>
      <c r="AK104" s="1771"/>
      <c r="AL104" s="1771"/>
      <c r="AM104" s="1771"/>
      <c r="AN104" s="1771"/>
      <c r="AO104" s="1771"/>
      <c r="AP104" s="1771"/>
      <c r="AQ104" s="1771"/>
      <c r="AR104" s="1979">
        <v>0</v>
      </c>
    </row>
    <row s="47026" customFormat="1" customHeight="1" ht="17.25" hidden="1">
      <c r="A105" s="833"/>
      <c r="C105" s="721"/>
      <c r="D105" s="2647">
        <v>1</v>
      </c>
      <c r="E105" s="2655" t="s">
        <v>298</v>
      </c>
      <c r="F105" s="2657" t="s">
        <v>19</v>
      </c>
      <c r="G105" s="2655"/>
      <c r="H105" s="2660"/>
      <c r="I105" s="2662"/>
      <c r="J105" s="2664"/>
      <c r="K105" s="2649"/>
      <c r="L105" s="2649"/>
      <c r="M105" s="2649"/>
      <c r="N105" s="2651"/>
      <c r="O105" s="2649"/>
      <c r="P105" s="2649"/>
      <c r="Q105" s="2649"/>
      <c r="R105" s="2654"/>
      <c r="S105" s="2649"/>
      <c r="T105" s="1982"/>
      <c r="U105" s="1982"/>
      <c r="V105" s="1984"/>
      <c r="W105" s="1808"/>
      <c r="Y105" s="1779"/>
      <c r="Z105" s="1779"/>
      <c r="AA105" s="1779"/>
      <c r="AB105" s="1779"/>
      <c r="AC105" s="1779" t="s">
        <v>299</v>
      </c>
      <c r="AD105" s="1779" t="s">
        <v>300</v>
      </c>
      <c r="AE105" s="1779" t="s">
        <v>301</v>
      </c>
      <c r="AF105" s="1779" t="s">
        <v>302</v>
      </c>
      <c r="AG105" s="1779"/>
      <c r="AH105" s="1779" t="str">
        <f>IF($E$105=0,"",$E$105)</f>
        <v>Тариф на горячую воду (горячее водоснабжение)</v>
      </c>
      <c r="AI105" s="1779" t="str">
        <f>IF($G$105=0,"",$G$105)</f>
        <v/>
      </c>
      <c r="AJ105" s="1779" t="str">
        <f>IF($J$105=0,"",$J$105)</f>
        <v/>
      </c>
      <c r="AK105" s="1779" t="str">
        <f>IF($K$105="нет","без дифференциации",IF($N$105=0,"",$N$105))</f>
        <v/>
      </c>
      <c r="AL105" s="1779" t="str">
        <f>IF($O$105="нет","без дифференциации",IF($R$105=0,"",$R$105))</f>
        <v/>
      </c>
      <c r="AM105" s="1779" t="str">
        <f>IF($S$105="нет","без дифференциации",IF($V$105=0,"",$V$105))</f>
        <v/>
      </c>
      <c r="AN105" s="1779">
        <f>$I$105</f>
        <v>0</v>
      </c>
      <c r="AO105" s="1779" t="str">
        <f>$I$105&amp;"."&amp;$M$105</f>
        <v>.</v>
      </c>
      <c r="AP105" s="1779" t="str">
        <f>$I$105&amp;"."&amp;$M$105&amp;"."&amp;$Q$105</f>
        <v>..</v>
      </c>
      <c r="AQ105" s="1779" t="str">
        <f>$I$105&amp;"."&amp;$M$105&amp;"."&amp;$Q$105&amp;"."&amp;$U$105</f>
        <v>...</v>
      </c>
      <c r="AR105" s="1979">
        <v>0</v>
      </c>
    </row>
    <row s="47026" customFormat="1" customHeight="1" ht="17.25" hidden="1">
      <c r="A106" s="833"/>
      <c r="C106" s="832"/>
      <c r="D106" s="2647"/>
      <c r="E106" s="2655"/>
      <c r="F106" s="2658"/>
      <c r="G106" s="2655"/>
      <c r="H106" s="2661"/>
      <c r="I106" s="2663"/>
      <c r="J106" s="2665"/>
      <c r="K106" s="2650"/>
      <c r="L106" s="2650"/>
      <c r="M106" s="2650"/>
      <c r="N106" s="2652"/>
      <c r="O106" s="2650"/>
      <c r="P106" s="2650"/>
      <c r="Q106" s="2650"/>
      <c r="R106" s="2653"/>
      <c r="S106" s="2650"/>
      <c r="T106" s="1809"/>
      <c r="U106" s="1809"/>
      <c r="V106" s="1809"/>
      <c r="W106" s="1810"/>
      <c r="Y106" s="1771"/>
      <c r="Z106" s="1771"/>
      <c r="AA106" s="1771"/>
      <c r="AB106" s="1771"/>
      <c r="AC106" s="1771"/>
      <c r="AD106" s="1771"/>
      <c r="AE106" s="1771"/>
      <c r="AF106" s="1771"/>
      <c r="AG106" s="1771"/>
      <c r="AH106" s="1771"/>
      <c r="AI106" s="1771"/>
      <c r="AJ106" s="1771"/>
      <c r="AK106" s="1771"/>
      <c r="AL106" s="1771"/>
      <c r="AM106" s="1771"/>
      <c r="AN106" s="1771"/>
      <c r="AO106" s="1771"/>
      <c r="AP106" s="1771"/>
      <c r="AQ106" s="1771"/>
      <c r="AR106" s="1979">
        <v>0</v>
      </c>
    </row>
    <row s="47026" customFormat="1" customHeight="1" ht="17.25" hidden="1">
      <c r="A107" s="833"/>
      <c r="C107" s="721"/>
      <c r="D107" s="2647"/>
      <c r="E107" s="2655"/>
      <c r="F107" s="2658"/>
      <c r="G107" s="2655"/>
      <c r="H107" s="2661"/>
      <c r="I107" s="2663"/>
      <c r="J107" s="2666"/>
      <c r="K107" s="2650"/>
      <c r="L107" s="2650"/>
      <c r="M107" s="2650"/>
      <c r="N107" s="2653"/>
      <c r="O107" s="2650"/>
      <c r="P107" s="1983"/>
      <c r="Q107" s="1809"/>
      <c r="R107" s="1809"/>
      <c r="S107" s="841"/>
      <c r="T107" s="841"/>
      <c r="U107" s="841"/>
      <c r="V107" s="841"/>
      <c r="W107" s="1810"/>
      <c r="Y107" s="1779"/>
      <c r="Z107" s="1779"/>
      <c r="AA107" s="1779"/>
      <c r="AB107" s="1779"/>
      <c r="AC107" s="1779"/>
      <c r="AD107" s="1779"/>
      <c r="AE107" s="1779"/>
      <c r="AF107" s="1779"/>
      <c r="AG107" s="1779"/>
      <c r="AH107" s="1779"/>
      <c r="AI107" s="1779"/>
      <c r="AJ107" s="1779"/>
      <c r="AK107" s="1779"/>
      <c r="AL107" s="1779"/>
      <c r="AM107" s="1779"/>
      <c r="AN107" s="1779"/>
      <c r="AO107" s="1779"/>
      <c r="AP107" s="1779"/>
      <c r="AQ107" s="1779"/>
      <c r="AR107" s="1979">
        <v>0</v>
      </c>
    </row>
    <row s="47026" customFormat="1" customHeight="1" ht="17.25" hidden="1">
      <c r="A108" s="833"/>
      <c r="C108" s="832"/>
      <c r="D108" s="2647"/>
      <c r="E108" s="2655"/>
      <c r="F108" s="2658"/>
      <c r="G108" s="2655"/>
      <c r="H108" s="2661"/>
      <c r="I108" s="2663"/>
      <c r="J108" s="2666"/>
      <c r="K108" s="2650"/>
      <c r="L108" s="1809"/>
      <c r="M108" s="1809"/>
      <c r="N108" s="1809"/>
      <c r="O108" s="1809"/>
      <c r="P108" s="1809"/>
      <c r="Q108" s="1809"/>
      <c r="R108" s="1809"/>
      <c r="S108" s="841"/>
      <c r="T108" s="841"/>
      <c r="U108" s="841"/>
      <c r="V108" s="841"/>
      <c r="W108" s="1810"/>
      <c r="Y108" s="1771"/>
      <c r="Z108" s="1771"/>
      <c r="AA108" s="1771"/>
      <c r="AB108" s="1771"/>
      <c r="AC108" s="1771"/>
      <c r="AD108" s="1771"/>
      <c r="AE108" s="1771"/>
      <c r="AF108" s="1771"/>
      <c r="AG108" s="1771"/>
      <c r="AH108" s="1771"/>
      <c r="AI108" s="1771"/>
      <c r="AJ108" s="1771"/>
      <c r="AK108" s="1771"/>
      <c r="AL108" s="1771"/>
      <c r="AM108" s="1771"/>
      <c r="AN108" s="1771"/>
      <c r="AO108" s="1771"/>
      <c r="AP108" s="1771"/>
      <c r="AQ108" s="1771"/>
      <c r="AR108" s="1979">
        <v>0</v>
      </c>
    </row>
    <row s="47026" customFormat="1" customHeight="1" ht="17.25" hidden="1">
      <c r="A109" s="833"/>
      <c r="C109" s="832"/>
      <c r="D109" s="2648"/>
      <c r="E109" s="2656"/>
      <c r="F109" s="2659"/>
      <c r="G109" s="2656"/>
      <c r="H109" s="1811"/>
      <c r="I109" s="1812"/>
      <c r="J109" s="1812"/>
      <c r="K109" s="1812"/>
      <c r="L109" s="1812"/>
      <c r="M109" s="1812"/>
      <c r="N109" s="1812"/>
      <c r="O109" s="1812"/>
      <c r="P109" s="1812"/>
      <c r="Q109" s="1812"/>
      <c r="R109" s="1812"/>
      <c r="S109" s="1813"/>
      <c r="T109" s="1813"/>
      <c r="U109" s="1813"/>
      <c r="V109" s="1813"/>
      <c r="W109" s="1814"/>
      <c r="Y109" s="1771"/>
      <c r="Z109" s="1771"/>
      <c r="AA109" s="1771"/>
      <c r="AB109" s="1771"/>
      <c r="AC109" s="1771"/>
      <c r="AD109" s="1771"/>
      <c r="AE109" s="1771"/>
      <c r="AF109" s="1771"/>
      <c r="AG109" s="1771"/>
      <c r="AH109" s="1771"/>
      <c r="AI109" s="1771"/>
      <c r="AJ109" s="1771"/>
      <c r="AK109" s="1771"/>
      <c r="AL109" s="1771"/>
      <c r="AM109" s="1771"/>
      <c r="AN109" s="1771"/>
      <c r="AO109" s="1771"/>
      <c r="AP109" s="1771"/>
      <c r="AQ109" s="1771"/>
      <c r="AR109" s="1979">
        <v>0</v>
      </c>
    </row>
    <row s="47026" customFormat="1" customHeight="1" ht="17.25" hidden="1">
      <c r="A110" s="833"/>
      <c r="C110" s="721"/>
      <c r="D110" s="2647">
        <v>2</v>
      </c>
      <c r="E110" s="2655" t="s">
        <v>303</v>
      </c>
      <c r="F110" s="2657" t="s">
        <v>19</v>
      </c>
      <c r="G110" s="2655"/>
      <c r="H110" s="2660"/>
      <c r="I110" s="2662"/>
      <c r="J110" s="2664"/>
      <c r="K110" s="2649"/>
      <c r="L110" s="2649"/>
      <c r="M110" s="2649"/>
      <c r="N110" s="2651"/>
      <c r="O110" s="2649"/>
      <c r="P110" s="2649"/>
      <c r="Q110" s="2649"/>
      <c r="R110" s="2654"/>
      <c r="S110" s="2649"/>
      <c r="T110" s="1982"/>
      <c r="U110" s="1982"/>
      <c r="V110" s="1984"/>
      <c r="W110" s="1808"/>
      <c r="X110" s="1779"/>
      <c r="Y110" s="1779"/>
      <c r="Z110" s="1779"/>
      <c r="AA110" s="1779"/>
      <c r="AB110" s="1779"/>
      <c r="AC110" s="1779" t="s">
        <v>304</v>
      </c>
      <c r="AD110" s="1779" t="s">
        <v>305</v>
      </c>
      <c r="AE110" s="1779" t="s">
        <v>306</v>
      </c>
      <c r="AF110" s="1779" t="s">
        <v>307</v>
      </c>
      <c r="AG110" s="1779"/>
      <c r="AH110" s="1779" t="str">
        <f>IF($E$110=0,"",$E$110)</f>
        <v>Тариф на транспортировку горячей воды</v>
      </c>
      <c r="AI110" s="1779" t="str">
        <f>IF($G$110=0,"",$G$110)</f>
        <v/>
      </c>
      <c r="AJ110" s="1779" t="str">
        <f>IF($J$110=0,"",$J$110)</f>
        <v/>
      </c>
      <c r="AK110" s="1779" t="str">
        <f>IF($K$110="нет","без дифференциации",IF($N$110=0,"",$N$110))</f>
        <v/>
      </c>
      <c r="AL110" s="1779" t="str">
        <f>IF($O$110="нет","без дифференциации",IF($R$110=0,"",$R$110))</f>
        <v/>
      </c>
      <c r="AM110" s="1779" t="str">
        <f>IF($S$110="нет","без дифференциации",IF($V$110=0,"",$V$110))</f>
        <v/>
      </c>
      <c r="AN110" s="2284">
        <f>$I$110</f>
        <v>0</v>
      </c>
      <c r="AO110" s="1779" t="str">
        <f>$I$110&amp;"."&amp;$M$110</f>
        <v>.</v>
      </c>
      <c r="AP110" s="1771" t="str">
        <f>$I$110&amp;"."&amp;$M$110&amp;"."&amp;$Q$110</f>
        <v>..</v>
      </c>
      <c r="AQ110" s="1771" t="str">
        <f>$I$110&amp;"."&amp;$M$110&amp;"."&amp;$Q$110&amp;"."&amp;$U$110</f>
        <v>...</v>
      </c>
      <c r="AR110" s="1979">
        <v>0</v>
      </c>
    </row>
    <row s="47026" customFormat="1" customHeight="1" ht="17.25" hidden="1">
      <c r="A111" s="833"/>
      <c r="C111" s="832"/>
      <c r="D111" s="2647"/>
      <c r="E111" s="2655"/>
      <c r="F111" s="2658"/>
      <c r="G111" s="2655"/>
      <c r="H111" s="2661"/>
      <c r="I111" s="2663"/>
      <c r="J111" s="2665"/>
      <c r="K111" s="2650"/>
      <c r="L111" s="2650"/>
      <c r="M111" s="2650"/>
      <c r="N111" s="2652"/>
      <c r="O111" s="2650"/>
      <c r="P111" s="2650"/>
      <c r="Q111" s="2650"/>
      <c r="R111" s="2653"/>
      <c r="S111" s="2650"/>
      <c r="T111" s="1809"/>
      <c r="U111" s="1809"/>
      <c r="V111" s="1809"/>
      <c r="W111" s="1810"/>
      <c r="X111" s="1771"/>
      <c r="Y111" s="1771"/>
      <c r="Z111" s="1771"/>
      <c r="AA111" s="1771"/>
      <c r="AB111" s="1771"/>
      <c r="AC111" s="1771"/>
      <c r="AD111" s="1771"/>
      <c r="AE111" s="1771"/>
      <c r="AF111" s="1771"/>
      <c r="AG111" s="1771"/>
      <c r="AH111" s="1771"/>
      <c r="AI111" s="1771"/>
      <c r="AJ111" s="1771"/>
      <c r="AK111" s="1771"/>
      <c r="AL111" s="1771"/>
      <c r="AM111" s="1771"/>
      <c r="AN111" s="1771"/>
      <c r="AO111" s="1771"/>
      <c r="AP111" s="1771"/>
      <c r="AQ111" s="1771"/>
      <c r="AR111" s="1979">
        <v>0</v>
      </c>
    </row>
    <row s="47026" customFormat="1" customHeight="1" ht="17.25" hidden="1">
      <c r="A112" s="833"/>
      <c r="C112" s="832"/>
      <c r="D112" s="2648"/>
      <c r="E112" s="2656"/>
      <c r="F112" s="2658"/>
      <c r="G112" s="2656"/>
      <c r="H112" s="2661"/>
      <c r="I112" s="2663"/>
      <c r="J112" s="2666"/>
      <c r="K112" s="2650"/>
      <c r="L112" s="2650"/>
      <c r="M112" s="2650"/>
      <c r="N112" s="2653"/>
      <c r="O112" s="2650"/>
      <c r="P112" s="1983"/>
      <c r="Q112" s="1809"/>
      <c r="R112" s="1809"/>
      <c r="S112" s="841"/>
      <c r="T112" s="841"/>
      <c r="U112" s="841"/>
      <c r="V112" s="841"/>
      <c r="W112" s="1810"/>
      <c r="X112" s="1771"/>
      <c r="Y112" s="1771"/>
      <c r="Z112" s="1771"/>
      <c r="AA112" s="1771"/>
      <c r="AB112" s="1771"/>
      <c r="AC112" s="1771"/>
      <c r="AD112" s="1771"/>
      <c r="AE112" s="1771"/>
      <c r="AF112" s="1771"/>
      <c r="AG112" s="1771"/>
      <c r="AH112" s="1771"/>
      <c r="AI112" s="1771"/>
      <c r="AJ112" s="1771"/>
      <c r="AK112" s="1771"/>
      <c r="AL112" s="1771"/>
      <c r="AM112" s="1771"/>
      <c r="AN112" s="1771"/>
      <c r="AO112" s="1771"/>
      <c r="AP112" s="1771"/>
      <c r="AQ112" s="1771"/>
      <c r="AR112" s="1979">
        <v>0</v>
      </c>
    </row>
    <row s="47026" customFormat="1" customHeight="1" ht="17.25" hidden="1">
      <c r="A113" s="833"/>
      <c r="C113" s="832"/>
      <c r="D113" s="2648"/>
      <c r="E113" s="2656"/>
      <c r="F113" s="2658"/>
      <c r="G113" s="2656"/>
      <c r="H113" s="2661"/>
      <c r="I113" s="2663"/>
      <c r="J113" s="2666"/>
      <c r="K113" s="2650"/>
      <c r="L113" s="1809"/>
      <c r="M113" s="1809"/>
      <c r="N113" s="1809"/>
      <c r="O113" s="1809"/>
      <c r="P113" s="1809"/>
      <c r="Q113" s="1809"/>
      <c r="R113" s="1809"/>
      <c r="S113" s="841"/>
      <c r="T113" s="841"/>
      <c r="U113" s="841"/>
      <c r="V113" s="841"/>
      <c r="W113" s="1810"/>
      <c r="X113" s="1771"/>
      <c r="Y113" s="1771"/>
      <c r="Z113" s="1771"/>
      <c r="AA113" s="1771"/>
      <c r="AB113" s="1771"/>
      <c r="AC113" s="1771"/>
      <c r="AD113" s="1771"/>
      <c r="AE113" s="1771"/>
      <c r="AF113" s="1771"/>
      <c r="AG113" s="1771"/>
      <c r="AH113" s="1771"/>
      <c r="AI113" s="1771"/>
      <c r="AJ113" s="1771"/>
      <c r="AK113" s="1771"/>
      <c r="AL113" s="1771"/>
      <c r="AM113" s="1771"/>
      <c r="AN113" s="1771"/>
      <c r="AO113" s="1771"/>
      <c r="AP113" s="1771"/>
      <c r="AQ113" s="1771"/>
      <c r="AR113" s="1979">
        <v>0</v>
      </c>
    </row>
    <row s="47026" customFormat="1" customHeight="1" ht="17.25" hidden="1">
      <c r="A114" s="833"/>
      <c r="C114" s="832"/>
      <c r="D114" s="2648"/>
      <c r="E114" s="2656"/>
      <c r="F114" s="2659"/>
      <c r="G114" s="2656"/>
      <c r="H114" s="1811"/>
      <c r="I114" s="1812"/>
      <c r="J114" s="1812"/>
      <c r="K114" s="1812"/>
      <c r="L114" s="1812"/>
      <c r="M114" s="1812"/>
      <c r="N114" s="1812"/>
      <c r="O114" s="1812"/>
      <c r="P114" s="1812"/>
      <c r="Q114" s="1812"/>
      <c r="R114" s="1812"/>
      <c r="S114" s="1813"/>
      <c r="T114" s="1813"/>
      <c r="U114" s="1813"/>
      <c r="V114" s="1813"/>
      <c r="W114" s="1814"/>
      <c r="X114" s="1771"/>
      <c r="Y114" s="1771"/>
      <c r="Z114" s="1771"/>
      <c r="AA114" s="1771"/>
      <c r="AB114" s="1771"/>
      <c r="AC114" s="1771"/>
      <c r="AD114" s="1771"/>
      <c r="AE114" s="1771"/>
      <c r="AF114" s="1771"/>
      <c r="AG114" s="1771"/>
      <c r="AH114" s="1771"/>
      <c r="AI114" s="1771"/>
      <c r="AJ114" s="1771"/>
      <c r="AK114" s="1771"/>
      <c r="AL114" s="1771"/>
      <c r="AM114" s="1771"/>
      <c r="AN114" s="1771"/>
      <c r="AO114" s="1771"/>
      <c r="AP114" s="1771"/>
      <c r="AQ114" s="1771"/>
      <c r="AR114" s="1979">
        <v>0</v>
      </c>
    </row>
    <row s="47026" customFormat="1" customHeight="1" ht="17.25" hidden="1">
      <c r="A115" s="833"/>
      <c r="C115" s="721"/>
      <c r="D115" s="2647">
        <v>3</v>
      </c>
      <c r="E115" s="2655" t="s">
        <v>308</v>
      </c>
      <c r="F115" s="2657" t="s">
        <v>19</v>
      </c>
      <c r="G115" s="2655"/>
      <c r="H115" s="2660"/>
      <c r="I115" s="2662"/>
      <c r="J115" s="2664"/>
      <c r="K115" s="2649"/>
      <c r="L115" s="2649"/>
      <c r="M115" s="2649"/>
      <c r="N115" s="2651"/>
      <c r="O115" s="2649"/>
      <c r="P115" s="2649"/>
      <c r="Q115" s="2649"/>
      <c r="R115" s="2654"/>
      <c r="S115" s="2649"/>
      <c r="T115" s="2455"/>
      <c r="U115" s="2455"/>
      <c r="V115" s="2457"/>
      <c r="W115" s="1808"/>
      <c r="X115" s="1779"/>
      <c r="Y115" s="1779"/>
      <c r="Z115" s="1779"/>
      <c r="AA115" s="1779"/>
      <c r="AB115" s="1779"/>
      <c r="AC115" s="1779" t="s">
        <v>309</v>
      </c>
      <c r="AD115" s="1779" t="s">
        <v>310</v>
      </c>
      <c r="AE115" s="1779" t="s">
        <v>311</v>
      </c>
      <c r="AF115" s="1779" t="s">
        <v>312</v>
      </c>
      <c r="AG115" s="1779"/>
      <c r="AH115" s="1779" t="str">
        <f>IF($E$115=0,"",$E$115)</f>
        <v>Тариф на подключение (технологическое присоединение) к централизованной системе горячего водоснабжения</v>
      </c>
      <c r="AI115" s="1779" t="str">
        <f>IF($G$115=0,"",$G$115)</f>
        <v/>
      </c>
      <c r="AJ115" s="1779" t="str">
        <f>IF($J$115=0,"",$J$115)</f>
        <v/>
      </c>
      <c r="AK115" s="1779" t="str">
        <f>IF($K$115="нет","без дифференциации",IF($N$115=0,"",$N$115))</f>
        <v/>
      </c>
      <c r="AL115" s="1779" t="str">
        <f>IF($O$115="нет","без дифференциации",IF($R$115=0,"",$R$115))</f>
        <v/>
      </c>
      <c r="AM115" s="1779" t="str">
        <f>IF($S$115="нет","без дифференциации",IF($V$115=0,"",$V$115))</f>
        <v/>
      </c>
      <c r="AN115" s="2284">
        <f>$I$115</f>
        <v>0</v>
      </c>
      <c r="AO115" s="1779" t="str">
        <f>$I$115&amp;"."&amp;$M$115</f>
        <v>.</v>
      </c>
      <c r="AP115" s="1778" t="str">
        <f>$I$115&amp;"."&amp;$M$115&amp;"."&amp;$Q$115</f>
        <v>..</v>
      </c>
      <c r="AQ115" s="1778" t="str">
        <f>$I$115&amp;"."&amp;$M$115&amp;"."&amp;$Q$115&amp;"."&amp;$U$115</f>
        <v>...</v>
      </c>
      <c r="AR115" s="1979">
        <v>0</v>
      </c>
    </row>
    <row s="47026" customFormat="1" customHeight="1" ht="17.25" hidden="1">
      <c r="A116" s="833"/>
      <c r="C116" s="832"/>
      <c r="D116" s="2647"/>
      <c r="E116" s="2655"/>
      <c r="F116" s="2658"/>
      <c r="G116" s="2655"/>
      <c r="H116" s="2661"/>
      <c r="I116" s="2663"/>
      <c r="J116" s="2665"/>
      <c r="K116" s="2650"/>
      <c r="L116" s="2650"/>
      <c r="M116" s="2650"/>
      <c r="N116" s="2652"/>
      <c r="O116" s="2650"/>
      <c r="P116" s="2650"/>
      <c r="Q116" s="2650"/>
      <c r="R116" s="2653"/>
      <c r="S116" s="2650"/>
      <c r="T116" s="2460"/>
      <c r="U116" s="2460"/>
      <c r="V116" s="2460"/>
      <c r="W116" s="2461"/>
      <c r="X116" s="1778"/>
      <c r="Y116" s="1778"/>
      <c r="Z116" s="1778"/>
      <c r="AA116" s="1778"/>
      <c r="AB116" s="1778"/>
      <c r="AC116" s="1778"/>
      <c r="AD116" s="1778"/>
      <c r="AE116" s="1778"/>
      <c r="AF116" s="1778"/>
      <c r="AG116" s="1778"/>
      <c r="AH116" s="1778"/>
      <c r="AI116" s="1778"/>
      <c r="AJ116" s="1778"/>
      <c r="AK116" s="1778"/>
      <c r="AL116" s="1778"/>
      <c r="AM116" s="1778"/>
      <c r="AN116" s="1778"/>
      <c r="AO116" s="1778"/>
      <c r="AP116" s="1778"/>
      <c r="AQ116" s="1778"/>
      <c r="AR116" s="1979">
        <v>0</v>
      </c>
    </row>
    <row s="47026" customFormat="1" customHeight="1" ht="17.25" hidden="1">
      <c r="A117" s="833"/>
      <c r="C117" s="832"/>
      <c r="D117" s="2648"/>
      <c r="E117" s="2656"/>
      <c r="F117" s="2658"/>
      <c r="G117" s="2656"/>
      <c r="H117" s="2661"/>
      <c r="I117" s="2663"/>
      <c r="J117" s="2666"/>
      <c r="K117" s="2650"/>
      <c r="L117" s="2650"/>
      <c r="M117" s="2650"/>
      <c r="N117" s="2653"/>
      <c r="O117" s="2650"/>
      <c r="P117" s="2456"/>
      <c r="Q117" s="2460"/>
      <c r="R117" s="2460"/>
      <c r="S117" s="841"/>
      <c r="T117" s="841"/>
      <c r="U117" s="841"/>
      <c r="V117" s="841"/>
      <c r="W117" s="2461"/>
      <c r="X117" s="1778"/>
      <c r="Y117" s="1778"/>
      <c r="Z117" s="1778"/>
      <c r="AA117" s="1778"/>
      <c r="AB117" s="1778"/>
      <c r="AC117" s="1778"/>
      <c r="AD117" s="1778"/>
      <c r="AE117" s="1778"/>
      <c r="AF117" s="1778"/>
      <c r="AG117" s="1778"/>
      <c r="AH117" s="1778"/>
      <c r="AI117" s="1778"/>
      <c r="AJ117" s="1778"/>
      <c r="AK117" s="1778"/>
      <c r="AL117" s="1778"/>
      <c r="AM117" s="1778"/>
      <c r="AN117" s="1778"/>
      <c r="AO117" s="1778"/>
      <c r="AP117" s="1778"/>
      <c r="AQ117" s="1778"/>
      <c r="AR117" s="1979">
        <v>0</v>
      </c>
    </row>
    <row s="47026" customFormat="1" customHeight="1" ht="17.25" hidden="1">
      <c r="A118" s="833"/>
      <c r="C118" s="832"/>
      <c r="D118" s="2648"/>
      <c r="E118" s="2656"/>
      <c r="F118" s="2658"/>
      <c r="G118" s="2656"/>
      <c r="H118" s="2661"/>
      <c r="I118" s="2663"/>
      <c r="J118" s="2666"/>
      <c r="K118" s="2650"/>
      <c r="L118" s="2460"/>
      <c r="M118" s="2460"/>
      <c r="N118" s="2460"/>
      <c r="O118" s="2460"/>
      <c r="P118" s="2460"/>
      <c r="Q118" s="2460"/>
      <c r="R118" s="2460"/>
      <c r="S118" s="841"/>
      <c r="T118" s="841"/>
      <c r="U118" s="841"/>
      <c r="V118" s="841"/>
      <c r="W118" s="2461"/>
      <c r="X118" s="1778"/>
      <c r="Y118" s="1778"/>
      <c r="Z118" s="1778"/>
      <c r="AA118" s="1778"/>
      <c r="AB118" s="1778"/>
      <c r="AC118" s="1778"/>
      <c r="AD118" s="1778"/>
      <c r="AE118" s="1778"/>
      <c r="AF118" s="1778"/>
      <c r="AG118" s="1778"/>
      <c r="AH118" s="1778"/>
      <c r="AI118" s="1778"/>
      <c r="AJ118" s="1778"/>
      <c r="AK118" s="1778"/>
      <c r="AL118" s="1778"/>
      <c r="AM118" s="1778"/>
      <c r="AN118" s="1778"/>
      <c r="AO118" s="1778"/>
      <c r="AP118" s="1778"/>
      <c r="AQ118" s="1778"/>
      <c r="AR118" s="1979">
        <v>0</v>
      </c>
    </row>
    <row s="47026" customFormat="1" customHeight="1" ht="17.25" hidden="1">
      <c r="A119" s="833"/>
      <c r="C119" s="832"/>
      <c r="D119" s="2648"/>
      <c r="E119" s="2656"/>
      <c r="F119" s="2659"/>
      <c r="G119" s="2656"/>
      <c r="H119" s="1811"/>
      <c r="I119" s="2458"/>
      <c r="J119" s="2458"/>
      <c r="K119" s="2458"/>
      <c r="L119" s="2458"/>
      <c r="M119" s="2458"/>
      <c r="N119" s="2458"/>
      <c r="O119" s="2458"/>
      <c r="P119" s="2458"/>
      <c r="Q119" s="2458"/>
      <c r="R119" s="2458"/>
      <c r="S119" s="1813"/>
      <c r="T119" s="1813"/>
      <c r="U119" s="1813"/>
      <c r="V119" s="1813"/>
      <c r="W119" s="2459"/>
      <c r="X119" s="1778"/>
      <c r="Y119" s="1778"/>
      <c r="Z119" s="1778"/>
      <c r="AA119" s="1778"/>
      <c r="AB119" s="1778"/>
      <c r="AC119" s="1778"/>
      <c r="AD119" s="1778"/>
      <c r="AE119" s="1778"/>
      <c r="AF119" s="1778"/>
      <c r="AG119" s="1778"/>
      <c r="AH119" s="1778"/>
      <c r="AI119" s="1778"/>
      <c r="AJ119" s="1778"/>
      <c r="AK119" s="1778"/>
      <c r="AL119" s="1778"/>
      <c r="AM119" s="1778"/>
      <c r="AN119" s="1778"/>
      <c r="AO119" s="1778"/>
      <c r="AP119" s="1778"/>
      <c r="AQ119" s="1778"/>
      <c r="AR119" s="1979">
        <v>0</v>
      </c>
    </row>
    <row s="47026" customFormat="1" customHeight="1" ht="11.25" hidden="1">
      <c r="A120" s="789"/>
      <c r="B120" s="789"/>
      <c r="Y120" s="1771"/>
      <c r="Z120" s="1771"/>
      <c r="AA120" s="1771"/>
      <c r="AB120" s="1771"/>
      <c r="AC120" s="1771"/>
      <c r="AD120" s="1771"/>
      <c r="AE120" s="1771"/>
      <c r="AF120" s="1771"/>
      <c r="AG120" s="1771"/>
      <c r="AH120" s="1771"/>
      <c r="AI120" s="1771"/>
      <c r="AJ120" s="1771"/>
      <c r="AK120" s="1771"/>
      <c r="AL120" s="1771"/>
      <c r="AM120" s="1771"/>
      <c r="AN120" s="1771"/>
      <c r="AO120" s="1771"/>
      <c r="AP120" s="1771"/>
      <c r="AQ120" s="1771"/>
      <c r="AR120" s="1979">
        <v>0</v>
      </c>
    </row>
    <row s="47026" customFormat="1" customHeight="1" ht="17.25">
      <c r="A121" s="833"/>
      <c r="C121" s="721"/>
      <c r="D121" s="2647">
        <v>1</v>
      </c>
      <c r="E121" s="2655" t="s">
        <v>313</v>
      </c>
      <c r="F121" s="2657" t="s">
        <v>63</v>
      </c>
      <c r="G121" s="6167" t="str">
        <f>INDEX(VD_NAME_LIST,MATCH("4189714",VD_ID_LIST,0))</f>
        <v>Водоотведение</v>
      </c>
      <c r="H121" s="6168"/>
      <c r="I121" s="6168">
        <v>1</v>
      </c>
      <c r="J121" s="6169" t="s">
        <v>314</v>
      </c>
      <c r="K121" s="6170" t="s">
        <v>63</v>
      </c>
      <c r="L121" s="6171"/>
      <c r="M121" s="6171" t="s">
        <v>101</v>
      </c>
      <c r="N121" s="6172" t="str">
        <f>IF(Z121="","",INDEX(TERRITORY_MR_LIST,MATCH(Z121,TERRITORY_LIST_ID,0)))</f>
        <v>Территория 1</v>
      </c>
      <c r="O121" s="6170" t="s">
        <v>63</v>
      </c>
      <c r="P121" s="6171"/>
      <c r="Q121" s="6171" t="s">
        <v>101</v>
      </c>
      <c r="R121" s="6173" t="s">
        <v>315</v>
      </c>
      <c r="S121" s="6174" t="s">
        <v>19</v>
      </c>
      <c r="T121" s="6174"/>
      <c r="U121" s="6174" t="s">
        <v>101</v>
      </c>
      <c r="V121" s="6175"/>
      <c r="W121" s="6169"/>
      <c r="Y121" s="1779"/>
      <c r="Z121" s="1779" t="s">
        <v>100</v>
      </c>
      <c r="AA121" s="1779"/>
      <c r="AB121" s="1779" t="s">
        <v>316</v>
      </c>
      <c r="AC121" s="1779" t="s">
        <v>317</v>
      </c>
      <c r="AD121" s="1779" t="s">
        <v>318</v>
      </c>
      <c r="AE121" s="1779" t="s">
        <v>319</v>
      </c>
      <c r="AF121" s="1779" t="s">
        <v>320</v>
      </c>
      <c r="AG121" s="1779"/>
      <c r="AH121" s="1779" t="str">
        <f>IF($E$121=0,"",$E$121)</f>
        <v>Тариф на водоотведение</v>
      </c>
      <c r="AI121" s="1779" t="str">
        <f>IF($G$121=0,"",$G$121)</f>
        <v>Водоотведение</v>
      </c>
      <c r="AJ121" s="1779" t="str">
        <f>IF($J$121=0,"",$J$121)</f>
        <v>Тариф на водоотведение для потребителей КГУП "Примтеплоэнерго"</v>
      </c>
      <c r="AK121" s="1779" t="str">
        <f>IF($K$121="нет","без дифференциации",IF($N$121=0,"",$N$121))</f>
        <v>Территория 1</v>
      </c>
      <c r="AL121" s="1779" t="str">
        <f>IF($O$121="нет","без дифференциации",IF($R$121=0,"",$R$121))</f>
        <v>с. Анучино</v>
      </c>
      <c r="AM121" s="1779" t="str">
        <f>IF($S$121="нет","без дифференциации",IF($V$121=0,"",$V$121))</f>
        <v>без дифференциации</v>
      </c>
      <c r="AN121" s="1779">
        <f>$I$121</f>
        <v>1</v>
      </c>
      <c r="AO121" s="1779" t="str">
        <f>$I$121&amp;"."&amp;$M$121</f>
        <v>1.1</v>
      </c>
      <c r="AP121" s="1779" t="str">
        <f>$I$121&amp;"."&amp;$M$121&amp;"."&amp;$Q$121</f>
        <v>1.1.1</v>
      </c>
      <c r="AQ121" s="1779" t="str">
        <f>$I$121&amp;"."&amp;$M$121&amp;"."&amp;$Q$121&amp;"."&amp;$U$121</f>
        <v>1.1.1.1</v>
      </c>
      <c r="AR121" s="1979">
        <v>0</v>
      </c>
    </row>
    <row s="47026" customFormat="1" customHeight="1" ht="17.25">
      <c r="A122" s="833"/>
      <c r="C122" s="832"/>
      <c r="D122" s="2647"/>
      <c r="E122" s="2655"/>
      <c r="F122" s="2658"/>
      <c r="G122" s="6167"/>
      <c r="H122" s="6168"/>
      <c r="I122" s="6168"/>
      <c r="J122" s="6169"/>
      <c r="K122" s="6176"/>
      <c r="L122" s="6171"/>
      <c r="M122" s="6171"/>
      <c r="N122" s="6172"/>
      <c r="O122" s="6176"/>
      <c r="P122" s="6171"/>
      <c r="Q122" s="6171"/>
      <c r="R122" s="6173"/>
      <c r="S122" s="6174"/>
      <c r="T122" s="6177"/>
      <c r="U122" s="6178"/>
      <c r="V122" s="6178"/>
      <c r="W122" s="6169"/>
      <c r="Y122" s="1771"/>
      <c r="Z122" s="1771"/>
      <c r="AA122" s="1771"/>
      <c r="AB122" s="1771"/>
      <c r="AC122" s="1771"/>
      <c r="AD122" s="1771"/>
      <c r="AE122" s="1771"/>
      <c r="AF122" s="1771"/>
      <c r="AG122" s="1771"/>
      <c r="AH122" s="1771"/>
      <c r="AI122" s="1771"/>
      <c r="AJ122" s="1771"/>
      <c r="AK122" s="1771"/>
      <c r="AL122" s="1771"/>
      <c r="AM122" s="1771"/>
      <c r="AN122" s="1771"/>
      <c r="AO122" s="1771"/>
      <c r="AP122" s="1771"/>
      <c r="AQ122" s="1771"/>
      <c r="AR122" s="1979">
        <v>0</v>
      </c>
    </row>
    <row s="47026" customFormat="1" customHeight="1" ht="17.25">
      <c r="A123" s="833"/>
      <c r="C123" s="721"/>
      <c r="D123" s="2647"/>
      <c r="E123" s="2655"/>
      <c r="F123" s="2658"/>
      <c r="G123" s="6167"/>
      <c r="H123" s="6179"/>
      <c r="I123" s="6179"/>
      <c r="J123" s="6180"/>
      <c r="K123" s="6176"/>
      <c r="L123" s="6179"/>
      <c r="M123" s="6179"/>
      <c r="N123" s="6181"/>
      <c r="O123" s="6182"/>
      <c r="P123" s="6183"/>
      <c r="Q123" s="6184"/>
      <c r="R123" s="6185" t="s">
        <v>321</v>
      </c>
      <c r="S123" s="6186"/>
      <c r="T123" s="6187"/>
      <c r="U123" s="6188"/>
      <c r="V123" s="6189"/>
      <c r="W123" s="6190"/>
      <c r="Y123" s="1779"/>
      <c r="Z123" s="1779"/>
      <c r="AA123" s="1779"/>
      <c r="AB123" s="1779"/>
      <c r="AC123" s="1779"/>
      <c r="AD123" s="1779"/>
      <c r="AE123" s="1779"/>
      <c r="AF123" s="1779"/>
      <c r="AG123" s="1779"/>
      <c r="AH123" s="1779"/>
      <c r="AI123" s="1779"/>
      <c r="AJ123" s="1779"/>
      <c r="AK123" s="1779"/>
      <c r="AL123" s="1779"/>
      <c r="AM123" s="1779"/>
      <c r="AN123" s="1779"/>
      <c r="AO123" s="1779"/>
      <c r="AP123" s="1779"/>
      <c r="AQ123" s="1779"/>
      <c r="AR123" s="1979">
        <v>0</v>
      </c>
    </row>
    <row customHeight="1" ht="17.25">
      <c r="A124" s="2352"/>
      <c r="B124" s="15691"/>
      <c r="C124" s="2354"/>
      <c r="D124" s="2342"/>
      <c r="E124" s="2359"/>
      <c r="F124" s="2296"/>
      <c r="G124" s="2360"/>
      <c r="H124" s="2342"/>
      <c r="I124" s="2342"/>
      <c r="J124" s="2363"/>
      <c r="K124" s="2360"/>
      <c r="L124" s="2620" t="s">
        <v>106</v>
      </c>
      <c r="M124" s="2620" t="s">
        <v>105</v>
      </c>
      <c r="N124" s="3016" t="str">
        <f>IF(Z124="","",INDEX(TERRITORY_MR_LIST,MATCH(Z124,TERRITORY_LIST_ID,0)))</f>
        <v>Территория 2</v>
      </c>
      <c r="O124" s="2697" t="s">
        <v>63</v>
      </c>
      <c r="P124" s="2620"/>
      <c r="Q124" s="2620" t="s">
        <v>101</v>
      </c>
      <c r="R124" s="3014" t="s">
        <v>322</v>
      </c>
      <c r="S124" s="2918" t="s">
        <v>19</v>
      </c>
      <c r="T124" s="2314"/>
      <c r="U124" s="2314" t="s">
        <v>101</v>
      </c>
      <c r="V124" s="1946"/>
      <c r="W124" s="3013"/>
      <c r="X124" s="15691"/>
      <c r="Y124" s="1779"/>
      <c r="Z124" s="1779" t="s">
        <v>107</v>
      </c>
      <c r="AA124" s="1779"/>
      <c r="AB124" s="1779"/>
      <c r="AC124" s="15705" t="s">
        <v>317</v>
      </c>
      <c r="AD124" s="15705" t="s">
        <v>318</v>
      </c>
      <c r="AE124" s="1779" t="s">
        <v>323</v>
      </c>
      <c r="AF124" s="1779" t="s">
        <v>324</v>
      </c>
      <c r="AG124" s="1779" t="s">
        <v>325</v>
      </c>
      <c r="AH124" s="1779" t="str">
        <f>IF($E$121=0,"",$E$121)</f>
        <v>Тариф на водоотведение</v>
      </c>
      <c r="AI124" s="1779" t="str">
        <f>IF($G$121=0,"",$G$121)</f>
        <v>Водоотведение</v>
      </c>
      <c r="AJ124" s="1779" t="str">
        <f>IF($J$121=0,"",$J$121)</f>
        <v>Тариф на водоотведение для потребителей КГУП "Примтеплоэнерго"</v>
      </c>
      <c r="AK124" s="1779" t="str">
        <f>IF($K$124="нет","без дифференциации",IF($N$124=0,"",$N$124))</f>
        <v>Территория 2</v>
      </c>
      <c r="AL124" s="2356" t="str">
        <f>IF($O$124="нет","без дифференциации",IF($R$124=0,"",$R$124))</f>
        <v>пгт. Новошахтинский</v>
      </c>
      <c r="AM124" s="2356"/>
      <c r="AN124" s="1779">
        <f>$I$121</f>
        <v>1</v>
      </c>
      <c r="AO124" s="1779" t="str">
        <f>$I$121&amp;"."&amp;$M$124</f>
        <v>1.2</v>
      </c>
      <c r="AP124" s="1779" t="str">
        <f>$I$121&amp;"."&amp;$M$124&amp;"."&amp;$Q$124</f>
        <v>1.2.1</v>
      </c>
      <c r="AQ124" s="1779"/>
      <c r="AR124" s="15691"/>
    </row>
    <row customHeight="1" ht="17.25">
      <c r="A125" s="2352"/>
      <c r="B125" s="15691"/>
      <c r="C125" s="2357"/>
      <c r="D125" s="2342"/>
      <c r="E125" s="2359"/>
      <c r="F125" s="2296"/>
      <c r="G125" s="2360"/>
      <c r="H125" s="2342"/>
      <c r="I125" s="2342"/>
      <c r="J125" s="2363"/>
      <c r="K125" s="2360"/>
      <c r="L125" s="2620"/>
      <c r="M125" s="2620"/>
      <c r="N125" s="3016"/>
      <c r="O125" s="2698"/>
      <c r="P125" s="2620"/>
      <c r="Q125" s="2620"/>
      <c r="R125" s="3014"/>
      <c r="S125" s="2918"/>
      <c r="T125" s="1947"/>
      <c r="U125" s="1948"/>
      <c r="V125" s="1948"/>
      <c r="W125" s="3013"/>
      <c r="X125" s="15691"/>
      <c r="Y125" s="1771"/>
      <c r="Z125" s="1771"/>
      <c r="AA125" s="1771"/>
      <c r="AB125" s="1771"/>
      <c r="AC125" s="1771"/>
      <c r="AD125" s="1771"/>
      <c r="AE125" s="1771"/>
      <c r="AF125" s="1771"/>
      <c r="AG125" s="1771"/>
      <c r="AH125" s="1771"/>
      <c r="AI125" s="1771"/>
      <c r="AJ125" s="1771"/>
      <c r="AK125" s="1771"/>
      <c r="AL125" s="15691"/>
      <c r="AM125" s="15691"/>
      <c r="AN125" s="15691"/>
      <c r="AO125" s="15691"/>
      <c r="AP125" s="15691"/>
      <c r="AQ125" s="15691"/>
      <c r="AR125" s="15691"/>
    </row>
    <row customHeight="1" ht="17.25">
      <c r="A126" s="2352"/>
      <c r="B126" s="15691"/>
      <c r="C126" s="2357"/>
      <c r="D126" s="2342"/>
      <c r="E126" s="2359"/>
      <c r="F126" s="2296"/>
      <c r="G126" s="2360"/>
      <c r="H126" s="2342"/>
      <c r="I126" s="2342"/>
      <c r="J126" s="2363"/>
      <c r="K126" s="2360"/>
      <c r="L126" s="3015"/>
      <c r="M126" s="3015"/>
      <c r="N126" s="3017"/>
      <c r="O126" s="2624"/>
      <c r="P126" s="829"/>
      <c r="Q126" s="830"/>
      <c r="R126" s="830" t="s">
        <v>321</v>
      </c>
      <c r="S126" s="2358"/>
      <c r="T126" s="2358"/>
      <c r="U126" s="2358"/>
      <c r="V126" s="2358"/>
      <c r="W126" s="1945"/>
      <c r="X126" s="15691"/>
      <c r="Y126" s="1771"/>
      <c r="Z126" s="1771"/>
      <c r="AA126" s="1771"/>
      <c r="AB126" s="1771"/>
      <c r="AC126" s="1771"/>
      <c r="AD126" s="1771"/>
      <c r="AE126" s="1771"/>
      <c r="AF126" s="1771"/>
      <c r="AG126" s="1771"/>
      <c r="AH126" s="1771"/>
      <c r="AI126" s="1771"/>
      <c r="AJ126" s="1771"/>
      <c r="AK126" s="1771"/>
      <c r="AL126" s="15691"/>
      <c r="AM126" s="15691"/>
      <c r="AN126" s="15691"/>
      <c r="AO126" s="15691"/>
      <c r="AP126" s="15691"/>
      <c r="AQ126" s="15691"/>
      <c r="AR126" s="15691"/>
    </row>
    <row customHeight="1" ht="17.25">
      <c r="A127" s="2352"/>
      <c r="B127" s="15691"/>
      <c r="C127" s="2354"/>
      <c r="D127" s="2342"/>
      <c r="E127" s="2359"/>
      <c r="F127" s="2296"/>
      <c r="G127" s="2360"/>
      <c r="H127" s="2342"/>
      <c r="I127" s="2342"/>
      <c r="J127" s="2363"/>
      <c r="K127" s="2360"/>
      <c r="L127" s="2620" t="s">
        <v>106</v>
      </c>
      <c r="M127" s="2620" t="s">
        <v>92</v>
      </c>
      <c r="N127" s="3016" t="str">
        <f>IF(Z127="","",INDEX(TERRITORY_MR_LIST,MATCH(Z127,TERRITORY_LIST_ID,0)))</f>
        <v>Территория 3</v>
      </c>
      <c r="O127" s="2697" t="s">
        <v>63</v>
      </c>
      <c r="P127" s="2620"/>
      <c r="Q127" s="2620" t="s">
        <v>101</v>
      </c>
      <c r="R127" s="3014" t="s">
        <v>326</v>
      </c>
      <c r="S127" s="2918" t="s">
        <v>19</v>
      </c>
      <c r="T127" s="2314"/>
      <c r="U127" s="2314" t="s">
        <v>101</v>
      </c>
      <c r="V127" s="1946"/>
      <c r="W127" s="3013"/>
      <c r="X127" s="15691"/>
      <c r="Y127" s="1779"/>
      <c r="Z127" s="1779" t="s">
        <v>112</v>
      </c>
      <c r="AA127" s="1779"/>
      <c r="AB127" s="1779"/>
      <c r="AC127" s="15705" t="s">
        <v>317</v>
      </c>
      <c r="AD127" s="15705" t="s">
        <v>318</v>
      </c>
      <c r="AE127" s="1779" t="s">
        <v>327</v>
      </c>
      <c r="AF127" s="1779" t="s">
        <v>328</v>
      </c>
      <c r="AG127" s="1779" t="s">
        <v>329</v>
      </c>
      <c r="AH127" s="1779" t="str">
        <f>IF($E$121=0,"",$E$121)</f>
        <v>Тариф на водоотведение</v>
      </c>
      <c r="AI127" s="1779" t="str">
        <f>IF($G$121=0,"",$G$121)</f>
        <v>Водоотведение</v>
      </c>
      <c r="AJ127" s="1779" t="str">
        <f>IF($J$121=0,"",$J$121)</f>
        <v>Тариф на водоотведение для потребителей КГУП "Примтеплоэнерго"</v>
      </c>
      <c r="AK127" s="1779" t="str">
        <f>IF($K$127="нет","без дифференциации",IF($N$127=0,"",$N$127))</f>
        <v>Территория 3</v>
      </c>
      <c r="AL127" s="2356" t="str">
        <f>IF($O$127="нет","без дифференциации",IF($R$127=0,"",$R$127))</f>
        <v>Кавалеровский МО</v>
      </c>
      <c r="AM127" s="2356"/>
      <c r="AN127" s="1779">
        <f>$I$121</f>
        <v>1</v>
      </c>
      <c r="AO127" s="1779" t="str">
        <f>$I$121&amp;"."&amp;$M$127</f>
        <v>1.3</v>
      </c>
      <c r="AP127" s="1779" t="str">
        <f>$I$121&amp;"."&amp;$M$127&amp;"."&amp;$Q$127</f>
        <v>1.3.1</v>
      </c>
      <c r="AQ127" s="1779"/>
      <c r="AR127" s="15691"/>
    </row>
    <row customHeight="1" ht="17.25">
      <c r="A128" s="2352"/>
      <c r="B128" s="15691"/>
      <c r="C128" s="2357"/>
      <c r="D128" s="2342"/>
      <c r="E128" s="2359"/>
      <c r="F128" s="2296"/>
      <c r="G128" s="2360"/>
      <c r="H128" s="2342"/>
      <c r="I128" s="2342"/>
      <c r="J128" s="2363"/>
      <c r="K128" s="2360"/>
      <c r="L128" s="2620"/>
      <c r="M128" s="2620"/>
      <c r="N128" s="3016"/>
      <c r="O128" s="2698"/>
      <c r="P128" s="2620"/>
      <c r="Q128" s="2620"/>
      <c r="R128" s="3014"/>
      <c r="S128" s="2918"/>
      <c r="T128" s="1947"/>
      <c r="U128" s="1948"/>
      <c r="V128" s="1948"/>
      <c r="W128" s="3013"/>
      <c r="X128" s="15691"/>
      <c r="Y128" s="1771"/>
      <c r="Z128" s="1771"/>
      <c r="AA128" s="1771"/>
      <c r="AB128" s="1771"/>
      <c r="AC128" s="1771"/>
      <c r="AD128" s="1771"/>
      <c r="AE128" s="1771"/>
      <c r="AF128" s="1771"/>
      <c r="AG128" s="1771"/>
      <c r="AH128" s="1771"/>
      <c r="AI128" s="1771"/>
      <c r="AJ128" s="1771"/>
      <c r="AK128" s="1771"/>
      <c r="AL128" s="15691"/>
      <c r="AM128" s="15691"/>
      <c r="AN128" s="15691"/>
      <c r="AO128" s="15691"/>
      <c r="AP128" s="15691"/>
      <c r="AQ128" s="15691"/>
      <c r="AR128" s="15691"/>
    </row>
    <row customHeight="1" ht="17.25">
      <c r="A129" s="2352"/>
      <c r="B129" s="15691"/>
      <c r="C129" s="2357"/>
      <c r="D129" s="2342"/>
      <c r="E129" s="2359"/>
      <c r="F129" s="2296"/>
      <c r="G129" s="2360"/>
      <c r="H129" s="2342"/>
      <c r="I129" s="2342"/>
      <c r="J129" s="2363"/>
      <c r="K129" s="2360"/>
      <c r="L129" s="3015"/>
      <c r="M129" s="3015"/>
      <c r="N129" s="3017"/>
      <c r="O129" s="2624"/>
      <c r="P129" s="829"/>
      <c r="Q129" s="830"/>
      <c r="R129" s="830" t="s">
        <v>321</v>
      </c>
      <c r="S129" s="2358"/>
      <c r="T129" s="2358"/>
      <c r="U129" s="2358"/>
      <c r="V129" s="2358"/>
      <c r="W129" s="1945"/>
      <c r="X129" s="15691"/>
      <c r="Y129" s="1771"/>
      <c r="Z129" s="1771"/>
      <c r="AA129" s="1771"/>
      <c r="AB129" s="1771"/>
      <c r="AC129" s="1771"/>
      <c r="AD129" s="1771"/>
      <c r="AE129" s="1771"/>
      <c r="AF129" s="1771"/>
      <c r="AG129" s="1771"/>
      <c r="AH129" s="1771"/>
      <c r="AI129" s="1771"/>
      <c r="AJ129" s="1771"/>
      <c r="AK129" s="1771"/>
      <c r="AL129" s="15691"/>
      <c r="AM129" s="15691"/>
      <c r="AN129" s="15691"/>
      <c r="AO129" s="15691"/>
      <c r="AP129" s="15691"/>
      <c r="AQ129" s="15691"/>
      <c r="AR129" s="15691"/>
    </row>
    <row customHeight="1" ht="17.25">
      <c r="A130" s="2352"/>
      <c r="B130" s="15691"/>
      <c r="C130" s="2354"/>
      <c r="D130" s="2342"/>
      <c r="E130" s="2359"/>
      <c r="F130" s="2296"/>
      <c r="G130" s="2360"/>
      <c r="H130" s="2342"/>
      <c r="I130" s="2342"/>
      <c r="J130" s="2363"/>
      <c r="K130" s="2360"/>
      <c r="L130" s="2620" t="s">
        <v>106</v>
      </c>
      <c r="M130" s="2620" t="s">
        <v>93</v>
      </c>
      <c r="N130" s="3016" t="str">
        <f>IF(Z130="","",INDEX(TERRITORY_MR_LIST,MATCH(Z130,TERRITORY_LIST_ID,0)))</f>
        <v>Территория 4</v>
      </c>
      <c r="O130" s="2697" t="s">
        <v>63</v>
      </c>
      <c r="P130" s="2620"/>
      <c r="Q130" s="2620" t="s">
        <v>101</v>
      </c>
      <c r="R130" s="3014" t="s">
        <v>330</v>
      </c>
      <c r="S130" s="2918" t="s">
        <v>19</v>
      </c>
      <c r="T130" s="2314"/>
      <c r="U130" s="2314" t="s">
        <v>101</v>
      </c>
      <c r="V130" s="1946"/>
      <c r="W130" s="3013"/>
      <c r="X130" s="15691"/>
      <c r="Y130" s="1779"/>
      <c r="Z130" s="1779" t="s">
        <v>116</v>
      </c>
      <c r="AA130" s="1779"/>
      <c r="AB130" s="1779"/>
      <c r="AC130" s="15705" t="s">
        <v>317</v>
      </c>
      <c r="AD130" s="15705" t="s">
        <v>318</v>
      </c>
      <c r="AE130" s="1779" t="s">
        <v>331</v>
      </c>
      <c r="AF130" s="1779" t="s">
        <v>332</v>
      </c>
      <c r="AG130" s="1779" t="s">
        <v>333</v>
      </c>
      <c r="AH130" s="1779" t="str">
        <f>IF($E$121=0,"",$E$121)</f>
        <v>Тариф на водоотведение</v>
      </c>
      <c r="AI130" s="1779" t="str">
        <f>IF($G$121=0,"",$G$121)</f>
        <v>Водоотведение</v>
      </c>
      <c r="AJ130" s="1779" t="str">
        <f>IF($J$121=0,"",$J$121)</f>
        <v>Тариф на водоотведение для потребителей КГУП "Примтеплоэнерго"</v>
      </c>
      <c r="AK130" s="1779" t="str">
        <f>IF($K$130="нет","без дифференциации",IF($N$130=0,"",$N$130))</f>
        <v>Территория 4</v>
      </c>
      <c r="AL130" s="2356" t="str">
        <f>IF($O$130="нет","без дифференциации",IF($R$130=0,"",$R$130))</f>
        <v>с. Барабаш, с. Занадворовка</v>
      </c>
      <c r="AM130" s="2356"/>
      <c r="AN130" s="1779">
        <f>$I$121</f>
        <v>1</v>
      </c>
      <c r="AO130" s="1779" t="str">
        <f>$I$121&amp;"."&amp;$M$130</f>
        <v>1.4</v>
      </c>
      <c r="AP130" s="1779" t="str">
        <f>$I$121&amp;"."&amp;$M$130&amp;"."&amp;$Q$130</f>
        <v>1.4.1</v>
      </c>
      <c r="AQ130" s="1779"/>
      <c r="AR130" s="15691"/>
    </row>
    <row customHeight="1" ht="17.25">
      <c r="A131" s="2352"/>
      <c r="B131" s="15691"/>
      <c r="C131" s="2357"/>
      <c r="D131" s="2342"/>
      <c r="E131" s="2359"/>
      <c r="F131" s="2296"/>
      <c r="G131" s="2360"/>
      <c r="H131" s="2342"/>
      <c r="I131" s="2342"/>
      <c r="J131" s="2363"/>
      <c r="K131" s="2360"/>
      <c r="L131" s="2620"/>
      <c r="M131" s="2620"/>
      <c r="N131" s="3016"/>
      <c r="O131" s="2698"/>
      <c r="P131" s="2620"/>
      <c r="Q131" s="2620"/>
      <c r="R131" s="3014"/>
      <c r="S131" s="2918"/>
      <c r="T131" s="1947"/>
      <c r="U131" s="1948"/>
      <c r="V131" s="1948"/>
      <c r="W131" s="3013"/>
      <c r="X131" s="15691"/>
      <c r="Y131" s="1771"/>
      <c r="Z131" s="1771"/>
      <c r="AA131" s="1771"/>
      <c r="AB131" s="1771"/>
      <c r="AC131" s="1771"/>
      <c r="AD131" s="1771"/>
      <c r="AE131" s="1771"/>
      <c r="AF131" s="1771"/>
      <c r="AG131" s="1771"/>
      <c r="AH131" s="1771"/>
      <c r="AI131" s="1771"/>
      <c r="AJ131" s="1771"/>
      <c r="AK131" s="1771"/>
      <c r="AL131" s="15691"/>
      <c r="AM131" s="15691"/>
      <c r="AN131" s="15691"/>
      <c r="AO131" s="15691"/>
      <c r="AP131" s="15691"/>
      <c r="AQ131" s="15691"/>
      <c r="AR131" s="15691"/>
    </row>
    <row customHeight="1" ht="17.25">
      <c r="A132" s="2352"/>
      <c r="B132" s="15691"/>
      <c r="C132" s="2354"/>
      <c r="D132" s="2342"/>
      <c r="E132" s="2359"/>
      <c r="F132" s="2296"/>
      <c r="G132" s="2360"/>
      <c r="H132" s="2342"/>
      <c r="I132" s="2342"/>
      <c r="J132" s="2363"/>
      <c r="K132" s="2360"/>
      <c r="L132" s="2342"/>
      <c r="M132" s="2342"/>
      <c r="N132" s="2560"/>
      <c r="O132" s="2299"/>
      <c r="P132" s="2620" t="s">
        <v>106</v>
      </c>
      <c r="Q132" s="2620" t="s">
        <v>105</v>
      </c>
      <c r="R132" s="3014" t="s">
        <v>334</v>
      </c>
      <c r="S132" s="2918" t="s">
        <v>19</v>
      </c>
      <c r="T132" s="2314"/>
      <c r="U132" s="2314" t="s">
        <v>101</v>
      </c>
      <c r="V132" s="1946"/>
      <c r="W132" s="3013"/>
      <c r="X132" s="15691"/>
      <c r="Y132" s="1779"/>
      <c r="Z132" s="1779"/>
      <c r="AA132" s="1779"/>
      <c r="AB132" s="1779"/>
      <c r="AC132" s="15705" t="s">
        <v>317</v>
      </c>
      <c r="AD132" s="15705" t="s">
        <v>318</v>
      </c>
      <c r="AE132" s="15705" t="s">
        <v>331</v>
      </c>
      <c r="AF132" s="1779" t="s">
        <v>335</v>
      </c>
      <c r="AG132" s="1779" t="s">
        <v>336</v>
      </c>
      <c r="AH132" s="1779" t="str">
        <f>IF($E$121=0,"",$E$121)</f>
        <v>Тариф на водоотведение</v>
      </c>
      <c r="AI132" s="1779" t="str">
        <f>IF($G$121=0,"",$G$121)</f>
        <v>Водоотведение</v>
      </c>
      <c r="AJ132" s="1779" t="str">
        <f>IF($J$121=0,"",$J$121)</f>
        <v>Тариф на водоотведение для потребителей КГУП "Примтеплоэнерго"</v>
      </c>
      <c r="AK132" s="1779" t="str">
        <f>IF($K$130="нет","без дифференциации",IF($N$130=0,"",$N$130))</f>
        <v>Территория 4</v>
      </c>
      <c r="AL132" s="2356" t="str">
        <f>IF($O$132="нет","без дифференциации",IF($R$132=0,"",$R$132))</f>
        <v>с. Безверхово, с. Перевозная</v>
      </c>
      <c r="AM132" s="2356"/>
      <c r="AN132" s="1779">
        <f>$I$121</f>
        <v>1</v>
      </c>
      <c r="AO132" s="1779" t="str">
        <f>$I$121&amp;"."&amp;$M$130</f>
        <v>1.4</v>
      </c>
      <c r="AP132" s="1779" t="str">
        <f>$I$121&amp;"."&amp;$M$130&amp;"."&amp;$Q$132</f>
        <v>1.4.2</v>
      </c>
      <c r="AQ132" s="1779"/>
      <c r="AR132" s="15691"/>
    </row>
    <row customHeight="1" ht="17.25">
      <c r="A133" s="2352"/>
      <c r="B133" s="15691"/>
      <c r="C133" s="2357"/>
      <c r="D133" s="2342"/>
      <c r="E133" s="2359"/>
      <c r="F133" s="2296"/>
      <c r="G133" s="2360"/>
      <c r="H133" s="2342"/>
      <c r="I133" s="2342"/>
      <c r="J133" s="2363"/>
      <c r="K133" s="2360"/>
      <c r="L133" s="2342"/>
      <c r="M133" s="2342"/>
      <c r="N133" s="2560"/>
      <c r="O133" s="2299"/>
      <c r="P133" s="2620"/>
      <c r="Q133" s="2620"/>
      <c r="R133" s="3014"/>
      <c r="S133" s="2918"/>
      <c r="T133" s="1947"/>
      <c r="U133" s="1948"/>
      <c r="V133" s="1948"/>
      <c r="W133" s="3013"/>
      <c r="X133" s="15691"/>
      <c r="Y133" s="1771"/>
      <c r="Z133" s="1771"/>
      <c r="AA133" s="1771"/>
      <c r="AB133" s="1771"/>
      <c r="AC133" s="1771"/>
      <c r="AD133" s="1771"/>
      <c r="AE133" s="1771"/>
      <c r="AF133" s="1771"/>
      <c r="AG133" s="1771"/>
      <c r="AH133" s="1771"/>
      <c r="AI133" s="1771"/>
      <c r="AJ133" s="1771"/>
      <c r="AK133" s="1771"/>
      <c r="AL133" s="15691"/>
      <c r="AM133" s="15691"/>
      <c r="AN133" s="15691"/>
      <c r="AO133" s="15691"/>
      <c r="AP133" s="15691"/>
      <c r="AQ133" s="15691"/>
      <c r="AR133" s="15691"/>
    </row>
    <row customHeight="1" ht="17.25">
      <c r="A134" s="2352"/>
      <c r="B134" s="15691"/>
      <c r="C134" s="2354"/>
      <c r="D134" s="2342"/>
      <c r="E134" s="2359"/>
      <c r="F134" s="2296"/>
      <c r="G134" s="2360"/>
      <c r="H134" s="2342"/>
      <c r="I134" s="2342"/>
      <c r="J134" s="2363"/>
      <c r="K134" s="2360"/>
      <c r="L134" s="2342"/>
      <c r="M134" s="2342"/>
      <c r="N134" s="2560"/>
      <c r="O134" s="2299"/>
      <c r="P134" s="2620" t="s">
        <v>106</v>
      </c>
      <c r="Q134" s="2620" t="s">
        <v>92</v>
      </c>
      <c r="R134" s="3014" t="s">
        <v>337</v>
      </c>
      <c r="S134" s="2918" t="s">
        <v>19</v>
      </c>
      <c r="T134" s="2314"/>
      <c r="U134" s="2314" t="s">
        <v>101</v>
      </c>
      <c r="V134" s="1946"/>
      <c r="W134" s="3013"/>
      <c r="X134" s="15691"/>
      <c r="Y134" s="1779"/>
      <c r="Z134" s="1779"/>
      <c r="AA134" s="1779"/>
      <c r="AB134" s="1779"/>
      <c r="AC134" s="15705" t="s">
        <v>317</v>
      </c>
      <c r="AD134" s="15705" t="s">
        <v>318</v>
      </c>
      <c r="AE134" s="15705" t="s">
        <v>331</v>
      </c>
      <c r="AF134" s="1779" t="s">
        <v>338</v>
      </c>
      <c r="AG134" s="1779" t="s">
        <v>339</v>
      </c>
      <c r="AH134" s="1779" t="str">
        <f>IF($E$121=0,"",$E$121)</f>
        <v>Тариф на водоотведение</v>
      </c>
      <c r="AI134" s="1779" t="str">
        <f>IF($G$121=0,"",$G$121)</f>
        <v>Водоотведение</v>
      </c>
      <c r="AJ134" s="1779" t="str">
        <f>IF($J$121=0,"",$J$121)</f>
        <v>Тариф на водоотведение для потребителей КГУП "Примтеплоэнерго"</v>
      </c>
      <c r="AK134" s="1779" t="str">
        <f>IF($K$130="нет","без дифференциации",IF($N$130=0,"",$N$130))</f>
        <v>Территория 4</v>
      </c>
      <c r="AL134" s="2356" t="str">
        <f>IF($O$134="нет","без дифференциации",IF($R$134=0,"",$R$134))</f>
        <v>пгт. Краскино</v>
      </c>
      <c r="AM134" s="2356"/>
      <c r="AN134" s="1779">
        <f>$I$121</f>
        <v>1</v>
      </c>
      <c r="AO134" s="1779" t="str">
        <f>$I$121&amp;"."&amp;$M$130</f>
        <v>1.4</v>
      </c>
      <c r="AP134" s="1779" t="str">
        <f>$I$121&amp;"."&amp;$M$130&amp;"."&amp;$Q$134</f>
        <v>1.4.3</v>
      </c>
      <c r="AQ134" s="1779"/>
      <c r="AR134" s="15691"/>
    </row>
    <row customHeight="1" ht="17.25">
      <c r="A135" s="2352"/>
      <c r="B135" s="15691"/>
      <c r="C135" s="2357"/>
      <c r="D135" s="2342"/>
      <c r="E135" s="2359"/>
      <c r="F135" s="2296"/>
      <c r="G135" s="2360"/>
      <c r="H135" s="2342"/>
      <c r="I135" s="2342"/>
      <c r="J135" s="2363"/>
      <c r="K135" s="2360"/>
      <c r="L135" s="2342"/>
      <c r="M135" s="2342"/>
      <c r="N135" s="2560"/>
      <c r="O135" s="2299"/>
      <c r="P135" s="2620"/>
      <c r="Q135" s="2620"/>
      <c r="R135" s="3014"/>
      <c r="S135" s="2918"/>
      <c r="T135" s="1947"/>
      <c r="U135" s="1948"/>
      <c r="V135" s="1948"/>
      <c r="W135" s="3013"/>
      <c r="X135" s="15691"/>
      <c r="Y135" s="1771"/>
      <c r="Z135" s="1771"/>
      <c r="AA135" s="1771"/>
      <c r="AB135" s="1771"/>
      <c r="AC135" s="1771"/>
      <c r="AD135" s="1771"/>
      <c r="AE135" s="1771"/>
      <c r="AF135" s="1771"/>
      <c r="AG135" s="1771"/>
      <c r="AH135" s="1771"/>
      <c r="AI135" s="1771"/>
      <c r="AJ135" s="1771"/>
      <c r="AK135" s="1771"/>
      <c r="AL135" s="15691"/>
      <c r="AM135" s="15691"/>
      <c r="AN135" s="15691"/>
      <c r="AO135" s="15691"/>
      <c r="AP135" s="15691"/>
      <c r="AQ135" s="15691"/>
      <c r="AR135" s="15691"/>
    </row>
    <row customHeight="1" ht="17.25">
      <c r="A136" s="2352"/>
      <c r="B136" s="15691"/>
      <c r="C136" s="2354"/>
      <c r="D136" s="2342"/>
      <c r="E136" s="2359"/>
      <c r="F136" s="2296"/>
      <c r="G136" s="2360"/>
      <c r="H136" s="2342"/>
      <c r="I136" s="2342"/>
      <c r="J136" s="2363"/>
      <c r="K136" s="2360"/>
      <c r="L136" s="2342"/>
      <c r="M136" s="2342"/>
      <c r="N136" s="2560"/>
      <c r="O136" s="2299"/>
      <c r="P136" s="2620" t="s">
        <v>106</v>
      </c>
      <c r="Q136" s="2620" t="s">
        <v>93</v>
      </c>
      <c r="R136" s="3014" t="s">
        <v>340</v>
      </c>
      <c r="S136" s="2918" t="s">
        <v>19</v>
      </c>
      <c r="T136" s="2314"/>
      <c r="U136" s="2314" t="s">
        <v>101</v>
      </c>
      <c r="V136" s="1946"/>
      <c r="W136" s="3013"/>
      <c r="X136" s="15691"/>
      <c r="Y136" s="1779"/>
      <c r="Z136" s="1779"/>
      <c r="AA136" s="1779"/>
      <c r="AB136" s="1779"/>
      <c r="AC136" s="15705" t="s">
        <v>317</v>
      </c>
      <c r="AD136" s="15705" t="s">
        <v>318</v>
      </c>
      <c r="AE136" s="15705" t="s">
        <v>331</v>
      </c>
      <c r="AF136" s="1779" t="s">
        <v>341</v>
      </c>
      <c r="AG136" s="1779" t="s">
        <v>342</v>
      </c>
      <c r="AH136" s="1779" t="str">
        <f>IF($E$121=0,"",$E$121)</f>
        <v>Тариф на водоотведение</v>
      </c>
      <c r="AI136" s="1779" t="str">
        <f>IF($G$121=0,"",$G$121)</f>
        <v>Водоотведение</v>
      </c>
      <c r="AJ136" s="1779" t="str">
        <f>IF($J$121=0,"",$J$121)</f>
        <v>Тариф на водоотведение для потребителей КГУП "Примтеплоэнерго"</v>
      </c>
      <c r="AK136" s="1779" t="str">
        <f>IF($K$130="нет","без дифференциации",IF($N$130=0,"",$N$130))</f>
        <v>Территория 4</v>
      </c>
      <c r="AL136" s="2356" t="str">
        <f>IF($O$136="нет","без дифференциации",IF($R$136=0,"",$R$136))</f>
        <v>пгт. Посьет</v>
      </c>
      <c r="AM136" s="2356"/>
      <c r="AN136" s="1779">
        <f>$I$121</f>
        <v>1</v>
      </c>
      <c r="AO136" s="1779" t="str">
        <f>$I$121&amp;"."&amp;$M$130</f>
        <v>1.4</v>
      </c>
      <c r="AP136" s="1779" t="str">
        <f>$I$121&amp;"."&amp;$M$130&amp;"."&amp;$Q$136</f>
        <v>1.4.4</v>
      </c>
      <c r="AQ136" s="1779"/>
      <c r="AR136" s="15691"/>
    </row>
    <row customHeight="1" ht="17.25">
      <c r="A137" s="2352"/>
      <c r="B137" s="15691"/>
      <c r="C137" s="2357"/>
      <c r="D137" s="2342"/>
      <c r="E137" s="2359"/>
      <c r="F137" s="2296"/>
      <c r="G137" s="2360"/>
      <c r="H137" s="2342"/>
      <c r="I137" s="2342"/>
      <c r="J137" s="2363"/>
      <c r="K137" s="2360"/>
      <c r="L137" s="2342"/>
      <c r="M137" s="2342"/>
      <c r="N137" s="2560"/>
      <c r="O137" s="2299"/>
      <c r="P137" s="2620"/>
      <c r="Q137" s="2620"/>
      <c r="R137" s="3014"/>
      <c r="S137" s="2918"/>
      <c r="T137" s="1947"/>
      <c r="U137" s="1948"/>
      <c r="V137" s="1948"/>
      <c r="W137" s="3013"/>
      <c r="X137" s="15691"/>
      <c r="Y137" s="1771"/>
      <c r="Z137" s="1771"/>
      <c r="AA137" s="1771"/>
      <c r="AB137" s="1771"/>
      <c r="AC137" s="1771"/>
      <c r="AD137" s="1771"/>
      <c r="AE137" s="1771"/>
      <c r="AF137" s="1771"/>
      <c r="AG137" s="1771"/>
      <c r="AH137" s="1771"/>
      <c r="AI137" s="1771"/>
      <c r="AJ137" s="1771"/>
      <c r="AK137" s="1771"/>
      <c r="AL137" s="15691"/>
      <c r="AM137" s="15691"/>
      <c r="AN137" s="15691"/>
      <c r="AO137" s="15691"/>
      <c r="AP137" s="15691"/>
      <c r="AQ137" s="15691"/>
      <c r="AR137" s="15691"/>
    </row>
    <row customHeight="1" ht="17.25">
      <c r="A138" s="2352"/>
      <c r="B138" s="15691"/>
      <c r="C138" s="2354"/>
      <c r="D138" s="2342"/>
      <c r="E138" s="2359"/>
      <c r="F138" s="2296"/>
      <c r="G138" s="2360"/>
      <c r="H138" s="2342"/>
      <c r="I138" s="2342"/>
      <c r="J138" s="2363"/>
      <c r="K138" s="2360"/>
      <c r="L138" s="2342"/>
      <c r="M138" s="2342"/>
      <c r="N138" s="2560"/>
      <c r="O138" s="2299"/>
      <c r="P138" s="2620" t="s">
        <v>106</v>
      </c>
      <c r="Q138" s="2620" t="s">
        <v>120</v>
      </c>
      <c r="R138" s="3014" t="s">
        <v>343</v>
      </c>
      <c r="S138" s="2918" t="s">
        <v>19</v>
      </c>
      <c r="T138" s="2314"/>
      <c r="U138" s="2314" t="s">
        <v>101</v>
      </c>
      <c r="V138" s="1946"/>
      <c r="W138" s="3013"/>
      <c r="X138" s="15691"/>
      <c r="Y138" s="1779"/>
      <c r="Z138" s="1779"/>
      <c r="AA138" s="1779"/>
      <c r="AB138" s="1779"/>
      <c r="AC138" s="15705" t="s">
        <v>317</v>
      </c>
      <c r="AD138" s="15705" t="s">
        <v>318</v>
      </c>
      <c r="AE138" s="15705" t="s">
        <v>331</v>
      </c>
      <c r="AF138" s="1779" t="s">
        <v>344</v>
      </c>
      <c r="AG138" s="1779" t="s">
        <v>345</v>
      </c>
      <c r="AH138" s="1779" t="str">
        <f>IF($E$121=0,"",$E$121)</f>
        <v>Тариф на водоотведение</v>
      </c>
      <c r="AI138" s="1779" t="str">
        <f>IF($G$121=0,"",$G$121)</f>
        <v>Водоотведение</v>
      </c>
      <c r="AJ138" s="1779" t="str">
        <f>IF($J$121=0,"",$J$121)</f>
        <v>Тариф на водоотведение для потребителей КГУП "Примтеплоэнерго"</v>
      </c>
      <c r="AK138" s="1779" t="str">
        <f>IF($K$130="нет","без дифференциации",IF($N$130=0,"",$N$130))</f>
        <v>Территория 4</v>
      </c>
      <c r="AL138" s="2356" t="str">
        <f>IF($O$138="нет","без дифференциации",IF($R$138=0,"",$R$138))</f>
        <v>пгт. Приморский</v>
      </c>
      <c r="AM138" s="2356"/>
      <c r="AN138" s="1779">
        <f>$I$121</f>
        <v>1</v>
      </c>
      <c r="AO138" s="1779" t="str">
        <f>$I$121&amp;"."&amp;$M$130</f>
        <v>1.4</v>
      </c>
      <c r="AP138" s="1779" t="str">
        <f>$I$121&amp;"."&amp;$M$130&amp;"."&amp;$Q$138</f>
        <v>1.4.5</v>
      </c>
      <c r="AQ138" s="1779"/>
      <c r="AR138" s="15691"/>
    </row>
    <row customHeight="1" ht="17.25">
      <c r="A139" s="2352"/>
      <c r="B139" s="15691"/>
      <c r="C139" s="2357"/>
      <c r="D139" s="2342"/>
      <c r="E139" s="2359"/>
      <c r="F139" s="2296"/>
      <c r="G139" s="2360"/>
      <c r="H139" s="2342"/>
      <c r="I139" s="2342"/>
      <c r="J139" s="2363"/>
      <c r="K139" s="2360"/>
      <c r="L139" s="2342"/>
      <c r="M139" s="2342"/>
      <c r="N139" s="2560"/>
      <c r="O139" s="2299"/>
      <c r="P139" s="2620"/>
      <c r="Q139" s="2620"/>
      <c r="R139" s="3014"/>
      <c r="S139" s="2918"/>
      <c r="T139" s="1947"/>
      <c r="U139" s="1948"/>
      <c r="V139" s="1948"/>
      <c r="W139" s="3013"/>
      <c r="X139" s="15691"/>
      <c r="Y139" s="1771"/>
      <c r="Z139" s="1771"/>
      <c r="AA139" s="1771"/>
      <c r="AB139" s="1771"/>
      <c r="AC139" s="1771"/>
      <c r="AD139" s="1771"/>
      <c r="AE139" s="1771"/>
      <c r="AF139" s="1771"/>
      <c r="AG139" s="1771"/>
      <c r="AH139" s="1771"/>
      <c r="AI139" s="1771"/>
      <c r="AJ139" s="1771"/>
      <c r="AK139" s="1771"/>
      <c r="AL139" s="15691"/>
      <c r="AM139" s="15691"/>
      <c r="AN139" s="15691"/>
      <c r="AO139" s="15691"/>
      <c r="AP139" s="15691"/>
      <c r="AQ139" s="15691"/>
      <c r="AR139" s="15691"/>
    </row>
    <row customHeight="1" ht="17.25">
      <c r="A140" s="2352"/>
      <c r="B140" s="15691"/>
      <c r="C140" s="2357"/>
      <c r="D140" s="2342"/>
      <c r="E140" s="2359"/>
      <c r="F140" s="2296"/>
      <c r="G140" s="2360"/>
      <c r="H140" s="2342"/>
      <c r="I140" s="2342"/>
      <c r="J140" s="2363"/>
      <c r="K140" s="2360"/>
      <c r="L140" s="3015"/>
      <c r="M140" s="3015"/>
      <c r="N140" s="3017"/>
      <c r="O140" s="2624"/>
      <c r="P140" s="829"/>
      <c r="Q140" s="830"/>
      <c r="R140" s="830" t="s">
        <v>321</v>
      </c>
      <c r="S140" s="2358"/>
      <c r="T140" s="2358"/>
      <c r="U140" s="2358"/>
      <c r="V140" s="2358"/>
      <c r="W140" s="1945"/>
      <c r="X140" s="15691"/>
      <c r="Y140" s="1771"/>
      <c r="Z140" s="1771"/>
      <c r="AA140" s="1771"/>
      <c r="AB140" s="1771"/>
      <c r="AC140" s="1771"/>
      <c r="AD140" s="1771"/>
      <c r="AE140" s="1771"/>
      <c r="AF140" s="1771"/>
      <c r="AG140" s="1771"/>
      <c r="AH140" s="1771"/>
      <c r="AI140" s="1771"/>
      <c r="AJ140" s="1771"/>
      <c r="AK140" s="1771"/>
      <c r="AL140" s="15691"/>
      <c r="AM140" s="15691"/>
      <c r="AN140" s="15691"/>
      <c r="AO140" s="15691"/>
      <c r="AP140" s="15691"/>
      <c r="AQ140" s="15691"/>
      <c r="AR140" s="15691"/>
    </row>
    <row customHeight="1" ht="17.25">
      <c r="A141" s="2352"/>
      <c r="B141" s="15691"/>
      <c r="C141" s="2354"/>
      <c r="D141" s="2342"/>
      <c r="E141" s="2359"/>
      <c r="F141" s="2296"/>
      <c r="G141" s="2360"/>
      <c r="H141" s="2342"/>
      <c r="I141" s="2342"/>
      <c r="J141" s="2363"/>
      <c r="K141" s="2360"/>
      <c r="L141" s="2620" t="s">
        <v>106</v>
      </c>
      <c r="M141" s="2620" t="s">
        <v>120</v>
      </c>
      <c r="N141" s="3016" t="str">
        <f>IF(Z141="","",INDEX(TERRITORY_MR_LIST,MATCH(Z141,TERRITORY_LIST_ID,0)))</f>
        <v>Территория 5</v>
      </c>
      <c r="O141" s="2697" t="s">
        <v>63</v>
      </c>
      <c r="P141" s="2620"/>
      <c r="Q141" s="2620" t="s">
        <v>101</v>
      </c>
      <c r="R141" s="3014" t="s">
        <v>346</v>
      </c>
      <c r="S141" s="2918" t="s">
        <v>19</v>
      </c>
      <c r="T141" s="2314"/>
      <c r="U141" s="2314" t="s">
        <v>101</v>
      </c>
      <c r="V141" s="1946"/>
      <c r="W141" s="3013"/>
      <c r="X141" s="15691"/>
      <c r="Y141" s="1779"/>
      <c r="Z141" s="1779" t="s">
        <v>121</v>
      </c>
      <c r="AA141" s="1779"/>
      <c r="AB141" s="1779"/>
      <c r="AC141" s="15705" t="s">
        <v>317</v>
      </c>
      <c r="AD141" s="15705" t="s">
        <v>318</v>
      </c>
      <c r="AE141" s="1779" t="s">
        <v>347</v>
      </c>
      <c r="AF141" s="1779" t="s">
        <v>348</v>
      </c>
      <c r="AG141" s="1779" t="s">
        <v>349</v>
      </c>
      <c r="AH141" s="1779" t="str">
        <f>IF($E$121=0,"",$E$121)</f>
        <v>Тариф на водоотведение</v>
      </c>
      <c r="AI141" s="1779" t="str">
        <f>IF($G$121=0,"",$G$121)</f>
        <v>Водоотведение</v>
      </c>
      <c r="AJ141" s="1779" t="str">
        <f>IF($J$121=0,"",$J$121)</f>
        <v>Тариф на водоотведение для потребителей КГУП "Примтеплоэнерго"</v>
      </c>
      <c r="AK141" s="1779" t="str">
        <f>IF($K$141="нет","без дифференциации",IF($N$141=0,"",$N$141))</f>
        <v>Территория 5</v>
      </c>
      <c r="AL141" s="2356" t="str">
        <f>IF($O$141="нет","без дифференциации",IF($R$141=0,"",$R$141))</f>
        <v>с. Дмитриевка, с. Майское</v>
      </c>
      <c r="AM141" s="2356"/>
      <c r="AN141" s="1779">
        <f>$I$121</f>
        <v>1</v>
      </c>
      <c r="AO141" s="1779" t="str">
        <f>$I$121&amp;"."&amp;$M$141</f>
        <v>1.5</v>
      </c>
      <c r="AP141" s="1779" t="str">
        <f>$I$121&amp;"."&amp;$M$141&amp;"."&amp;$Q$141</f>
        <v>1.5.1</v>
      </c>
      <c r="AQ141" s="1779"/>
      <c r="AR141" s="15691"/>
    </row>
    <row customHeight="1" ht="17.25">
      <c r="A142" s="2352"/>
      <c r="B142" s="15691"/>
      <c r="C142" s="2357"/>
      <c r="D142" s="2342"/>
      <c r="E142" s="2359"/>
      <c r="F142" s="2296"/>
      <c r="G142" s="2360"/>
      <c r="H142" s="2342"/>
      <c r="I142" s="2342"/>
      <c r="J142" s="2363"/>
      <c r="K142" s="2360"/>
      <c r="L142" s="2620"/>
      <c r="M142" s="2620"/>
      <c r="N142" s="3016"/>
      <c r="O142" s="2698"/>
      <c r="P142" s="2620"/>
      <c r="Q142" s="2620"/>
      <c r="R142" s="3014"/>
      <c r="S142" s="2918"/>
      <c r="T142" s="1947"/>
      <c r="U142" s="1948"/>
      <c r="V142" s="1948"/>
      <c r="W142" s="3013"/>
      <c r="X142" s="15691"/>
      <c r="Y142" s="1771"/>
      <c r="Z142" s="1771"/>
      <c r="AA142" s="1771"/>
      <c r="AB142" s="1771"/>
      <c r="AC142" s="1771"/>
      <c r="AD142" s="1771"/>
      <c r="AE142" s="1771"/>
      <c r="AF142" s="1771"/>
      <c r="AG142" s="1771"/>
      <c r="AH142" s="1771"/>
      <c r="AI142" s="1771"/>
      <c r="AJ142" s="1771"/>
      <c r="AK142" s="1771"/>
      <c r="AL142" s="15691"/>
      <c r="AM142" s="15691"/>
      <c r="AN142" s="15691"/>
      <c r="AO142" s="15691"/>
      <c r="AP142" s="15691"/>
      <c r="AQ142" s="15691"/>
      <c r="AR142" s="15691"/>
    </row>
    <row customHeight="1" ht="17.25">
      <c r="A143" s="2352"/>
      <c r="B143" s="15691"/>
      <c r="C143" s="2357"/>
      <c r="D143" s="2342"/>
      <c r="E143" s="2359"/>
      <c r="F143" s="2296"/>
      <c r="G143" s="2360"/>
      <c r="H143" s="2342"/>
      <c r="I143" s="2342"/>
      <c r="J143" s="2363"/>
      <c r="K143" s="2360"/>
      <c r="L143" s="3015"/>
      <c r="M143" s="3015"/>
      <c r="N143" s="3017"/>
      <c r="O143" s="2624"/>
      <c r="P143" s="829"/>
      <c r="Q143" s="830"/>
      <c r="R143" s="830" t="s">
        <v>321</v>
      </c>
      <c r="S143" s="2358"/>
      <c r="T143" s="2358"/>
      <c r="U143" s="2358"/>
      <c r="V143" s="2358"/>
      <c r="W143" s="1945"/>
      <c r="X143" s="15691"/>
      <c r="Y143" s="1771"/>
      <c r="Z143" s="1771"/>
      <c r="AA143" s="1771"/>
      <c r="AB143" s="1771"/>
      <c r="AC143" s="1771"/>
      <c r="AD143" s="1771"/>
      <c r="AE143" s="1771"/>
      <c r="AF143" s="1771"/>
      <c r="AG143" s="1771"/>
      <c r="AH143" s="1771"/>
      <c r="AI143" s="1771"/>
      <c r="AJ143" s="1771"/>
      <c r="AK143" s="1771"/>
      <c r="AL143" s="15691"/>
      <c r="AM143" s="15691"/>
      <c r="AN143" s="15691"/>
      <c r="AO143" s="15691"/>
      <c r="AP143" s="15691"/>
      <c r="AQ143" s="15691"/>
      <c r="AR143" s="15691"/>
    </row>
    <row customHeight="1" ht="17.25">
      <c r="A144" s="2352"/>
      <c r="B144" s="15691"/>
      <c r="C144" s="2354"/>
      <c r="D144" s="2342"/>
      <c r="E144" s="2359"/>
      <c r="F144" s="2296"/>
      <c r="G144" s="2360"/>
      <c r="H144" s="2342"/>
      <c r="I144" s="2342"/>
      <c r="J144" s="2363"/>
      <c r="K144" s="2360"/>
      <c r="L144" s="2620" t="s">
        <v>106</v>
      </c>
      <c r="M144" s="2620" t="s">
        <v>94</v>
      </c>
      <c r="N144" s="3016" t="str">
        <f>IF(Z144="","",INDEX(TERRITORY_MR_LIST,MATCH(Z144,TERRITORY_LIST_ID,0)))</f>
        <v>Территория 6</v>
      </c>
      <c r="O144" s="2697" t="s">
        <v>63</v>
      </c>
      <c r="P144" s="2620"/>
      <c r="Q144" s="2620" t="s">
        <v>101</v>
      </c>
      <c r="R144" s="3014" t="s">
        <v>350</v>
      </c>
      <c r="S144" s="2918" t="s">
        <v>19</v>
      </c>
      <c r="T144" s="2314"/>
      <c r="U144" s="2314" t="s">
        <v>101</v>
      </c>
      <c r="V144" s="1946"/>
      <c r="W144" s="3013"/>
      <c r="X144" s="15691"/>
      <c r="Y144" s="1779"/>
      <c r="Z144" s="1779" t="s">
        <v>126</v>
      </c>
      <c r="AA144" s="1779"/>
      <c r="AB144" s="1779"/>
      <c r="AC144" s="15705" t="s">
        <v>317</v>
      </c>
      <c r="AD144" s="15705" t="s">
        <v>318</v>
      </c>
      <c r="AE144" s="1779" t="s">
        <v>351</v>
      </c>
      <c r="AF144" s="1779" t="s">
        <v>352</v>
      </c>
      <c r="AG144" s="1779" t="s">
        <v>353</v>
      </c>
      <c r="AH144" s="1779" t="str">
        <f>IF($E$121=0,"",$E$121)</f>
        <v>Тариф на водоотведение</v>
      </c>
      <c r="AI144" s="1779" t="str">
        <f>IF($G$121=0,"",$G$121)</f>
        <v>Водоотведение</v>
      </c>
      <c r="AJ144" s="1779" t="str">
        <f>IF($J$121=0,"",$J$121)</f>
        <v>Тариф на водоотведение для потребителей КГУП "Примтеплоэнерго"</v>
      </c>
      <c r="AK144" s="1779" t="str">
        <f>IF($K$144="нет","без дифференциации",IF($N$144=0,"",$N$144))</f>
        <v>Территория 6</v>
      </c>
      <c r="AL144" s="2356" t="str">
        <f>IF($O$144="нет","без дифференциации",IF($R$144=0,"",$R$144))</f>
        <v>п. Реттиховка</v>
      </c>
      <c r="AM144" s="2356"/>
      <c r="AN144" s="1779">
        <f>$I$121</f>
        <v>1</v>
      </c>
      <c r="AO144" s="1779" t="str">
        <f>$I$121&amp;"."&amp;$M$144</f>
        <v>1.6</v>
      </c>
      <c r="AP144" s="1779" t="str">
        <f>$I$121&amp;"."&amp;$M$144&amp;"."&amp;$Q$144</f>
        <v>1.6.1</v>
      </c>
      <c r="AQ144" s="1779"/>
      <c r="AR144" s="15691"/>
    </row>
    <row customHeight="1" ht="17.25">
      <c r="A145" s="2352"/>
      <c r="B145" s="15691"/>
      <c r="C145" s="2357"/>
      <c r="D145" s="2342"/>
      <c r="E145" s="2359"/>
      <c r="F145" s="2296"/>
      <c r="G145" s="2360"/>
      <c r="H145" s="2342"/>
      <c r="I145" s="2342"/>
      <c r="J145" s="2363"/>
      <c r="K145" s="2360"/>
      <c r="L145" s="2620"/>
      <c r="M145" s="2620"/>
      <c r="N145" s="3016"/>
      <c r="O145" s="2698"/>
      <c r="P145" s="2620"/>
      <c r="Q145" s="2620"/>
      <c r="R145" s="3014"/>
      <c r="S145" s="2918"/>
      <c r="T145" s="1947"/>
      <c r="U145" s="1948"/>
      <c r="V145" s="1948"/>
      <c r="W145" s="3013"/>
      <c r="X145" s="15691"/>
      <c r="Y145" s="1771"/>
      <c r="Z145" s="1771"/>
      <c r="AA145" s="1771"/>
      <c r="AB145" s="1771"/>
      <c r="AC145" s="1771"/>
      <c r="AD145" s="1771"/>
      <c r="AE145" s="1771"/>
      <c r="AF145" s="1771"/>
      <c r="AG145" s="1771"/>
      <c r="AH145" s="1771"/>
      <c r="AI145" s="1771"/>
      <c r="AJ145" s="1771"/>
      <c r="AK145" s="1771"/>
      <c r="AL145" s="15691"/>
      <c r="AM145" s="15691"/>
      <c r="AN145" s="15691"/>
      <c r="AO145" s="15691"/>
      <c r="AP145" s="15691"/>
      <c r="AQ145" s="15691"/>
      <c r="AR145" s="15691"/>
    </row>
    <row customHeight="1" ht="17.25">
      <c r="A146" s="2352"/>
      <c r="B146" s="15691"/>
      <c r="C146" s="2357"/>
      <c r="D146" s="2342"/>
      <c r="E146" s="2359"/>
      <c r="F146" s="2296"/>
      <c r="G146" s="2360"/>
      <c r="H146" s="2342"/>
      <c r="I146" s="2342"/>
      <c r="J146" s="2363"/>
      <c r="K146" s="2360"/>
      <c r="L146" s="3015"/>
      <c r="M146" s="3015"/>
      <c r="N146" s="3017"/>
      <c r="O146" s="2624"/>
      <c r="P146" s="829"/>
      <c r="Q146" s="830"/>
      <c r="R146" s="830" t="s">
        <v>321</v>
      </c>
      <c r="S146" s="2358"/>
      <c r="T146" s="2358"/>
      <c r="U146" s="2358"/>
      <c r="V146" s="2358"/>
      <c r="W146" s="1945"/>
      <c r="X146" s="15691"/>
      <c r="Y146" s="1771"/>
      <c r="Z146" s="1771"/>
      <c r="AA146" s="1771"/>
      <c r="AB146" s="1771"/>
      <c r="AC146" s="1771"/>
      <c r="AD146" s="1771"/>
      <c r="AE146" s="1771"/>
      <c r="AF146" s="1771"/>
      <c r="AG146" s="1771"/>
      <c r="AH146" s="1771"/>
      <c r="AI146" s="1771"/>
      <c r="AJ146" s="1771"/>
      <c r="AK146" s="1771"/>
      <c r="AL146" s="15691"/>
      <c r="AM146" s="15691"/>
      <c r="AN146" s="15691"/>
      <c r="AO146" s="15691"/>
      <c r="AP146" s="15691"/>
      <c r="AQ146" s="15691"/>
      <c r="AR146" s="15691"/>
    </row>
    <row customHeight="1" ht="17.25">
      <c r="A147" s="2352"/>
      <c r="B147" s="15691"/>
      <c r="C147" s="2354"/>
      <c r="D147" s="2342"/>
      <c r="E147" s="2359"/>
      <c r="F147" s="2296"/>
      <c r="G147" s="2360"/>
      <c r="H147" s="2342"/>
      <c r="I147" s="2342"/>
      <c r="J147" s="2363"/>
      <c r="K147" s="2360"/>
      <c r="L147" s="2620" t="s">
        <v>106</v>
      </c>
      <c r="M147" s="2620" t="s">
        <v>95</v>
      </c>
      <c r="N147" s="3016" t="str">
        <f>IF(Z147="","",INDEX(TERRITORY_MR_LIST,MATCH(Z147,TERRITORY_LIST_ID,0)))</f>
        <v>Территория 7</v>
      </c>
      <c r="O147" s="2697" t="s">
        <v>63</v>
      </c>
      <c r="P147" s="2620"/>
      <c r="Q147" s="2620" t="s">
        <v>101</v>
      </c>
      <c r="R147" s="3014" t="s">
        <v>354</v>
      </c>
      <c r="S147" s="2918" t="s">
        <v>19</v>
      </c>
      <c r="T147" s="2314"/>
      <c r="U147" s="2314" t="s">
        <v>101</v>
      </c>
      <c r="V147" s="1946"/>
      <c r="W147" s="3013"/>
      <c r="X147" s="15691"/>
      <c r="Y147" s="1779"/>
      <c r="Z147" s="1779" t="s">
        <v>130</v>
      </c>
      <c r="AA147" s="1779"/>
      <c r="AB147" s="1779"/>
      <c r="AC147" s="15705" t="s">
        <v>317</v>
      </c>
      <c r="AD147" s="15705" t="s">
        <v>318</v>
      </c>
      <c r="AE147" s="1779" t="s">
        <v>355</v>
      </c>
      <c r="AF147" s="1779" t="s">
        <v>356</v>
      </c>
      <c r="AG147" s="1779" t="s">
        <v>357</v>
      </c>
      <c r="AH147" s="1779" t="str">
        <f>IF($E$121=0,"",$E$121)</f>
        <v>Тариф на водоотведение</v>
      </c>
      <c r="AI147" s="1779" t="str">
        <f>IF($G$121=0,"",$G$121)</f>
        <v>Водоотведение</v>
      </c>
      <c r="AJ147" s="1779" t="str">
        <f>IF($J$121=0,"",$J$121)</f>
        <v>Тариф на водоотведение для потребителей КГУП "Примтеплоэнерго"</v>
      </c>
      <c r="AK147" s="1779" t="str">
        <f>IF($K$147="нет","без дифференциации",IF($N$147=0,"",$N$147))</f>
        <v>Территория 7</v>
      </c>
      <c r="AL147" s="2356" t="str">
        <f>IF($O$147="нет","без дифференциации",IF($R$147=0,"",$R$147))</f>
        <v>с. Снегуровка</v>
      </c>
      <c r="AM147" s="2356"/>
      <c r="AN147" s="1779">
        <f>$I$121</f>
        <v>1</v>
      </c>
      <c r="AO147" s="1779" t="str">
        <f>$I$121&amp;"."&amp;$M$147</f>
        <v>1.7</v>
      </c>
      <c r="AP147" s="1779" t="str">
        <f>$I$121&amp;"."&amp;$M$147&amp;"."&amp;$Q$147</f>
        <v>1.7.1</v>
      </c>
      <c r="AQ147" s="1779"/>
      <c r="AR147" s="15691"/>
    </row>
    <row customHeight="1" ht="17.25">
      <c r="A148" s="2352"/>
      <c r="B148" s="15691"/>
      <c r="C148" s="2357"/>
      <c r="D148" s="2342"/>
      <c r="E148" s="2359"/>
      <c r="F148" s="2296"/>
      <c r="G148" s="2360"/>
      <c r="H148" s="2342"/>
      <c r="I148" s="2342"/>
      <c r="J148" s="2363"/>
      <c r="K148" s="2360"/>
      <c r="L148" s="2620"/>
      <c r="M148" s="2620"/>
      <c r="N148" s="3016"/>
      <c r="O148" s="2698"/>
      <c r="P148" s="2620"/>
      <c r="Q148" s="2620"/>
      <c r="R148" s="3014"/>
      <c r="S148" s="2918"/>
      <c r="T148" s="1947"/>
      <c r="U148" s="1948"/>
      <c r="V148" s="1948"/>
      <c r="W148" s="3013"/>
      <c r="X148" s="15691"/>
      <c r="Y148" s="1771"/>
      <c r="Z148" s="1771"/>
      <c r="AA148" s="1771"/>
      <c r="AB148" s="1771"/>
      <c r="AC148" s="1771"/>
      <c r="AD148" s="1771"/>
      <c r="AE148" s="1771"/>
      <c r="AF148" s="1771"/>
      <c r="AG148" s="1771"/>
      <c r="AH148" s="1771"/>
      <c r="AI148" s="1771"/>
      <c r="AJ148" s="1771"/>
      <c r="AK148" s="1771"/>
      <c r="AL148" s="15691"/>
      <c r="AM148" s="15691"/>
      <c r="AN148" s="15691"/>
      <c r="AO148" s="15691"/>
      <c r="AP148" s="15691"/>
      <c r="AQ148" s="15691"/>
      <c r="AR148" s="15691"/>
    </row>
    <row customHeight="1" ht="17.25">
      <c r="A149" s="2352"/>
      <c r="B149" s="15691"/>
      <c r="C149" s="2357"/>
      <c r="D149" s="2342"/>
      <c r="E149" s="2359"/>
      <c r="F149" s="2296"/>
      <c r="G149" s="2360"/>
      <c r="H149" s="2342"/>
      <c r="I149" s="2342"/>
      <c r="J149" s="2363"/>
      <c r="K149" s="2360"/>
      <c r="L149" s="3015"/>
      <c r="M149" s="3015"/>
      <c r="N149" s="3017"/>
      <c r="O149" s="2624"/>
      <c r="P149" s="829"/>
      <c r="Q149" s="830"/>
      <c r="R149" s="830" t="s">
        <v>321</v>
      </c>
      <c r="S149" s="2358"/>
      <c r="T149" s="2358"/>
      <c r="U149" s="2358"/>
      <c r="V149" s="2358"/>
      <c r="W149" s="1945"/>
      <c r="X149" s="15691"/>
      <c r="Y149" s="1771"/>
      <c r="Z149" s="1771"/>
      <c r="AA149" s="1771"/>
      <c r="AB149" s="1771"/>
      <c r="AC149" s="1771"/>
      <c r="AD149" s="1771"/>
      <c r="AE149" s="1771"/>
      <c r="AF149" s="1771"/>
      <c r="AG149" s="1771"/>
      <c r="AH149" s="1771"/>
      <c r="AI149" s="1771"/>
      <c r="AJ149" s="1771"/>
      <c r="AK149" s="1771"/>
      <c r="AL149" s="15691"/>
      <c r="AM149" s="15691"/>
      <c r="AN149" s="15691"/>
      <c r="AO149" s="15691"/>
      <c r="AP149" s="15691"/>
      <c r="AQ149" s="15691"/>
      <c r="AR149" s="15691"/>
    </row>
    <row customHeight="1" ht="17.25">
      <c r="A150" s="2352"/>
      <c r="B150" s="15691"/>
      <c r="C150" s="2354"/>
      <c r="D150" s="2342"/>
      <c r="E150" s="2359"/>
      <c r="F150" s="2296"/>
      <c r="G150" s="2360"/>
      <c r="H150" s="2342"/>
      <c r="I150" s="2342"/>
      <c r="J150" s="2363"/>
      <c r="K150" s="2360"/>
      <c r="L150" s="2620" t="s">
        <v>106</v>
      </c>
      <c r="M150" s="2620" t="s">
        <v>134</v>
      </c>
      <c r="N150" s="3016" t="str">
        <f>IF(Z150="","",INDEX(TERRITORY_MR_LIST,MATCH(Z150,TERRITORY_LIST_ID,0)))</f>
        <v>Территория 8</v>
      </c>
      <c r="O150" s="2697" t="s">
        <v>63</v>
      </c>
      <c r="P150" s="2620"/>
      <c r="Q150" s="2620" t="s">
        <v>101</v>
      </c>
      <c r="R150" s="3014" t="s">
        <v>358</v>
      </c>
      <c r="S150" s="2918" t="s">
        <v>19</v>
      </c>
      <c r="T150" s="2314"/>
      <c r="U150" s="2314" t="s">
        <v>101</v>
      </c>
      <c r="V150" s="1946"/>
      <c r="W150" s="3013"/>
      <c r="X150" s="15691"/>
      <c r="Y150" s="1779"/>
      <c r="Z150" s="1779" t="s">
        <v>135</v>
      </c>
      <c r="AA150" s="1779"/>
      <c r="AB150" s="1779"/>
      <c r="AC150" s="15705" t="s">
        <v>317</v>
      </c>
      <c r="AD150" s="15705" t="s">
        <v>318</v>
      </c>
      <c r="AE150" s="1779" t="s">
        <v>359</v>
      </c>
      <c r="AF150" s="1779" t="s">
        <v>360</v>
      </c>
      <c r="AG150" s="1779" t="s">
        <v>361</v>
      </c>
      <c r="AH150" s="1779" t="str">
        <f>IF($E$121=0,"",$E$121)</f>
        <v>Тариф на водоотведение</v>
      </c>
      <c r="AI150" s="1779" t="str">
        <f>IF($G$121=0,"",$G$121)</f>
        <v>Водоотведение</v>
      </c>
      <c r="AJ150" s="1779" t="str">
        <f>IF($J$121=0,"",$J$121)</f>
        <v>Тариф на водоотведение для потребителей КГУП "Примтеплоэнерго"</v>
      </c>
      <c r="AK150" s="1779" t="str">
        <f>IF($K$150="нет","без дифференциации",IF($N$150=0,"",$N$150))</f>
        <v>Территория 8</v>
      </c>
      <c r="AL150" s="2356" t="str">
        <f>IF($O$150="нет","без дифференциации",IF($R$150=0,"",$R$150))</f>
        <v>с. Черниговка</v>
      </c>
      <c r="AM150" s="2356"/>
      <c r="AN150" s="1779">
        <f>$I$121</f>
        <v>1</v>
      </c>
      <c r="AO150" s="1779" t="str">
        <f>$I$121&amp;"."&amp;$M$150</f>
        <v>1.8</v>
      </c>
      <c r="AP150" s="1779" t="str">
        <f>$I$121&amp;"."&amp;$M$150&amp;"."&amp;$Q$150</f>
        <v>1.8.1</v>
      </c>
      <c r="AQ150" s="1779"/>
      <c r="AR150" s="15691"/>
    </row>
    <row customHeight="1" ht="17.25">
      <c r="A151" s="2352"/>
      <c r="B151" s="15691"/>
      <c r="C151" s="2357"/>
      <c r="D151" s="2342"/>
      <c r="E151" s="2359"/>
      <c r="F151" s="2296"/>
      <c r="G151" s="2360"/>
      <c r="H151" s="2342"/>
      <c r="I151" s="2342"/>
      <c r="J151" s="2363"/>
      <c r="K151" s="2360"/>
      <c r="L151" s="2620"/>
      <c r="M151" s="2620"/>
      <c r="N151" s="3016"/>
      <c r="O151" s="2698"/>
      <c r="P151" s="2620"/>
      <c r="Q151" s="2620"/>
      <c r="R151" s="3014"/>
      <c r="S151" s="2918"/>
      <c r="T151" s="1947"/>
      <c r="U151" s="1948"/>
      <c r="V151" s="1948"/>
      <c r="W151" s="3013"/>
      <c r="X151" s="15691"/>
      <c r="Y151" s="1771"/>
      <c r="Z151" s="1771"/>
      <c r="AA151" s="1771"/>
      <c r="AB151" s="1771"/>
      <c r="AC151" s="1771"/>
      <c r="AD151" s="1771"/>
      <c r="AE151" s="1771"/>
      <c r="AF151" s="1771"/>
      <c r="AG151" s="1771"/>
      <c r="AH151" s="1771"/>
      <c r="AI151" s="1771"/>
      <c r="AJ151" s="1771"/>
      <c r="AK151" s="1771"/>
      <c r="AL151" s="15691"/>
      <c r="AM151" s="15691"/>
      <c r="AN151" s="15691"/>
      <c r="AO151" s="15691"/>
      <c r="AP151" s="15691"/>
      <c r="AQ151" s="15691"/>
      <c r="AR151" s="15691"/>
    </row>
    <row customHeight="1" ht="17.25">
      <c r="A152" s="2352"/>
      <c r="B152" s="15691"/>
      <c r="C152" s="2357"/>
      <c r="D152" s="2342"/>
      <c r="E152" s="2359"/>
      <c r="F152" s="2296"/>
      <c r="G152" s="2360"/>
      <c r="H152" s="2342"/>
      <c r="I152" s="2342"/>
      <c r="J152" s="2363"/>
      <c r="K152" s="2360"/>
      <c r="L152" s="3015"/>
      <c r="M152" s="3015"/>
      <c r="N152" s="3017"/>
      <c r="O152" s="2624"/>
      <c r="P152" s="829"/>
      <c r="Q152" s="830"/>
      <c r="R152" s="830" t="s">
        <v>321</v>
      </c>
      <c r="S152" s="2358"/>
      <c r="T152" s="2358"/>
      <c r="U152" s="2358"/>
      <c r="V152" s="2358"/>
      <c r="W152" s="1945"/>
      <c r="X152" s="15691"/>
      <c r="Y152" s="1771"/>
      <c r="Z152" s="1771"/>
      <c r="AA152" s="1771"/>
      <c r="AB152" s="1771"/>
      <c r="AC152" s="1771"/>
      <c r="AD152" s="1771"/>
      <c r="AE152" s="1771"/>
      <c r="AF152" s="1771"/>
      <c r="AG152" s="1771"/>
      <c r="AH152" s="1771"/>
      <c r="AI152" s="1771"/>
      <c r="AJ152" s="1771"/>
      <c r="AK152" s="1771"/>
      <c r="AL152" s="15691"/>
      <c r="AM152" s="15691"/>
      <c r="AN152" s="15691"/>
      <c r="AO152" s="15691"/>
      <c r="AP152" s="15691"/>
      <c r="AQ152" s="15691"/>
      <c r="AR152" s="15691"/>
    </row>
    <row customHeight="1" ht="17.25">
      <c r="A153" s="2352"/>
      <c r="B153" s="15691"/>
      <c r="C153" s="2354"/>
      <c r="D153" s="2342"/>
      <c r="E153" s="2359"/>
      <c r="F153" s="2296"/>
      <c r="G153" s="2360"/>
      <c r="H153" s="2342"/>
      <c r="I153" s="2342"/>
      <c r="J153" s="2363"/>
      <c r="K153" s="2360"/>
      <c r="L153" s="2620" t="s">
        <v>106</v>
      </c>
      <c r="M153" s="2620" t="s">
        <v>139</v>
      </c>
      <c r="N153" s="3016" t="str">
        <f>IF(Z153="","",INDEX(TERRITORY_MR_LIST,MATCH(Z153,TERRITORY_LIST_ID,0)))</f>
        <v>Территория 9</v>
      </c>
      <c r="O153" s="2697" t="s">
        <v>63</v>
      </c>
      <c r="P153" s="2620"/>
      <c r="Q153" s="2620" t="s">
        <v>101</v>
      </c>
      <c r="R153" s="3014" t="s">
        <v>362</v>
      </c>
      <c r="S153" s="2918" t="s">
        <v>19</v>
      </c>
      <c r="T153" s="2314"/>
      <c r="U153" s="2314" t="s">
        <v>101</v>
      </c>
      <c r="V153" s="1946"/>
      <c r="W153" s="3013"/>
      <c r="X153" s="15691"/>
      <c r="Y153" s="1779"/>
      <c r="Z153" s="1779" t="s">
        <v>140</v>
      </c>
      <c r="AA153" s="1779"/>
      <c r="AB153" s="1779"/>
      <c r="AC153" s="15705" t="s">
        <v>317</v>
      </c>
      <c r="AD153" s="15705" t="s">
        <v>318</v>
      </c>
      <c r="AE153" s="1779" t="s">
        <v>363</v>
      </c>
      <c r="AF153" s="1779" t="s">
        <v>364</v>
      </c>
      <c r="AG153" s="1779" t="s">
        <v>365</v>
      </c>
      <c r="AH153" s="1779" t="str">
        <f>IF($E$121=0,"",$E$121)</f>
        <v>Тариф на водоотведение</v>
      </c>
      <c r="AI153" s="1779" t="str">
        <f>IF($G$121=0,"",$G$121)</f>
        <v>Водоотведение</v>
      </c>
      <c r="AJ153" s="1779" t="str">
        <f>IF($J$121=0,"",$J$121)</f>
        <v>Тариф на водоотведение для потребителей КГУП "Примтеплоэнерго"</v>
      </c>
      <c r="AK153" s="1779" t="str">
        <f>IF($K$153="нет","без дифференциации",IF($N$153=0,"",$N$153))</f>
        <v>Территория 9</v>
      </c>
      <c r="AL153" s="2356" t="str">
        <f>IF($O$153="нет","без дифференциации",IF($R$153=0,"",$R$153))</f>
        <v>с. Романовка</v>
      </c>
      <c r="AM153" s="2356"/>
      <c r="AN153" s="1779">
        <f>$I$121</f>
        <v>1</v>
      </c>
      <c r="AO153" s="1779" t="str">
        <f>$I$121&amp;"."&amp;$M$153</f>
        <v>1.9</v>
      </c>
      <c r="AP153" s="1779" t="str">
        <f>$I$121&amp;"."&amp;$M$153&amp;"."&amp;$Q$153</f>
        <v>1.9.1</v>
      </c>
      <c r="AQ153" s="1779"/>
      <c r="AR153" s="15691"/>
    </row>
    <row customHeight="1" ht="17.25">
      <c r="A154" s="2352"/>
      <c r="B154" s="15691"/>
      <c r="C154" s="2357"/>
      <c r="D154" s="2342"/>
      <c r="E154" s="2359"/>
      <c r="F154" s="2296"/>
      <c r="G154" s="2360"/>
      <c r="H154" s="2342"/>
      <c r="I154" s="2342"/>
      <c r="J154" s="2363"/>
      <c r="K154" s="2360"/>
      <c r="L154" s="2620"/>
      <c r="M154" s="2620"/>
      <c r="N154" s="3016"/>
      <c r="O154" s="2698"/>
      <c r="P154" s="2620"/>
      <c r="Q154" s="2620"/>
      <c r="R154" s="3014"/>
      <c r="S154" s="2918"/>
      <c r="T154" s="1947"/>
      <c r="U154" s="1948"/>
      <c r="V154" s="1948"/>
      <c r="W154" s="3013"/>
      <c r="X154" s="15691"/>
      <c r="Y154" s="1771"/>
      <c r="Z154" s="1771"/>
      <c r="AA154" s="1771"/>
      <c r="AB154" s="1771"/>
      <c r="AC154" s="1771"/>
      <c r="AD154" s="1771"/>
      <c r="AE154" s="1771"/>
      <c r="AF154" s="1771"/>
      <c r="AG154" s="1771"/>
      <c r="AH154" s="1771"/>
      <c r="AI154" s="1771"/>
      <c r="AJ154" s="1771"/>
      <c r="AK154" s="1771"/>
      <c r="AL154" s="15691"/>
      <c r="AM154" s="15691"/>
      <c r="AN154" s="15691"/>
      <c r="AO154" s="15691"/>
      <c r="AP154" s="15691"/>
      <c r="AQ154" s="15691"/>
      <c r="AR154" s="15691"/>
    </row>
    <row customHeight="1" ht="17.25">
      <c r="A155" s="2352"/>
      <c r="B155" s="15691"/>
      <c r="C155" s="2357"/>
      <c r="D155" s="2342"/>
      <c r="E155" s="2359"/>
      <c r="F155" s="2296"/>
      <c r="G155" s="2360"/>
      <c r="H155" s="2342"/>
      <c r="I155" s="2342"/>
      <c r="J155" s="2363"/>
      <c r="K155" s="2360"/>
      <c r="L155" s="3015"/>
      <c r="M155" s="3015"/>
      <c r="N155" s="3017"/>
      <c r="O155" s="2624"/>
      <c r="P155" s="829"/>
      <c r="Q155" s="830"/>
      <c r="R155" s="830" t="s">
        <v>321</v>
      </c>
      <c r="S155" s="2358"/>
      <c r="T155" s="2358"/>
      <c r="U155" s="2358"/>
      <c r="V155" s="2358"/>
      <c r="W155" s="1945"/>
      <c r="X155" s="15691"/>
      <c r="Y155" s="1771"/>
      <c r="Z155" s="1771"/>
      <c r="AA155" s="1771"/>
      <c r="AB155" s="1771"/>
      <c r="AC155" s="1771"/>
      <c r="AD155" s="1771"/>
      <c r="AE155" s="1771"/>
      <c r="AF155" s="1771"/>
      <c r="AG155" s="1771"/>
      <c r="AH155" s="1771"/>
      <c r="AI155" s="1771"/>
      <c r="AJ155" s="1771"/>
      <c r="AK155" s="1771"/>
      <c r="AL155" s="15691"/>
      <c r="AM155" s="15691"/>
      <c r="AN155" s="15691"/>
      <c r="AO155" s="15691"/>
      <c r="AP155" s="15691"/>
      <c r="AQ155" s="15691"/>
      <c r="AR155" s="15691"/>
    </row>
    <row customHeight="1" ht="17.25">
      <c r="A156" s="2352"/>
      <c r="B156" s="15691"/>
      <c r="C156" s="2354"/>
      <c r="D156" s="2342"/>
      <c r="E156" s="2359"/>
      <c r="F156" s="2296"/>
      <c r="G156" s="2360"/>
      <c r="H156" s="2342"/>
      <c r="I156" s="2342"/>
      <c r="J156" s="2363"/>
      <c r="K156" s="2360"/>
      <c r="L156" s="2620" t="s">
        <v>106</v>
      </c>
      <c r="M156" s="2620" t="s">
        <v>145</v>
      </c>
      <c r="N156" s="3016" t="str">
        <f>IF(Z156="","",INDEX(TERRITORY_MR_LIST,MATCH(Z156,TERRITORY_LIST_ID,0)))</f>
        <v>Территория 10</v>
      </c>
      <c r="O156" s="2697" t="s">
        <v>63</v>
      </c>
      <c r="P156" s="2620"/>
      <c r="Q156" s="2620" t="s">
        <v>101</v>
      </c>
      <c r="R156" s="3014" t="s">
        <v>366</v>
      </c>
      <c r="S156" s="2918" t="s">
        <v>19</v>
      </c>
      <c r="T156" s="2314"/>
      <c r="U156" s="2314" t="s">
        <v>101</v>
      </c>
      <c r="V156" s="1946"/>
      <c r="W156" s="3013"/>
      <c r="X156" s="15691"/>
      <c r="Y156" s="1779"/>
      <c r="Z156" s="1779" t="s">
        <v>146</v>
      </c>
      <c r="AA156" s="1779"/>
      <c r="AB156" s="1779"/>
      <c r="AC156" s="15705" t="s">
        <v>317</v>
      </c>
      <c r="AD156" s="15705" t="s">
        <v>318</v>
      </c>
      <c r="AE156" s="1779" t="s">
        <v>367</v>
      </c>
      <c r="AF156" s="1779" t="s">
        <v>368</v>
      </c>
      <c r="AG156" s="1779" t="s">
        <v>369</v>
      </c>
      <c r="AH156" s="1779" t="str">
        <f>IF($E$121=0,"",$E$121)</f>
        <v>Тариф на водоотведение</v>
      </c>
      <c r="AI156" s="1779" t="str">
        <f>IF($G$121=0,"",$G$121)</f>
        <v>Водоотведение</v>
      </c>
      <c r="AJ156" s="1779" t="str">
        <f>IF($J$121=0,"",$J$121)</f>
        <v>Тариф на водоотведение для потребителей КГУП "Примтеплоэнерго"</v>
      </c>
      <c r="AK156" s="1779" t="str">
        <f>IF($K$156="нет","без дифференциации",IF($N$156=0,"",$N$156))</f>
        <v>Территория 10</v>
      </c>
      <c r="AL156" s="2356" t="str">
        <f>IF($O$156="нет","без дифференциации",IF($R$156=0,"",$R$156))</f>
        <v>с. Многоудобное</v>
      </c>
      <c r="AM156" s="2356"/>
      <c r="AN156" s="1779">
        <f>$I$121</f>
        <v>1</v>
      </c>
      <c r="AO156" s="1779" t="str">
        <f>$I$121&amp;"."&amp;$M$156</f>
        <v>1.10</v>
      </c>
      <c r="AP156" s="1779" t="str">
        <f>$I$121&amp;"."&amp;$M$156&amp;"."&amp;$Q$156</f>
        <v>1.10.1</v>
      </c>
      <c r="AQ156" s="1779"/>
      <c r="AR156" s="15691"/>
    </row>
    <row customHeight="1" ht="17.25">
      <c r="A157" s="2352"/>
      <c r="B157" s="15691"/>
      <c r="C157" s="2357"/>
      <c r="D157" s="2342"/>
      <c r="E157" s="2359"/>
      <c r="F157" s="2296"/>
      <c r="G157" s="2360"/>
      <c r="H157" s="2342"/>
      <c r="I157" s="2342"/>
      <c r="J157" s="2363"/>
      <c r="K157" s="2360"/>
      <c r="L157" s="2620"/>
      <c r="M157" s="2620"/>
      <c r="N157" s="3016"/>
      <c r="O157" s="2698"/>
      <c r="P157" s="2620"/>
      <c r="Q157" s="2620"/>
      <c r="R157" s="3014"/>
      <c r="S157" s="2918"/>
      <c r="T157" s="1947"/>
      <c r="U157" s="1948"/>
      <c r="V157" s="1948"/>
      <c r="W157" s="3013"/>
      <c r="X157" s="15691"/>
      <c r="Y157" s="1771"/>
      <c r="Z157" s="1771"/>
      <c r="AA157" s="1771"/>
      <c r="AB157" s="1771"/>
      <c r="AC157" s="1771"/>
      <c r="AD157" s="1771"/>
      <c r="AE157" s="1771"/>
      <c r="AF157" s="1771"/>
      <c r="AG157" s="1771"/>
      <c r="AH157" s="1771"/>
      <c r="AI157" s="1771"/>
      <c r="AJ157" s="1771"/>
      <c r="AK157" s="1771"/>
      <c r="AL157" s="15691"/>
      <c r="AM157" s="15691"/>
      <c r="AN157" s="15691"/>
      <c r="AO157" s="15691"/>
      <c r="AP157" s="15691"/>
      <c r="AQ157" s="15691"/>
      <c r="AR157" s="15691"/>
    </row>
    <row customHeight="1" ht="17.25">
      <c r="A158" s="2352"/>
      <c r="B158" s="15691"/>
      <c r="C158" s="2357"/>
      <c r="D158" s="2342"/>
      <c r="E158" s="2359"/>
      <c r="F158" s="2296"/>
      <c r="G158" s="2360"/>
      <c r="H158" s="2342"/>
      <c r="I158" s="2342"/>
      <c r="J158" s="2363"/>
      <c r="K158" s="2360"/>
      <c r="L158" s="3015"/>
      <c r="M158" s="3015"/>
      <c r="N158" s="3017"/>
      <c r="O158" s="2624"/>
      <c r="P158" s="829"/>
      <c r="Q158" s="830"/>
      <c r="R158" s="830" t="s">
        <v>321</v>
      </c>
      <c r="S158" s="2358"/>
      <c r="T158" s="2358"/>
      <c r="U158" s="2358"/>
      <c r="V158" s="2358"/>
      <c r="W158" s="1945"/>
      <c r="X158" s="15691"/>
      <c r="Y158" s="1771"/>
      <c r="Z158" s="1771"/>
      <c r="AA158" s="1771"/>
      <c r="AB158" s="1771"/>
      <c r="AC158" s="1771"/>
      <c r="AD158" s="1771"/>
      <c r="AE158" s="1771"/>
      <c r="AF158" s="1771"/>
      <c r="AG158" s="1771"/>
      <c r="AH158" s="1771"/>
      <c r="AI158" s="1771"/>
      <c r="AJ158" s="1771"/>
      <c r="AK158" s="1771"/>
      <c r="AL158" s="15691"/>
      <c r="AM158" s="15691"/>
      <c r="AN158" s="15691"/>
      <c r="AO158" s="15691"/>
      <c r="AP158" s="15691"/>
      <c r="AQ158" s="15691"/>
      <c r="AR158" s="15691"/>
    </row>
    <row customHeight="1" ht="17.25">
      <c r="A159" s="2352"/>
      <c r="B159" s="15691"/>
      <c r="C159" s="2354"/>
      <c r="D159" s="2342"/>
      <c r="E159" s="2359"/>
      <c r="F159" s="2296"/>
      <c r="G159" s="2360"/>
      <c r="H159" s="2342"/>
      <c r="I159" s="2342"/>
      <c r="J159" s="2363"/>
      <c r="K159" s="2360"/>
      <c r="L159" s="2620" t="s">
        <v>106</v>
      </c>
      <c r="M159" s="2620" t="s">
        <v>150</v>
      </c>
      <c r="N159" s="3016" t="str">
        <f>IF(Z159="","",INDEX(TERRITORY_MR_LIST,MATCH(Z159,TERRITORY_LIST_ID,0)))</f>
        <v>Территория 11</v>
      </c>
      <c r="O159" s="2697" t="s">
        <v>63</v>
      </c>
      <c r="P159" s="2620"/>
      <c r="Q159" s="2620" t="s">
        <v>101</v>
      </c>
      <c r="R159" s="3014" t="s">
        <v>370</v>
      </c>
      <c r="S159" s="2918" t="s">
        <v>19</v>
      </c>
      <c r="T159" s="2314"/>
      <c r="U159" s="2314" t="s">
        <v>101</v>
      </c>
      <c r="V159" s="1946"/>
      <c r="W159" s="3013"/>
      <c r="X159" s="15691"/>
      <c r="Y159" s="1779"/>
      <c r="Z159" s="1779" t="s">
        <v>151</v>
      </c>
      <c r="AA159" s="1779"/>
      <c r="AB159" s="1779"/>
      <c r="AC159" s="15705" t="s">
        <v>317</v>
      </c>
      <c r="AD159" s="15705" t="s">
        <v>318</v>
      </c>
      <c r="AE159" s="1779" t="s">
        <v>371</v>
      </c>
      <c r="AF159" s="1779" t="s">
        <v>372</v>
      </c>
      <c r="AG159" s="1779" t="s">
        <v>373</v>
      </c>
      <c r="AH159" s="1779" t="str">
        <f>IF($E$121=0,"",$E$121)</f>
        <v>Тариф на водоотведение</v>
      </c>
      <c r="AI159" s="1779" t="str">
        <f>IF($G$121=0,"",$G$121)</f>
        <v>Водоотведение</v>
      </c>
      <c r="AJ159" s="1779" t="str">
        <f>IF($J$121=0,"",$J$121)</f>
        <v>Тариф на водоотведение для потребителей КГУП "Примтеплоэнерго"</v>
      </c>
      <c r="AK159" s="1779" t="str">
        <f>IF($K$159="нет","без дифференциации",IF($N$159=0,"",$N$159))</f>
        <v>Территория 11</v>
      </c>
      <c r="AL159" s="2356" t="str">
        <f>IF($O$159="нет","без дифференциации",IF($R$159=0,"",$R$159))</f>
        <v>Дальнегорский ГО</v>
      </c>
      <c r="AM159" s="2356"/>
      <c r="AN159" s="1779">
        <f>$I$121</f>
        <v>1</v>
      </c>
      <c r="AO159" s="1779" t="str">
        <f>$I$121&amp;"."&amp;$M$159</f>
        <v>1.11</v>
      </c>
      <c r="AP159" s="1779" t="str">
        <f>$I$121&amp;"."&amp;$M$159&amp;"."&amp;$Q$159</f>
        <v>1.11.1</v>
      </c>
      <c r="AQ159" s="1779"/>
      <c r="AR159" s="15691"/>
    </row>
    <row customHeight="1" ht="17.25">
      <c r="A160" s="2352"/>
      <c r="B160" s="15691"/>
      <c r="C160" s="2357"/>
      <c r="D160" s="2342"/>
      <c r="E160" s="2359"/>
      <c r="F160" s="2296"/>
      <c r="G160" s="2360"/>
      <c r="H160" s="2342"/>
      <c r="I160" s="2342"/>
      <c r="J160" s="2363"/>
      <c r="K160" s="2360"/>
      <c r="L160" s="2620"/>
      <c r="M160" s="2620"/>
      <c r="N160" s="3016"/>
      <c r="O160" s="2698"/>
      <c r="P160" s="2620"/>
      <c r="Q160" s="2620"/>
      <c r="R160" s="3014"/>
      <c r="S160" s="2918"/>
      <c r="T160" s="1947"/>
      <c r="U160" s="1948"/>
      <c r="V160" s="1948"/>
      <c r="W160" s="3013"/>
      <c r="X160" s="15691"/>
      <c r="Y160" s="1771"/>
      <c r="Z160" s="1771"/>
      <c r="AA160" s="1771"/>
      <c r="AB160" s="1771"/>
      <c r="AC160" s="1771"/>
      <c r="AD160" s="1771"/>
      <c r="AE160" s="1771"/>
      <c r="AF160" s="1771"/>
      <c r="AG160" s="1771"/>
      <c r="AH160" s="1771"/>
      <c r="AI160" s="1771"/>
      <c r="AJ160" s="1771"/>
      <c r="AK160" s="1771"/>
      <c r="AL160" s="15691"/>
      <c r="AM160" s="15691"/>
      <c r="AN160" s="15691"/>
      <c r="AO160" s="15691"/>
      <c r="AP160" s="15691"/>
      <c r="AQ160" s="15691"/>
      <c r="AR160" s="15691"/>
    </row>
    <row customHeight="1" ht="17.25">
      <c r="A161" s="2352"/>
      <c r="B161" s="15691"/>
      <c r="C161" s="2357"/>
      <c r="D161" s="2342"/>
      <c r="E161" s="2359"/>
      <c r="F161" s="2296"/>
      <c r="G161" s="2360"/>
      <c r="H161" s="2342"/>
      <c r="I161" s="2342"/>
      <c r="J161" s="2363"/>
      <c r="K161" s="2360"/>
      <c r="L161" s="3015"/>
      <c r="M161" s="3015"/>
      <c r="N161" s="3017"/>
      <c r="O161" s="2624"/>
      <c r="P161" s="829"/>
      <c r="Q161" s="830"/>
      <c r="R161" s="830" t="s">
        <v>321</v>
      </c>
      <c r="S161" s="2358"/>
      <c r="T161" s="2358"/>
      <c r="U161" s="2358"/>
      <c r="V161" s="2358"/>
      <c r="W161" s="1945"/>
      <c r="X161" s="15691"/>
      <c r="Y161" s="1771"/>
      <c r="Z161" s="1771"/>
      <c r="AA161" s="1771"/>
      <c r="AB161" s="1771"/>
      <c r="AC161" s="1771"/>
      <c r="AD161" s="1771"/>
      <c r="AE161" s="1771"/>
      <c r="AF161" s="1771"/>
      <c r="AG161" s="1771"/>
      <c r="AH161" s="1771"/>
      <c r="AI161" s="1771"/>
      <c r="AJ161" s="1771"/>
      <c r="AK161" s="1771"/>
      <c r="AL161" s="15691"/>
      <c r="AM161" s="15691"/>
      <c r="AN161" s="15691"/>
      <c r="AO161" s="15691"/>
      <c r="AP161" s="15691"/>
      <c r="AQ161" s="15691"/>
      <c r="AR161" s="15691"/>
    </row>
    <row customHeight="1" ht="17.25">
      <c r="A162" s="2352"/>
      <c r="B162" s="15691"/>
      <c r="C162" s="2354"/>
      <c r="D162" s="2342"/>
      <c r="E162" s="2359"/>
      <c r="F162" s="2296"/>
      <c r="G162" s="2360"/>
      <c r="H162" s="2342"/>
      <c r="I162" s="2342"/>
      <c r="J162" s="2363"/>
      <c r="K162" s="2360"/>
      <c r="L162" s="2620" t="s">
        <v>106</v>
      </c>
      <c r="M162" s="2620" t="s">
        <v>154</v>
      </c>
      <c r="N162" s="3016" t="str">
        <f>IF(Z162="","",INDEX(TERRITORY_MR_LIST,MATCH(Z162,TERRITORY_LIST_ID,0)))</f>
        <v>Территория 12</v>
      </c>
      <c r="O162" s="2697" t="s">
        <v>63</v>
      </c>
      <c r="P162" s="2620"/>
      <c r="Q162" s="2620" t="s">
        <v>101</v>
      </c>
      <c r="R162" s="3014" t="s">
        <v>374</v>
      </c>
      <c r="S162" s="2918" t="s">
        <v>19</v>
      </c>
      <c r="T162" s="2314"/>
      <c r="U162" s="2314" t="s">
        <v>101</v>
      </c>
      <c r="V162" s="1946"/>
      <c r="W162" s="3013"/>
      <c r="X162" s="15691"/>
      <c r="Y162" s="1779"/>
      <c r="Z162" s="1779" t="s">
        <v>155</v>
      </c>
      <c r="AA162" s="1779"/>
      <c r="AB162" s="1779"/>
      <c r="AC162" s="15705" t="s">
        <v>317</v>
      </c>
      <c r="AD162" s="15705" t="s">
        <v>318</v>
      </c>
      <c r="AE162" s="1779" t="s">
        <v>375</v>
      </c>
      <c r="AF162" s="1779" t="s">
        <v>376</v>
      </c>
      <c r="AG162" s="1779" t="s">
        <v>377</v>
      </c>
      <c r="AH162" s="1779" t="str">
        <f>IF($E$121=0,"",$E$121)</f>
        <v>Тариф на водоотведение</v>
      </c>
      <c r="AI162" s="1779" t="str">
        <f>IF($G$121=0,"",$G$121)</f>
        <v>Водоотведение</v>
      </c>
      <c r="AJ162" s="1779" t="str">
        <f>IF($J$121=0,"",$J$121)</f>
        <v>Тариф на водоотведение для потребителей КГУП "Примтеплоэнерго"</v>
      </c>
      <c r="AK162" s="1779" t="str">
        <f>IF($K$162="нет","без дифференциации",IF($N$162=0,"",$N$162))</f>
        <v>Территория 12</v>
      </c>
      <c r="AL162" s="2356" t="str">
        <f>IF($O$162="нет","без дифференциации",IF($R$162=0,"",$R$162))</f>
        <v>ГО Спасск-Дальний</v>
      </c>
      <c r="AM162" s="2356"/>
      <c r="AN162" s="1779">
        <f>$I$121</f>
        <v>1</v>
      </c>
      <c r="AO162" s="1779" t="str">
        <f>$I$121&amp;"."&amp;$M$162</f>
        <v>1.12</v>
      </c>
      <c r="AP162" s="1779" t="str">
        <f>$I$121&amp;"."&amp;$M$162&amp;"."&amp;$Q$162</f>
        <v>1.12.1</v>
      </c>
      <c r="AQ162" s="1779"/>
      <c r="AR162" s="15691"/>
    </row>
    <row customHeight="1" ht="17.25">
      <c r="A163" s="2352"/>
      <c r="B163" s="15691"/>
      <c r="C163" s="2357"/>
      <c r="D163" s="2342"/>
      <c r="E163" s="2359"/>
      <c r="F163" s="2296"/>
      <c r="G163" s="2360"/>
      <c r="H163" s="2342"/>
      <c r="I163" s="2342"/>
      <c r="J163" s="2363"/>
      <c r="K163" s="2360"/>
      <c r="L163" s="2620"/>
      <c r="M163" s="2620"/>
      <c r="N163" s="3016"/>
      <c r="O163" s="2698"/>
      <c r="P163" s="2620"/>
      <c r="Q163" s="2620"/>
      <c r="R163" s="3014"/>
      <c r="S163" s="2918"/>
      <c r="T163" s="1947"/>
      <c r="U163" s="1948"/>
      <c r="V163" s="1948"/>
      <c r="W163" s="3013"/>
      <c r="X163" s="15691"/>
      <c r="Y163" s="1771"/>
      <c r="Z163" s="1771"/>
      <c r="AA163" s="1771"/>
      <c r="AB163" s="1771"/>
      <c r="AC163" s="1771"/>
      <c r="AD163" s="1771"/>
      <c r="AE163" s="1771"/>
      <c r="AF163" s="1771"/>
      <c r="AG163" s="1771"/>
      <c r="AH163" s="1771"/>
      <c r="AI163" s="1771"/>
      <c r="AJ163" s="1771"/>
      <c r="AK163" s="1771"/>
      <c r="AL163" s="15691"/>
      <c r="AM163" s="15691"/>
      <c r="AN163" s="15691"/>
      <c r="AO163" s="15691"/>
      <c r="AP163" s="15691"/>
      <c r="AQ163" s="15691"/>
      <c r="AR163" s="15691"/>
    </row>
    <row customHeight="1" ht="17.25">
      <c r="A164" s="2352"/>
      <c r="B164" s="15691"/>
      <c r="C164" s="2357"/>
      <c r="D164" s="2342"/>
      <c r="E164" s="2359"/>
      <c r="F164" s="2296"/>
      <c r="G164" s="2360"/>
      <c r="H164" s="2342"/>
      <c r="I164" s="2342"/>
      <c r="J164" s="2363"/>
      <c r="K164" s="2360"/>
      <c r="L164" s="3015"/>
      <c r="M164" s="3015"/>
      <c r="N164" s="3017"/>
      <c r="O164" s="2624"/>
      <c r="P164" s="829"/>
      <c r="Q164" s="830"/>
      <c r="R164" s="830" t="s">
        <v>321</v>
      </c>
      <c r="S164" s="2358"/>
      <c r="T164" s="2358"/>
      <c r="U164" s="2358"/>
      <c r="V164" s="2358"/>
      <c r="W164" s="1945"/>
      <c r="X164" s="15691"/>
      <c r="Y164" s="1771"/>
      <c r="Z164" s="1771"/>
      <c r="AA164" s="1771"/>
      <c r="AB164" s="1771"/>
      <c r="AC164" s="1771"/>
      <c r="AD164" s="1771"/>
      <c r="AE164" s="1771"/>
      <c r="AF164" s="1771"/>
      <c r="AG164" s="1771"/>
      <c r="AH164" s="1771"/>
      <c r="AI164" s="1771"/>
      <c r="AJ164" s="1771"/>
      <c r="AK164" s="1771"/>
      <c r="AL164" s="15691"/>
      <c r="AM164" s="15691"/>
      <c r="AN164" s="15691"/>
      <c r="AO164" s="15691"/>
      <c r="AP164" s="15691"/>
      <c r="AQ164" s="15691"/>
      <c r="AR164" s="15691"/>
    </row>
    <row customHeight="1" ht="17.25">
      <c r="A165" s="2352"/>
      <c r="B165" s="15691"/>
      <c r="C165" s="2354"/>
      <c r="D165" s="2342"/>
      <c r="E165" s="2359"/>
      <c r="F165" s="2296"/>
      <c r="G165" s="2360"/>
      <c r="H165" s="2342"/>
      <c r="I165" s="2342"/>
      <c r="J165" s="2363"/>
      <c r="K165" s="2360"/>
      <c r="L165" s="2620" t="s">
        <v>106</v>
      </c>
      <c r="M165" s="2620" t="s">
        <v>158</v>
      </c>
      <c r="N165" s="3016" t="str">
        <f>IF(Z165="","",INDEX(TERRITORY_MR_LIST,MATCH(Z165,TERRITORY_LIST_ID,0)))</f>
        <v>Территория 13</v>
      </c>
      <c r="O165" s="2697" t="s">
        <v>63</v>
      </c>
      <c r="P165" s="2620"/>
      <c r="Q165" s="2620" t="s">
        <v>101</v>
      </c>
      <c r="R165" s="3014" t="s">
        <v>378</v>
      </c>
      <c r="S165" s="2918" t="s">
        <v>19</v>
      </c>
      <c r="T165" s="2314"/>
      <c r="U165" s="2314" t="s">
        <v>101</v>
      </c>
      <c r="V165" s="1946"/>
      <c r="W165" s="3013"/>
      <c r="X165" s="15691"/>
      <c r="Y165" s="1779"/>
      <c r="Z165" s="1779" t="s">
        <v>159</v>
      </c>
      <c r="AA165" s="1779"/>
      <c r="AB165" s="1779"/>
      <c r="AC165" s="15705" t="s">
        <v>317</v>
      </c>
      <c r="AD165" s="15705" t="s">
        <v>318</v>
      </c>
      <c r="AE165" s="1779" t="s">
        <v>379</v>
      </c>
      <c r="AF165" s="1779" t="s">
        <v>380</v>
      </c>
      <c r="AG165" s="1779" t="s">
        <v>381</v>
      </c>
      <c r="AH165" s="1779" t="str">
        <f>IF($E$121=0,"",$E$121)</f>
        <v>Тариф на водоотведение</v>
      </c>
      <c r="AI165" s="1779" t="str">
        <f>IF($G$121=0,"",$G$121)</f>
        <v>Водоотведение</v>
      </c>
      <c r="AJ165" s="1779" t="str">
        <f>IF($J$121=0,"",$J$121)</f>
        <v>Тариф на водоотведение для потребителей КГУП "Примтеплоэнерго"</v>
      </c>
      <c r="AK165" s="1779" t="str">
        <f>IF($K$165="нет","без дифференциации",IF($N$165=0,"",$N$165))</f>
        <v>Территория 13</v>
      </c>
      <c r="AL165" s="2356" t="str">
        <f>IF($O$165="нет","без дифференциации",IF($R$165=0,"",$R$165))</f>
        <v>ГО ЗАТО г. Фокино</v>
      </c>
      <c r="AM165" s="2356"/>
      <c r="AN165" s="1779">
        <f>$I$121</f>
        <v>1</v>
      </c>
      <c r="AO165" s="1779" t="str">
        <f>$I$121&amp;"."&amp;$M$165</f>
        <v>1.13</v>
      </c>
      <c r="AP165" s="1779" t="str">
        <f>$I$121&amp;"."&amp;$M$165&amp;"."&amp;$Q$165</f>
        <v>1.13.1</v>
      </c>
      <c r="AQ165" s="1779"/>
      <c r="AR165" s="15691"/>
    </row>
    <row customHeight="1" ht="17.25">
      <c r="A166" s="2352"/>
      <c r="B166" s="15691"/>
      <c r="C166" s="2357"/>
      <c r="D166" s="2342"/>
      <c r="E166" s="2359"/>
      <c r="F166" s="2296"/>
      <c r="G166" s="2360"/>
      <c r="H166" s="2342"/>
      <c r="I166" s="2342"/>
      <c r="J166" s="2363"/>
      <c r="K166" s="2360"/>
      <c r="L166" s="2620"/>
      <c r="M166" s="2620"/>
      <c r="N166" s="3016"/>
      <c r="O166" s="2698"/>
      <c r="P166" s="2620"/>
      <c r="Q166" s="2620"/>
      <c r="R166" s="3014"/>
      <c r="S166" s="2918"/>
      <c r="T166" s="1947"/>
      <c r="U166" s="1948"/>
      <c r="V166" s="1948"/>
      <c r="W166" s="3013"/>
      <c r="X166" s="15691"/>
      <c r="Y166" s="1771"/>
      <c r="Z166" s="1771"/>
      <c r="AA166" s="1771"/>
      <c r="AB166" s="1771"/>
      <c r="AC166" s="1771"/>
      <c r="AD166" s="1771"/>
      <c r="AE166" s="1771"/>
      <c r="AF166" s="1771"/>
      <c r="AG166" s="1771"/>
      <c r="AH166" s="1771"/>
      <c r="AI166" s="1771"/>
      <c r="AJ166" s="1771"/>
      <c r="AK166" s="1771"/>
      <c r="AL166" s="15691"/>
      <c r="AM166" s="15691"/>
      <c r="AN166" s="15691"/>
      <c r="AO166" s="15691"/>
      <c r="AP166" s="15691"/>
      <c r="AQ166" s="15691"/>
      <c r="AR166" s="15691"/>
    </row>
    <row customHeight="1" ht="17.25">
      <c r="A167" s="2352"/>
      <c r="B167" s="15691"/>
      <c r="C167" s="2354"/>
      <c r="D167" s="2342"/>
      <c r="E167" s="2359"/>
      <c r="F167" s="2296"/>
      <c r="G167" s="2360"/>
      <c r="H167" s="2342"/>
      <c r="I167" s="2342"/>
      <c r="J167" s="2363"/>
      <c r="K167" s="2360"/>
      <c r="L167" s="2342"/>
      <c r="M167" s="2342"/>
      <c r="N167" s="2560"/>
      <c r="O167" s="2299"/>
      <c r="P167" s="2620" t="s">
        <v>106</v>
      </c>
      <c r="Q167" s="2620" t="s">
        <v>105</v>
      </c>
      <c r="R167" s="3014" t="s">
        <v>382</v>
      </c>
      <c r="S167" s="2918" t="s">
        <v>19</v>
      </c>
      <c r="T167" s="2314"/>
      <c r="U167" s="2314" t="s">
        <v>101</v>
      </c>
      <c r="V167" s="1946"/>
      <c r="W167" s="3013"/>
      <c r="X167" s="15691"/>
      <c r="Y167" s="1779"/>
      <c r="Z167" s="1779"/>
      <c r="AA167" s="1779"/>
      <c r="AB167" s="1779"/>
      <c r="AC167" s="15705" t="s">
        <v>317</v>
      </c>
      <c r="AD167" s="15705" t="s">
        <v>318</v>
      </c>
      <c r="AE167" s="15705" t="s">
        <v>379</v>
      </c>
      <c r="AF167" s="1779" t="s">
        <v>383</v>
      </c>
      <c r="AG167" s="1779" t="s">
        <v>384</v>
      </c>
      <c r="AH167" s="1779" t="str">
        <f>IF($E$121=0,"",$E$121)</f>
        <v>Тариф на водоотведение</v>
      </c>
      <c r="AI167" s="1779" t="str">
        <f>IF($G$121=0,"",$G$121)</f>
        <v>Водоотведение</v>
      </c>
      <c r="AJ167" s="1779" t="str">
        <f>IF($J$121=0,"",$J$121)</f>
        <v>Тариф на водоотведение для потребителей КГУП "Примтеплоэнерго"</v>
      </c>
      <c r="AK167" s="1779" t="str">
        <f>IF($K$165="нет","без дифференциации",IF($N$165=0,"",$N$165))</f>
        <v>Территория 13</v>
      </c>
      <c r="AL167" s="2356" t="str">
        <f>IF($O$167="нет","без дифференциации",IF($R$167=0,"",$R$167))</f>
        <v>ГО ЗАТО г. Фокино (пгт. Путятин)</v>
      </c>
      <c r="AM167" s="2356"/>
      <c r="AN167" s="1779">
        <f>$I$121</f>
        <v>1</v>
      </c>
      <c r="AO167" s="1779" t="str">
        <f>$I$121&amp;"."&amp;$M$165</f>
        <v>1.13</v>
      </c>
      <c r="AP167" s="1779" t="str">
        <f>$I$121&amp;"."&amp;$M$165&amp;"."&amp;$Q$167</f>
        <v>1.13.2</v>
      </c>
      <c r="AQ167" s="1779"/>
      <c r="AR167" s="15691"/>
    </row>
    <row customHeight="1" ht="17.25">
      <c r="A168" s="2352"/>
      <c r="B168" s="15691"/>
      <c r="C168" s="2357"/>
      <c r="D168" s="2342"/>
      <c r="E168" s="2359"/>
      <c r="F168" s="2296"/>
      <c r="G168" s="2360"/>
      <c r="H168" s="2342"/>
      <c r="I168" s="2342"/>
      <c r="J168" s="2363"/>
      <c r="K168" s="2360"/>
      <c r="L168" s="2342"/>
      <c r="M168" s="2342"/>
      <c r="N168" s="2560"/>
      <c r="O168" s="2299"/>
      <c r="P168" s="2620"/>
      <c r="Q168" s="2620"/>
      <c r="R168" s="3014"/>
      <c r="S168" s="2918"/>
      <c r="T168" s="1947"/>
      <c r="U168" s="1948"/>
      <c r="V168" s="1948"/>
      <c r="W168" s="3013"/>
      <c r="X168" s="15691"/>
      <c r="Y168" s="1771"/>
      <c r="Z168" s="1771"/>
      <c r="AA168" s="1771"/>
      <c r="AB168" s="1771"/>
      <c r="AC168" s="1771"/>
      <c r="AD168" s="1771"/>
      <c r="AE168" s="1771"/>
      <c r="AF168" s="1771"/>
      <c r="AG168" s="1771"/>
      <c r="AH168" s="1771"/>
      <c r="AI168" s="1771"/>
      <c r="AJ168" s="1771"/>
      <c r="AK168" s="1771"/>
      <c r="AL168" s="15691"/>
      <c r="AM168" s="15691"/>
      <c r="AN168" s="15691"/>
      <c r="AO168" s="15691"/>
      <c r="AP168" s="15691"/>
      <c r="AQ168" s="15691"/>
      <c r="AR168" s="15691"/>
    </row>
    <row customHeight="1" ht="17.25">
      <c r="A169" s="2352"/>
      <c r="B169" s="15691"/>
      <c r="C169" s="2357"/>
      <c r="D169" s="2342"/>
      <c r="E169" s="2359"/>
      <c r="F169" s="2296"/>
      <c r="G169" s="2360"/>
      <c r="H169" s="2342"/>
      <c r="I169" s="2342"/>
      <c r="J169" s="2363"/>
      <c r="K169" s="2360"/>
      <c r="L169" s="3015"/>
      <c r="M169" s="3015"/>
      <c r="N169" s="3017"/>
      <c r="O169" s="2624"/>
      <c r="P169" s="829"/>
      <c r="Q169" s="830"/>
      <c r="R169" s="830" t="s">
        <v>321</v>
      </c>
      <c r="S169" s="2358"/>
      <c r="T169" s="2358"/>
      <c r="U169" s="2358"/>
      <c r="V169" s="2358"/>
      <c r="W169" s="1945"/>
      <c r="X169" s="15691"/>
      <c r="Y169" s="1771"/>
      <c r="Z169" s="1771"/>
      <c r="AA169" s="1771"/>
      <c r="AB169" s="1771"/>
      <c r="AC169" s="1771"/>
      <c r="AD169" s="1771"/>
      <c r="AE169" s="1771"/>
      <c r="AF169" s="1771"/>
      <c r="AG169" s="1771"/>
      <c r="AH169" s="1771"/>
      <c r="AI169" s="1771"/>
      <c r="AJ169" s="1771"/>
      <c r="AK169" s="1771"/>
      <c r="AL169" s="15691"/>
      <c r="AM169" s="15691"/>
      <c r="AN169" s="15691"/>
      <c r="AO169" s="15691"/>
      <c r="AP169" s="15691"/>
      <c r="AQ169" s="15691"/>
      <c r="AR169" s="15691"/>
    </row>
    <row s="47026" customFormat="1" customHeight="1" ht="17.25">
      <c r="A170" s="833"/>
      <c r="C170" s="832"/>
      <c r="D170" s="2647"/>
      <c r="E170" s="2655"/>
      <c r="F170" s="2658"/>
      <c r="G170" s="6167"/>
      <c r="H170" s="6179"/>
      <c r="I170" s="6179"/>
      <c r="J170" s="6180"/>
      <c r="K170" s="6182"/>
      <c r="L170" s="6191"/>
      <c r="M170" s="6192"/>
      <c r="N170" s="6193" t="s">
        <v>385</v>
      </c>
      <c r="O170" s="6194"/>
      <c r="P170" s="6195"/>
      <c r="Q170" s="6196"/>
      <c r="R170" s="6197"/>
      <c r="S170" s="6198"/>
      <c r="T170" s="6199"/>
      <c r="U170" s="6200"/>
      <c r="V170" s="6201"/>
      <c r="W170" s="6202"/>
      <c r="Y170" s="1771"/>
      <c r="Z170" s="1771"/>
      <c r="AA170" s="1771"/>
      <c r="AB170" s="1771"/>
      <c r="AC170" s="1771"/>
      <c r="AD170" s="1771"/>
      <c r="AE170" s="1771"/>
      <c r="AF170" s="1771"/>
      <c r="AG170" s="1771"/>
      <c r="AH170" s="1771"/>
      <c r="AI170" s="1771"/>
      <c r="AJ170" s="1771"/>
      <c r="AK170" s="1771"/>
      <c r="AL170" s="1771"/>
      <c r="AM170" s="1771"/>
      <c r="AN170" s="1771"/>
      <c r="AO170" s="1771"/>
      <c r="AP170" s="1771"/>
      <c r="AQ170" s="1771"/>
      <c r="AR170" s="1979">
        <v>0</v>
      </c>
    </row>
    <row s="47026" customFormat="1" customHeight="1" ht="17.25">
      <c r="A171" s="833"/>
      <c r="C171" s="832"/>
      <c r="D171" s="2648"/>
      <c r="E171" s="2656"/>
      <c r="F171" s="2659"/>
      <c r="G171" s="6203"/>
      <c r="H171" s="6204"/>
      <c r="I171" s="6205"/>
      <c r="J171" s="6206" t="s">
        <v>386</v>
      </c>
      <c r="K171" s="6207"/>
      <c r="L171" s="6208"/>
      <c r="M171" s="6209"/>
      <c r="N171" s="6210"/>
      <c r="O171" s="6211"/>
      <c r="P171" s="6212"/>
      <c r="Q171" s="6213"/>
      <c r="R171" s="6214"/>
      <c r="S171" s="6215"/>
      <c r="T171" s="6216"/>
      <c r="U171" s="6217"/>
      <c r="V171" s="6218"/>
      <c r="W171" s="6219"/>
      <c r="Y171" s="1771"/>
      <c r="Z171" s="1771"/>
      <c r="AA171" s="1771"/>
      <c r="AB171" s="1771"/>
      <c r="AC171" s="1771"/>
      <c r="AD171" s="1771"/>
      <c r="AE171" s="1771"/>
      <c r="AF171" s="1771"/>
      <c r="AG171" s="1771"/>
      <c r="AH171" s="1771"/>
      <c r="AI171" s="1771"/>
      <c r="AJ171" s="1771"/>
      <c r="AK171" s="1771"/>
      <c r="AL171" s="1771"/>
      <c r="AM171" s="1771"/>
      <c r="AN171" s="1771"/>
      <c r="AO171" s="1771"/>
      <c r="AP171" s="1771"/>
      <c r="AQ171" s="1771"/>
      <c r="AR171" s="1979">
        <v>0</v>
      </c>
    </row>
    <row s="47026" customFormat="1" customHeight="1" ht="17.25">
      <c r="A172" s="833"/>
      <c r="C172" s="721"/>
      <c r="D172" s="2647">
        <v>2</v>
      </c>
      <c r="E172" s="2655" t="s">
        <v>387</v>
      </c>
      <c r="F172" s="2657" t="s">
        <v>19</v>
      </c>
      <c r="G172" s="2655"/>
      <c r="H172" s="2660"/>
      <c r="I172" s="2662"/>
      <c r="J172" s="2664"/>
      <c r="K172" s="2649"/>
      <c r="L172" s="2649"/>
      <c r="M172" s="2649"/>
      <c r="N172" s="2651"/>
      <c r="O172" s="2649"/>
      <c r="P172" s="2649"/>
      <c r="Q172" s="2649"/>
      <c r="R172" s="2654"/>
      <c r="S172" s="2649"/>
      <c r="T172" s="1982"/>
      <c r="U172" s="1982"/>
      <c r="V172" s="1984"/>
      <c r="W172" s="1808"/>
      <c r="X172" s="1779"/>
      <c r="Y172" s="1779"/>
      <c r="Z172" s="1779"/>
      <c r="AA172" s="1779"/>
      <c r="AB172" s="1779"/>
      <c r="AC172" s="1779" t="s">
        <v>388</v>
      </c>
      <c r="AD172" s="1779" t="s">
        <v>389</v>
      </c>
      <c r="AE172" s="1779" t="s">
        <v>390</v>
      </c>
      <c r="AF172" s="1779" t="s">
        <v>391</v>
      </c>
      <c r="AG172" s="1779"/>
      <c r="AH172" s="1779" t="str">
        <f>IF($E$172=0,"",$E$172)</f>
        <v>Тариф на транспортировку сточных вод</v>
      </c>
      <c r="AI172" s="1779" t="str">
        <f>IF($G$172=0,"",$G$172)</f>
        <v/>
      </c>
      <c r="AJ172" s="1779" t="str">
        <f>IF($J$172=0,"",$J$172)</f>
        <v/>
      </c>
      <c r="AK172" s="1779" t="str">
        <f>IF($K$172="нет","без дифференциации",IF($N$172=0,"",$N$172))</f>
        <v/>
      </c>
      <c r="AL172" s="1779" t="str">
        <f>IF($O$172="нет","без дифференциации",IF($R$172=0,"",$R$172))</f>
        <v/>
      </c>
      <c r="AM172" s="1779" t="str">
        <f>IF($S$172="нет","без дифференциации",IF($V$172=0,"",$V$172))</f>
        <v/>
      </c>
      <c r="AN172" s="2284">
        <f>$I$172</f>
        <v>0</v>
      </c>
      <c r="AO172" s="1779" t="str">
        <f>$I$172&amp;"."&amp;$M$172</f>
        <v>.</v>
      </c>
      <c r="AP172" s="1771" t="str">
        <f>$I$172&amp;"."&amp;$M$172&amp;"."&amp;$Q$172</f>
        <v>..</v>
      </c>
      <c r="AQ172" s="1771" t="str">
        <f>$I$172&amp;"."&amp;$M$172&amp;"."&amp;$Q$172&amp;"."&amp;$U$172</f>
        <v>...</v>
      </c>
      <c r="AR172" s="1979">
        <v>0</v>
      </c>
    </row>
    <row s="47026" customFormat="1" customHeight="1" ht="17.25">
      <c r="A173" s="833"/>
      <c r="C173" s="832"/>
      <c r="D173" s="2647"/>
      <c r="E173" s="2655"/>
      <c r="F173" s="2658"/>
      <c r="G173" s="2655"/>
      <c r="H173" s="2661"/>
      <c r="I173" s="2663"/>
      <c r="J173" s="2665"/>
      <c r="K173" s="2650"/>
      <c r="L173" s="2650"/>
      <c r="M173" s="2650"/>
      <c r="N173" s="2652"/>
      <c r="O173" s="2650"/>
      <c r="P173" s="2650"/>
      <c r="Q173" s="2650"/>
      <c r="R173" s="2653"/>
      <c r="S173" s="2650"/>
      <c r="T173" s="1809"/>
      <c r="U173" s="1809"/>
      <c r="V173" s="1809"/>
      <c r="W173" s="1810"/>
      <c r="X173" s="1771"/>
      <c r="Y173" s="1771"/>
      <c r="Z173" s="1771"/>
      <c r="AA173" s="1771"/>
      <c r="AB173" s="1771"/>
      <c r="AC173" s="1771"/>
      <c r="AD173" s="1771"/>
      <c r="AE173" s="1771"/>
      <c r="AF173" s="1771"/>
      <c r="AG173" s="1771"/>
      <c r="AH173" s="1771"/>
      <c r="AI173" s="1771"/>
      <c r="AJ173" s="1771"/>
      <c r="AK173" s="1771"/>
      <c r="AL173" s="1771"/>
      <c r="AM173" s="1771"/>
      <c r="AN173" s="1771"/>
      <c r="AO173" s="1771"/>
      <c r="AP173" s="1771"/>
      <c r="AQ173" s="1771"/>
      <c r="AR173" s="1979">
        <v>0</v>
      </c>
    </row>
    <row s="47026" customFormat="1" customHeight="1" ht="17.25">
      <c r="A174" s="833"/>
      <c r="C174" s="832"/>
      <c r="D174" s="2648"/>
      <c r="E174" s="2656"/>
      <c r="F174" s="2658"/>
      <c r="G174" s="2656"/>
      <c r="H174" s="2661"/>
      <c r="I174" s="2663"/>
      <c r="J174" s="2666"/>
      <c r="K174" s="2650"/>
      <c r="L174" s="2650"/>
      <c r="M174" s="2650"/>
      <c r="N174" s="2653"/>
      <c r="O174" s="2650"/>
      <c r="P174" s="1983"/>
      <c r="Q174" s="1809"/>
      <c r="R174" s="1809"/>
      <c r="S174" s="841"/>
      <c r="T174" s="841"/>
      <c r="U174" s="841"/>
      <c r="V174" s="841"/>
      <c r="W174" s="1810"/>
      <c r="X174" s="1771"/>
      <c r="Y174" s="1771"/>
      <c r="Z174" s="1771"/>
      <c r="AA174" s="1771"/>
      <c r="AB174" s="1771"/>
      <c r="AC174" s="1771"/>
      <c r="AD174" s="1771"/>
      <c r="AE174" s="1771"/>
      <c r="AF174" s="1771"/>
      <c r="AG174" s="1771"/>
      <c r="AH174" s="1771"/>
      <c r="AI174" s="1771"/>
      <c r="AJ174" s="1771"/>
      <c r="AK174" s="1771"/>
      <c r="AL174" s="1771"/>
      <c r="AM174" s="1771"/>
      <c r="AN174" s="1771"/>
      <c r="AO174" s="1771"/>
      <c r="AP174" s="1771"/>
      <c r="AQ174" s="1771"/>
      <c r="AR174" s="1979">
        <v>0</v>
      </c>
    </row>
    <row s="47026" customFormat="1" customHeight="1" ht="17.25">
      <c r="A175" s="833"/>
      <c r="C175" s="832"/>
      <c r="D175" s="2648"/>
      <c r="E175" s="2656"/>
      <c r="F175" s="2658"/>
      <c r="G175" s="2656"/>
      <c r="H175" s="2661"/>
      <c r="I175" s="2663"/>
      <c r="J175" s="2666"/>
      <c r="K175" s="2650"/>
      <c r="L175" s="1809"/>
      <c r="M175" s="1809"/>
      <c r="N175" s="1809"/>
      <c r="O175" s="1809"/>
      <c r="P175" s="1809"/>
      <c r="Q175" s="1809"/>
      <c r="R175" s="1809"/>
      <c r="S175" s="841"/>
      <c r="T175" s="841"/>
      <c r="U175" s="841"/>
      <c r="V175" s="841"/>
      <c r="W175" s="1810"/>
      <c r="X175" s="1771"/>
      <c r="Y175" s="1771"/>
      <c r="Z175" s="1771"/>
      <c r="AA175" s="1771"/>
      <c r="AB175" s="1771"/>
      <c r="AC175" s="1771"/>
      <c r="AD175" s="1771"/>
      <c r="AE175" s="1771"/>
      <c r="AF175" s="1771"/>
      <c r="AG175" s="1771"/>
      <c r="AH175" s="1771"/>
      <c r="AI175" s="1771"/>
      <c r="AJ175" s="1771"/>
      <c r="AK175" s="1771"/>
      <c r="AL175" s="1771"/>
      <c r="AM175" s="1771"/>
      <c r="AN175" s="1771"/>
      <c r="AO175" s="1771"/>
      <c r="AP175" s="1771"/>
      <c r="AQ175" s="1771"/>
      <c r="AR175" s="1979">
        <v>0</v>
      </c>
    </row>
    <row s="47026" customFormat="1" customHeight="1" ht="17.25">
      <c r="A176" s="833"/>
      <c r="C176" s="832"/>
      <c r="D176" s="2648"/>
      <c r="E176" s="2656"/>
      <c r="F176" s="2659"/>
      <c r="G176" s="2656"/>
      <c r="H176" s="1811"/>
      <c r="I176" s="1812"/>
      <c r="J176" s="1812"/>
      <c r="K176" s="1812"/>
      <c r="L176" s="1812"/>
      <c r="M176" s="1812"/>
      <c r="N176" s="1812"/>
      <c r="O176" s="1812"/>
      <c r="P176" s="1812"/>
      <c r="Q176" s="1812"/>
      <c r="R176" s="1812"/>
      <c r="S176" s="1813"/>
      <c r="T176" s="1813"/>
      <c r="U176" s="1813"/>
      <c r="V176" s="1813"/>
      <c r="W176" s="1814"/>
      <c r="X176" s="1771"/>
      <c r="Y176" s="1771"/>
      <c r="Z176" s="1771"/>
      <c r="AA176" s="1771"/>
      <c r="AB176" s="1771"/>
      <c r="AC176" s="1771"/>
      <c r="AD176" s="1771"/>
      <c r="AE176" s="1771"/>
      <c r="AF176" s="1771"/>
      <c r="AG176" s="1771"/>
      <c r="AH176" s="1771"/>
      <c r="AI176" s="1771"/>
      <c r="AJ176" s="1771"/>
      <c r="AK176" s="1771"/>
      <c r="AL176" s="1771"/>
      <c r="AM176" s="1771"/>
      <c r="AN176" s="1771"/>
      <c r="AO176" s="1771"/>
      <c r="AP176" s="1771"/>
      <c r="AQ176" s="1771"/>
      <c r="AR176" s="1979">
        <v>0</v>
      </c>
    </row>
    <row s="47026" customFormat="1" customHeight="1" ht="17.25">
      <c r="A177" s="833"/>
      <c r="C177" s="721"/>
      <c r="D177" s="2647">
        <v>3</v>
      </c>
      <c r="E177" s="2655" t="s">
        <v>392</v>
      </c>
      <c r="F177" s="2657" t="s">
        <v>19</v>
      </c>
      <c r="G177" s="2655"/>
      <c r="H177" s="2660"/>
      <c r="I177" s="2662"/>
      <c r="J177" s="2664"/>
      <c r="K177" s="2649"/>
      <c r="L177" s="2649"/>
      <c r="M177" s="2649"/>
      <c r="N177" s="2651"/>
      <c r="O177" s="2649"/>
      <c r="P177" s="2649"/>
      <c r="Q177" s="2649"/>
      <c r="R177" s="2654"/>
      <c r="S177" s="2649"/>
      <c r="T177" s="2455"/>
      <c r="U177" s="2455"/>
      <c r="V177" s="2457"/>
      <c r="W177" s="1808"/>
      <c r="X177" s="1779"/>
      <c r="Y177" s="1779"/>
      <c r="Z177" s="1779"/>
      <c r="AA177" s="1779"/>
      <c r="AB177" s="1779"/>
      <c r="AC177" s="1779" t="s">
        <v>393</v>
      </c>
      <c r="AD177" s="1779" t="s">
        <v>394</v>
      </c>
      <c r="AE177" s="1779" t="s">
        <v>395</v>
      </c>
      <c r="AF177" s="1779" t="s">
        <v>396</v>
      </c>
      <c r="AG177" s="1779"/>
      <c r="AH177" s="1779" t="str">
        <f>IF($E$177=0,"",$E$177)</f>
        <v>Тариф на подключение (технологическое присоединение) к централизованной системе водоотведения</v>
      </c>
      <c r="AI177" s="1779" t="str">
        <f>IF($G$177=0,"",$G$177)</f>
        <v/>
      </c>
      <c r="AJ177" s="1779" t="str">
        <f>IF($J$177=0,"",$J$177)</f>
        <v/>
      </c>
      <c r="AK177" s="1779" t="str">
        <f>IF($K$177="нет","без дифференциации",IF($N$177=0,"",$N$177))</f>
        <v/>
      </c>
      <c r="AL177" s="1779" t="str">
        <f>IF($O$177="нет","без дифференциации",IF($R$177=0,"",$R$177))</f>
        <v/>
      </c>
      <c r="AM177" s="1779" t="str">
        <f>IF($S$177="нет","без дифференциации",IF($V$177=0,"",$V$177))</f>
        <v/>
      </c>
      <c r="AN177" s="2284">
        <f>$I$177</f>
        <v>0</v>
      </c>
      <c r="AO177" s="1779" t="str">
        <f>$I$177&amp;"."&amp;$M$177</f>
        <v>.</v>
      </c>
      <c r="AP177" s="1778" t="str">
        <f>$I$177&amp;"."&amp;$M$177&amp;"."&amp;$Q$177</f>
        <v>..</v>
      </c>
      <c r="AQ177" s="1778" t="str">
        <f>$I$177&amp;"."&amp;$M$177&amp;"."&amp;$Q$177&amp;"."&amp;$U$177</f>
        <v>...</v>
      </c>
      <c r="AR177" s="1979">
        <v>0</v>
      </c>
    </row>
    <row s="47026" customFormat="1" customHeight="1" ht="17.25">
      <c r="A178" s="833"/>
      <c r="C178" s="832"/>
      <c r="D178" s="2647"/>
      <c r="E178" s="2655"/>
      <c r="F178" s="2658"/>
      <c r="G178" s="2655"/>
      <c r="H178" s="2661"/>
      <c r="I178" s="2663"/>
      <c r="J178" s="2665"/>
      <c r="K178" s="2650"/>
      <c r="L178" s="2650"/>
      <c r="M178" s="2650"/>
      <c r="N178" s="2652"/>
      <c r="O178" s="2650"/>
      <c r="P178" s="2650"/>
      <c r="Q178" s="2650"/>
      <c r="R178" s="2653"/>
      <c r="S178" s="2650"/>
      <c r="T178" s="2460"/>
      <c r="U178" s="2460"/>
      <c r="V178" s="2460"/>
      <c r="W178" s="2461"/>
      <c r="X178" s="1778"/>
      <c r="Y178" s="1778"/>
      <c r="Z178" s="1778"/>
      <c r="AA178" s="1778"/>
      <c r="AB178" s="1778"/>
      <c r="AC178" s="1778"/>
      <c r="AD178" s="1778"/>
      <c r="AE178" s="1778"/>
      <c r="AF178" s="1778"/>
      <c r="AG178" s="1778"/>
      <c r="AH178" s="1778"/>
      <c r="AI178" s="1778"/>
      <c r="AJ178" s="1778"/>
      <c r="AK178" s="1778"/>
      <c r="AL178" s="1778"/>
      <c r="AM178" s="1778"/>
      <c r="AN178" s="1778"/>
      <c r="AO178" s="1778"/>
      <c r="AP178" s="1778"/>
      <c r="AQ178" s="1778"/>
      <c r="AR178" s="1979">
        <v>0</v>
      </c>
    </row>
    <row s="47026" customFormat="1" customHeight="1" ht="17.25">
      <c r="A179" s="833"/>
      <c r="C179" s="832"/>
      <c r="D179" s="2648"/>
      <c r="E179" s="2656"/>
      <c r="F179" s="2658"/>
      <c r="G179" s="2656"/>
      <c r="H179" s="2661"/>
      <c r="I179" s="2663"/>
      <c r="J179" s="2666"/>
      <c r="K179" s="2650"/>
      <c r="L179" s="2650"/>
      <c r="M179" s="2650"/>
      <c r="N179" s="2653"/>
      <c r="O179" s="2650"/>
      <c r="P179" s="2456"/>
      <c r="Q179" s="2460"/>
      <c r="R179" s="2460"/>
      <c r="S179" s="841"/>
      <c r="T179" s="841"/>
      <c r="U179" s="841"/>
      <c r="V179" s="841"/>
      <c r="W179" s="2461"/>
      <c r="X179" s="1778"/>
      <c r="Y179" s="1778"/>
      <c r="Z179" s="1778"/>
      <c r="AA179" s="1778"/>
      <c r="AB179" s="1778"/>
      <c r="AC179" s="1778"/>
      <c r="AD179" s="1778"/>
      <c r="AE179" s="1778"/>
      <c r="AF179" s="1778"/>
      <c r="AG179" s="1778"/>
      <c r="AH179" s="1778"/>
      <c r="AI179" s="1778"/>
      <c r="AJ179" s="1778"/>
      <c r="AK179" s="1778"/>
      <c r="AL179" s="1778"/>
      <c r="AM179" s="1778"/>
      <c r="AN179" s="1778"/>
      <c r="AO179" s="1778"/>
      <c r="AP179" s="1778"/>
      <c r="AQ179" s="1778"/>
      <c r="AR179" s="1979">
        <v>0</v>
      </c>
    </row>
    <row s="47026" customFormat="1" customHeight="1" ht="17.25">
      <c r="A180" s="833"/>
      <c r="C180" s="832"/>
      <c r="D180" s="2648"/>
      <c r="E180" s="2656"/>
      <c r="F180" s="2658"/>
      <c r="G180" s="2656"/>
      <c r="H180" s="2661"/>
      <c r="I180" s="2663"/>
      <c r="J180" s="2666"/>
      <c r="K180" s="2650"/>
      <c r="L180" s="2460"/>
      <c r="M180" s="2460"/>
      <c r="N180" s="2460"/>
      <c r="O180" s="2460"/>
      <c r="P180" s="2460"/>
      <c r="Q180" s="2460"/>
      <c r="R180" s="2460"/>
      <c r="S180" s="841"/>
      <c r="T180" s="841"/>
      <c r="U180" s="841"/>
      <c r="V180" s="841"/>
      <c r="W180" s="2461"/>
      <c r="X180" s="1778"/>
      <c r="Y180" s="1778"/>
      <c r="Z180" s="1778"/>
      <c r="AA180" s="1778"/>
      <c r="AB180" s="1778"/>
      <c r="AC180" s="1778"/>
      <c r="AD180" s="1778"/>
      <c r="AE180" s="1778"/>
      <c r="AF180" s="1778"/>
      <c r="AG180" s="1778"/>
      <c r="AH180" s="1778"/>
      <c r="AI180" s="1778"/>
      <c r="AJ180" s="1778"/>
      <c r="AK180" s="1778"/>
      <c r="AL180" s="1778"/>
      <c r="AM180" s="1778"/>
      <c r="AN180" s="1778"/>
      <c r="AO180" s="1778"/>
      <c r="AP180" s="1778"/>
      <c r="AQ180" s="1778"/>
      <c r="AR180" s="1979">
        <v>0</v>
      </c>
    </row>
    <row s="47026" customFormat="1" customHeight="1" ht="17.25">
      <c r="A181" s="833"/>
      <c r="C181" s="832"/>
      <c r="D181" s="2648"/>
      <c r="E181" s="2656"/>
      <c r="F181" s="2659"/>
      <c r="G181" s="2656"/>
      <c r="H181" s="1811"/>
      <c r="I181" s="2458"/>
      <c r="J181" s="2458"/>
      <c r="K181" s="2458"/>
      <c r="L181" s="2458"/>
      <c r="M181" s="2458"/>
      <c r="N181" s="2458"/>
      <c r="O181" s="2458"/>
      <c r="P181" s="2458"/>
      <c r="Q181" s="2458"/>
      <c r="R181" s="2458"/>
      <c r="S181" s="1813"/>
      <c r="T181" s="1813"/>
      <c r="U181" s="1813"/>
      <c r="V181" s="1813"/>
      <c r="W181" s="2459"/>
      <c r="X181" s="1778"/>
      <c r="Y181" s="1778"/>
      <c r="Z181" s="1778"/>
      <c r="AA181" s="1778"/>
      <c r="AB181" s="1778"/>
      <c r="AC181" s="1778"/>
      <c r="AD181" s="1778"/>
      <c r="AE181" s="1778"/>
      <c r="AF181" s="1778"/>
      <c r="AG181" s="1778"/>
      <c r="AH181" s="1778"/>
      <c r="AI181" s="1778"/>
      <c r="AJ181" s="1778"/>
      <c r="AK181" s="1778"/>
      <c r="AL181" s="1778"/>
      <c r="AM181" s="1778"/>
      <c r="AN181" s="1778"/>
      <c r="AO181" s="1778"/>
      <c r="AP181" s="1778"/>
      <c r="AQ181" s="1778"/>
      <c r="AR181" s="1979">
        <v>0</v>
      </c>
    </row>
    <row customHeight="1" ht="11.549999999999999">
      <c r="AR182" s="616">
        <v>11</v>
      </c>
    </row>
    <row customHeight="1" ht="11.549999999999999">
      <c r="AR183" s="616">
        <v>11</v>
      </c>
    </row>
    <row customHeight="1" ht="11.549999999999999">
      <c r="AR184" s="616">
        <v>11</v>
      </c>
    </row>
    <row customHeight="1" ht="11.549999999999999">
      <c r="E185" s="1862"/>
      <c r="AR185" s="616">
        <v>11</v>
      </c>
    </row>
    <row customHeight="1" ht="11.549999999999999">
      <c r="E186" s="1862"/>
      <c r="AR186" s="616">
        <v>11</v>
      </c>
    </row>
    <row customHeight="1" ht="11.549999999999999">
      <c r="E187" s="1862"/>
      <c r="AR187" s="616">
        <v>11</v>
      </c>
    </row>
    <row customHeight="1" ht="11.549999999999999">
      <c r="E188" s="1862"/>
      <c r="AR188" s="616">
        <v>11</v>
      </c>
    </row>
    <row customHeight="1" ht="11.549999999999999">
      <c r="E189" s="1862"/>
      <c r="AR189" s="616">
        <v>11</v>
      </c>
    </row>
    <row customHeight="1" ht="11.549999999999999">
      <c r="E190" s="1862"/>
      <c r="AR190" s="616">
        <v>11</v>
      </c>
    </row>
    <row customHeight="1" ht="11.549999999999999">
      <c r="E191" s="1862"/>
      <c r="AR191" s="616">
        <v>11</v>
      </c>
    </row>
    <row customHeight="1" ht="11.25" hidden="1">
      <c r="A192" s="665" t="s">
        <v>84</v>
      </c>
      <c r="B192" s="665">
        <v>0</v>
      </c>
      <c r="C192" s="616">
        <v>3</v>
      </c>
      <c r="D192" s="616">
        <v>6</v>
      </c>
      <c r="E192" s="616">
        <v>42</v>
      </c>
      <c r="F192" s="1795">
        <v>14</v>
      </c>
      <c r="G192" s="616">
        <v>42</v>
      </c>
      <c r="H192" s="616">
        <v>3</v>
      </c>
      <c r="I192" s="616">
        <v>5</v>
      </c>
      <c r="J192" s="616">
        <v>47</v>
      </c>
      <c r="K192" s="616">
        <v>3</v>
      </c>
      <c r="L192" s="616">
        <v>3</v>
      </c>
      <c r="M192" s="616">
        <v>5</v>
      </c>
      <c r="N192" s="616">
        <v>28</v>
      </c>
      <c r="O192" s="616">
        <v>3</v>
      </c>
      <c r="P192" s="616">
        <v>3</v>
      </c>
      <c r="Q192" s="616">
        <v>5</v>
      </c>
      <c r="R192" s="616">
        <v>34</v>
      </c>
      <c r="S192" s="794">
        <v>0</v>
      </c>
      <c r="T192" s="794">
        <v>0</v>
      </c>
      <c r="U192" s="794">
        <v>0</v>
      </c>
      <c r="V192" s="794">
        <v>0</v>
      </c>
      <c r="W192" s="616">
        <v>30</v>
      </c>
      <c r="X192" s="616">
        <v>3</v>
      </c>
      <c r="Y192" s="1771">
        <v>0</v>
      </c>
      <c r="Z192" s="1771">
        <v>0</v>
      </c>
      <c r="AA192" s="1771">
        <v>0</v>
      </c>
      <c r="AB192" s="1771">
        <v>0</v>
      </c>
      <c r="AC192" s="1771">
        <v>0</v>
      </c>
      <c r="AD192" s="1771">
        <v>0</v>
      </c>
      <c r="AE192" s="1771">
        <v>0</v>
      </c>
      <c r="AF192" s="1771">
        <v>0</v>
      </c>
      <c r="AG192" s="1771">
        <v>0</v>
      </c>
      <c r="AH192" s="1771">
        <v>0</v>
      </c>
      <c r="AI192" s="1771">
        <v>0</v>
      </c>
      <c r="AJ192" s="1771">
        <v>0</v>
      </c>
      <c r="AK192" s="1771">
        <v>0</v>
      </c>
      <c r="AL192" s="1771">
        <v>0</v>
      </c>
      <c r="AM192" s="1771">
        <v>0</v>
      </c>
      <c r="AN192" s="1771">
        <v>0</v>
      </c>
      <c r="AO192" s="1771">
        <v>0</v>
      </c>
      <c r="AP192" s="1771">
        <v>0</v>
      </c>
      <c r="AQ192" s="1771">
        <v>0</v>
      </c>
      <c r="AR192" s="616">
        <v>11</v>
      </c>
    </row>
  </sheetData>
  <sheetProtection formatColumns="0" formatRows="0" autoFilter="0" sort="0" insertRows="0" insertColumns="1" deleteRows="0" deleteColumns="0"/>
  <mergeCells count="513">
    <mergeCell ref="R23:R24"/>
    <mergeCell ref="S23:S24"/>
    <mergeCell ref="G23:G27"/>
    <mergeCell ref="H23:H26"/>
    <mergeCell ref="I23:I26"/>
    <mergeCell ref="J23:J26"/>
    <mergeCell ref="K23:K26"/>
    <mergeCell ref="L23:L25"/>
    <mergeCell ref="M23:M25"/>
    <mergeCell ref="N23:N25"/>
    <mergeCell ref="O23:O25"/>
    <mergeCell ref="M177:M179"/>
    <mergeCell ref="N177:N179"/>
    <mergeCell ref="O177:O179"/>
    <mergeCell ref="P177:P178"/>
    <mergeCell ref="Q177:Q178"/>
    <mergeCell ref="R177:R178"/>
    <mergeCell ref="S177:S178"/>
    <mergeCell ref="D177:D181"/>
    <mergeCell ref="E177:E181"/>
    <mergeCell ref="F177:F181"/>
    <mergeCell ref="G177:G181"/>
    <mergeCell ref="H177:H180"/>
    <mergeCell ref="I177:I180"/>
    <mergeCell ref="J177:J180"/>
    <mergeCell ref="K177:K180"/>
    <mergeCell ref="L177:L179"/>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72:S173"/>
    <mergeCell ref="D172:D176"/>
    <mergeCell ref="E172:E176"/>
    <mergeCell ref="F172:F176"/>
    <mergeCell ref="G172:G176"/>
    <mergeCell ref="H172:H175"/>
    <mergeCell ref="I172:I175"/>
    <mergeCell ref="J172:J175"/>
    <mergeCell ref="K172:K175"/>
    <mergeCell ref="L172:L174"/>
    <mergeCell ref="M172:M174"/>
    <mergeCell ref="N172:N174"/>
    <mergeCell ref="O172:O174"/>
    <mergeCell ref="P172:P173"/>
    <mergeCell ref="Q172:Q173"/>
    <mergeCell ref="R172:R173"/>
    <mergeCell ref="D121:D171"/>
    <mergeCell ref="E121:E171"/>
    <mergeCell ref="F121:F171"/>
    <mergeCell ref="G121:G171"/>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M121:M123"/>
    <mergeCell ref="N121:N123"/>
    <mergeCell ref="S121:S122"/>
    <mergeCell ref="H121:H170"/>
    <mergeCell ref="I121:I170"/>
    <mergeCell ref="J121:J170"/>
    <mergeCell ref="K121:K170"/>
    <mergeCell ref="L121:L123"/>
    <mergeCell ref="W121:W122"/>
    <mergeCell ref="O121:O123"/>
    <mergeCell ref="P121:P122"/>
    <mergeCell ref="Q121:Q122"/>
    <mergeCell ref="R121:R122"/>
    <mergeCell ref="L124:L126"/>
    <mergeCell ref="M124:M126"/>
    <mergeCell ref="N124:N126"/>
    <mergeCell ref="O124:O126"/>
    <mergeCell ref="P124:P125"/>
    <mergeCell ref="Q124:Q125"/>
    <mergeCell ref="R124:R125"/>
    <mergeCell ref="S124:S125"/>
    <mergeCell ref="W124:W125"/>
    <mergeCell ref="L127:L129"/>
    <mergeCell ref="M127:M129"/>
    <mergeCell ref="N127:N129"/>
    <mergeCell ref="O127:O129"/>
    <mergeCell ref="P127:P128"/>
    <mergeCell ref="Q127:Q128"/>
    <mergeCell ref="R127:R128"/>
    <mergeCell ref="S127:S128"/>
    <mergeCell ref="W127:W128"/>
    <mergeCell ref="L130:L140"/>
    <mergeCell ref="M130:M140"/>
    <mergeCell ref="N130:N140"/>
    <mergeCell ref="O130:O140"/>
    <mergeCell ref="P130:P131"/>
    <mergeCell ref="Q130:Q131"/>
    <mergeCell ref="R130:R131"/>
    <mergeCell ref="S130:S131"/>
    <mergeCell ref="W130:W131"/>
    <mergeCell ref="P132:P133"/>
    <mergeCell ref="Q132:Q133"/>
    <mergeCell ref="R132:R133"/>
    <mergeCell ref="S132:S133"/>
    <mergeCell ref="W132:W133"/>
    <mergeCell ref="P134:P135"/>
    <mergeCell ref="Q134:Q135"/>
    <mergeCell ref="R134:R135"/>
    <mergeCell ref="S134:S135"/>
    <mergeCell ref="W134:W135"/>
    <mergeCell ref="P136:P137"/>
    <mergeCell ref="Q136:Q137"/>
    <mergeCell ref="R136:R137"/>
    <mergeCell ref="S136:S137"/>
    <mergeCell ref="W136:W137"/>
    <mergeCell ref="P138:P139"/>
    <mergeCell ref="Q138:Q139"/>
    <mergeCell ref="R138:R139"/>
    <mergeCell ref="S138:S139"/>
    <mergeCell ref="W138:W139"/>
    <mergeCell ref="L141:L143"/>
    <mergeCell ref="M141:M143"/>
    <mergeCell ref="N141:N143"/>
    <mergeCell ref="O141:O143"/>
    <mergeCell ref="P141:P142"/>
    <mergeCell ref="Q141:Q142"/>
    <mergeCell ref="R141:R142"/>
    <mergeCell ref="S141:S142"/>
    <mergeCell ref="W141:W142"/>
    <mergeCell ref="L144:L146"/>
    <mergeCell ref="M144:M146"/>
    <mergeCell ref="N144:N146"/>
    <mergeCell ref="O144:O146"/>
    <mergeCell ref="P144:P145"/>
    <mergeCell ref="Q144:Q145"/>
    <mergeCell ref="R144:R145"/>
    <mergeCell ref="S144:S145"/>
    <mergeCell ref="W144:W145"/>
    <mergeCell ref="L147:L149"/>
    <mergeCell ref="M147:M149"/>
    <mergeCell ref="N147:N149"/>
    <mergeCell ref="O147:O149"/>
    <mergeCell ref="P147:P148"/>
    <mergeCell ref="Q147:Q148"/>
    <mergeCell ref="R147:R148"/>
    <mergeCell ref="S147:S148"/>
    <mergeCell ref="W147:W148"/>
    <mergeCell ref="L150:L152"/>
    <mergeCell ref="M150:M152"/>
    <mergeCell ref="N150:N152"/>
    <mergeCell ref="O150:O152"/>
    <mergeCell ref="P150:P151"/>
    <mergeCell ref="Q150:Q151"/>
    <mergeCell ref="R150:R151"/>
    <mergeCell ref="S150:S151"/>
    <mergeCell ref="W150:W151"/>
    <mergeCell ref="L153:L155"/>
    <mergeCell ref="M153:M155"/>
    <mergeCell ref="N153:N155"/>
    <mergeCell ref="O153:O155"/>
    <mergeCell ref="P153:P154"/>
    <mergeCell ref="Q153:Q154"/>
    <mergeCell ref="R153:R154"/>
    <mergeCell ref="S153:S154"/>
    <mergeCell ref="W153:W154"/>
    <mergeCell ref="L156:L158"/>
    <mergeCell ref="M156:M158"/>
    <mergeCell ref="N156:N158"/>
    <mergeCell ref="O156:O158"/>
    <mergeCell ref="P156:P157"/>
    <mergeCell ref="Q156:Q157"/>
    <mergeCell ref="R156:R157"/>
    <mergeCell ref="S156:S157"/>
    <mergeCell ref="W156:W157"/>
    <mergeCell ref="L159:L161"/>
    <mergeCell ref="M159:M161"/>
    <mergeCell ref="N159:N161"/>
    <mergeCell ref="O159:O161"/>
    <mergeCell ref="P159:P160"/>
    <mergeCell ref="Q159:Q160"/>
    <mergeCell ref="R159:R160"/>
    <mergeCell ref="S159:S160"/>
    <mergeCell ref="W159:W160"/>
    <mergeCell ref="L162:L164"/>
    <mergeCell ref="M162:M164"/>
    <mergeCell ref="N162:N164"/>
    <mergeCell ref="O162:O164"/>
    <mergeCell ref="P162:P163"/>
    <mergeCell ref="Q162:Q163"/>
    <mergeCell ref="R162:R163"/>
    <mergeCell ref="S162:S163"/>
    <mergeCell ref="W162:W163"/>
    <mergeCell ref="L165:L169"/>
    <mergeCell ref="M165:M169"/>
    <mergeCell ref="N165:N169"/>
    <mergeCell ref="O165:O169"/>
    <mergeCell ref="P165:P166"/>
    <mergeCell ref="Q165:Q166"/>
    <mergeCell ref="R165:R166"/>
    <mergeCell ref="S165:S166"/>
    <mergeCell ref="W165:W166"/>
    <mergeCell ref="P167:P168"/>
    <mergeCell ref="Q167:Q168"/>
    <mergeCell ref="R167:R168"/>
    <mergeCell ref="S167:S168"/>
    <mergeCell ref="W167:W168"/>
  </mergeCells>
  <dataValidations count="30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3"/>
    <dataValidation allowBlank="1" showInputMessage="1" showErrorMessage="1" prompt="Для выбора выполните двойной щелчок левой клавиши мыши по соответствующей ячейке." sqref="S122"/>
    <dataValidation type="textLength" operator="lessThanOrEqual" allowBlank="1" showInputMessage="1" showErrorMessage="1" errorTitle="Ошибка" error="Допускается ввод не более 900 символов!" sqref="R12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2"/>
    <dataValidation type="textLength" operator="lessThanOrEqual" allowBlank="1" showInputMessage="1" showErrorMessage="1" errorTitle="Ошибка" error="Допускается ввод не более 900 символов!" sqref="J122">
      <formula1>900</formula1>
    </dataValidation>
    <dataValidation type="textLength" operator="lessThanOrEqual" allowBlank="1" showInputMessage="1" showErrorMessage="1" errorTitle="Ошибка" error="Допускается ввод не более 900 символов!" sqref="W121">
      <formula1>900</formula1>
    </dataValidation>
    <dataValidation type="textLength" operator="lessThanOrEqual" allowBlank="1" showInputMessage="1" showErrorMessage="1" errorTitle="Ошибка" error="Допускается ввод не более 900 символов!" sqref="V121">
      <formula1>900</formula1>
    </dataValidation>
    <dataValidation allowBlank="1" showInputMessage="1" showErrorMessage="1" prompt="Для выбора выполните двойной щелчок левой клавиши мыши по соответствующей ячейке." sqref="S121"/>
    <dataValidation type="textLength" operator="lessThanOrEqual" allowBlank="1" showInputMessage="1" showErrorMessage="1" errorTitle="Ошибка" error="Допускается ввод не более 900 символов!" sqref="R121">
      <formula1>900</formula1>
    </dataValidation>
    <dataValidation allowBlank="1" showInputMessage="1" showErrorMessage="1" prompt="Для выбора выполните двойной щелчок левой клавиши мыши по соответствующей ячейке." sqref="O12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1"/>
    <dataValidation allowBlank="1" showInputMessage="1" showErrorMessage="1" prompt="Для выбора выполните двойной щелчок левой клавиши мыши по соответствующей ячейке." sqref="K121"/>
    <dataValidation type="textLength" operator="lessThanOrEqual" allowBlank="1" showInputMessage="1" showErrorMessage="1" errorTitle="Ошибка" error="Допускается ввод не более 900 символов!" sqref="J121">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77:O178 O105:O106 S105:S106 O110:O111 S110:S111 K105:K106 K110:K111 S99:S100 K172:K173 O172:O173 S172:S173 O115:O116 O58:O59 S58:S59 K58:K59 K63:K64 O63:O64 S63:S64 F79:F103 K99:K100 O99:O100 F105:F119 S115:S116 K115:K116 F121:F122 F123 F170:F181 S177:S178 K177:K178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72:J173 R172:R173 V172:W172 J58:J59 R58:R59 V58:W58 J63:J64 R63:R64 V63:W63 J99:J100 R99:R100 V99:W99 J115:J116 R115:R116 V115:W115 J177:J178 R177:R178 V177:W177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72:N174 N58:N60 N63:N65 N99:N101 N115:N117 N177:N179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22 G123 G170:G181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Для выбора выполните двойной щелчок левой клавиши мыши по соответствующей ячейке." sqref="F124"/>
    <dataValidation allowBlank="1" showInputMessage="1" showErrorMessage="1" prompt="Выберите виды деятельности, выполнив двойной щелчок левой кнопки мыши по ячейке." sqref="G124"/>
    <dataValidation type="textLength" operator="lessThanOrEqual" allowBlank="1" showInputMessage="1" showErrorMessage="1" errorTitle="Ошибка" error="Допускается ввод не более 900 символов!" sqref="J12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4"/>
    <dataValidation allowBlank="1" showInputMessage="1" showErrorMessage="1" prompt="Для выбора выполните двойной щелчок левой клавиши мыши по соответствующей ячейке." sqref="O124"/>
    <dataValidation type="textLength" operator="lessThanOrEqual" allowBlank="1" showInputMessage="1" showErrorMessage="1" errorTitle="Ошибка" error="Допускается ввод не более 900 символов!" sqref="R124">
      <formula1>900</formula1>
    </dataValidation>
    <dataValidation allowBlank="1" showInputMessage="1" showErrorMessage="1" prompt="Для выбора выполните двойной щелчок левой клавиши мыши по соответствующей ячейке." sqref="S124"/>
    <dataValidation type="textLength" operator="lessThanOrEqual" allowBlank="1" showInputMessage="1" showErrorMessage="1" errorTitle="Ошибка" error="Допускается ввод не более 900 символов!" sqref="V124">
      <formula1>900</formula1>
    </dataValidation>
    <dataValidation type="textLength" operator="lessThanOrEqual" allowBlank="1" showInputMessage="1" showErrorMessage="1" errorTitle="Ошибка" error="Допускается ввод не более 900 символов!" sqref="W124">
      <formula1>900</formula1>
    </dataValidation>
    <dataValidation allowBlank="1" showInputMessage="1" showErrorMessage="1" prompt="Для выбора выполните двойной щелчок левой клавиши мыши по соответствующей ячейке." sqref="F125"/>
    <dataValidation allowBlank="1" showInputMessage="1" showErrorMessage="1" prompt="Выберите виды деятельности, выполнив двойной щелчок левой кнопки мыши по ячейке." sqref="G125"/>
    <dataValidation type="textLength" operator="lessThanOrEqual" allowBlank="1" showInputMessage="1" showErrorMessage="1" errorTitle="Ошибка" error="Допускается ввод не более 900 символов!" sqref="J12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5"/>
    <dataValidation type="textLength" operator="lessThanOrEqual" allowBlank="1" showInputMessage="1" showErrorMessage="1" errorTitle="Ошибка" error="Допускается ввод не более 900 символов!" sqref="R125">
      <formula1>900</formula1>
    </dataValidation>
    <dataValidation allowBlank="1" showInputMessage="1" showErrorMessage="1" prompt="Для выбора выполните двойной щелчок левой клавиши мыши по соответствующей ячейке." sqref="S125"/>
    <dataValidation allowBlank="1" showInputMessage="1" showErrorMessage="1" prompt="Для выбора выполните двойной щелчок левой клавиши мыши по соответствующей ячейке." sqref="F126"/>
    <dataValidation allowBlank="1" showInputMessage="1" showErrorMessage="1" prompt="Выберите виды деятельности, выполнив двойной щелчок левой кнопки мыши по ячейке." sqref="G12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6"/>
    <dataValidation allowBlank="1" showInputMessage="1" showErrorMessage="1" prompt="Для выбора выполните двойной щелчок левой клавиши мыши по соответствующей ячейке." sqref="F127"/>
    <dataValidation allowBlank="1" showInputMessage="1" showErrorMessage="1" prompt="Выберите виды деятельности, выполнив двойной щелчок левой кнопки мыши по ячейке." sqref="G127"/>
    <dataValidation type="textLength" operator="lessThanOrEqual" allowBlank="1" showInputMessage="1" showErrorMessage="1" errorTitle="Ошибка" error="Допускается ввод не более 900 символов!" sqref="J12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7"/>
    <dataValidation allowBlank="1" showInputMessage="1" showErrorMessage="1" prompt="Для выбора выполните двойной щелчок левой клавиши мыши по соответствующей ячейке." sqref="O127"/>
    <dataValidation type="textLength" operator="lessThanOrEqual" allowBlank="1" showInputMessage="1" showErrorMessage="1" errorTitle="Ошибка" error="Допускается ввод не более 900 символов!" sqref="R127">
      <formula1>900</formula1>
    </dataValidation>
    <dataValidation allowBlank="1" showInputMessage="1" showErrorMessage="1" prompt="Для выбора выполните двойной щелчок левой клавиши мыши по соответствующей ячейке." sqref="S127"/>
    <dataValidation type="textLength" operator="lessThanOrEqual" allowBlank="1" showInputMessage="1" showErrorMessage="1" errorTitle="Ошибка" error="Допускается ввод не более 900 символов!" sqref="V127">
      <formula1>900</formula1>
    </dataValidation>
    <dataValidation type="textLength" operator="lessThanOrEqual" allowBlank="1" showInputMessage="1" showErrorMessage="1" errorTitle="Ошибка" error="Допускается ввод не более 900 символов!" sqref="W127">
      <formula1>900</formula1>
    </dataValidation>
    <dataValidation allowBlank="1" showInputMessage="1" showErrorMessage="1" prompt="Для выбора выполните двойной щелчок левой клавиши мыши по соответствующей ячейке." sqref="F128"/>
    <dataValidation allowBlank="1" showInputMessage="1" showErrorMessage="1" prompt="Выберите виды деятельности, выполнив двойной щелчок левой кнопки мыши по ячейке." sqref="G128"/>
    <dataValidation type="textLength" operator="lessThanOrEqual" allowBlank="1" showInputMessage="1" showErrorMessage="1" errorTitle="Ошибка" error="Допускается ввод не более 900 символов!" sqref="J12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8"/>
    <dataValidation type="textLength" operator="lessThanOrEqual" allowBlank="1" showInputMessage="1" showErrorMessage="1" errorTitle="Ошибка" error="Допускается ввод не более 900 символов!" sqref="R128">
      <formula1>900</formula1>
    </dataValidation>
    <dataValidation allowBlank="1" showInputMessage="1" showErrorMessage="1" prompt="Для выбора выполните двойной щелчок левой клавиши мыши по соответствующей ячейке." sqref="S128"/>
    <dataValidation allowBlank="1" showInputMessage="1" showErrorMessage="1" prompt="Для выбора выполните двойной щелчок левой клавиши мыши по соответствующей ячейке." sqref="F129"/>
    <dataValidation allowBlank="1" showInputMessage="1" showErrorMessage="1" prompt="Выберите виды деятельности, выполнив двойной щелчок левой кнопки мыши по ячейке." sqref="G12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9"/>
    <dataValidation allowBlank="1" showInputMessage="1" showErrorMessage="1" prompt="Для выбора выполните двойной щелчок левой клавиши мыши по соответствующей ячейке." sqref="F130"/>
    <dataValidation allowBlank="1" showInputMessage="1" showErrorMessage="1" prompt="Выберите виды деятельности, выполнив двойной щелчок левой кнопки мыши по ячейке." sqref="G130"/>
    <dataValidation type="textLength" operator="lessThanOrEqual" allowBlank="1" showInputMessage="1" showErrorMessage="1" errorTitle="Ошибка" error="Допускается ввод не более 900 символов!" sqref="J13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0"/>
    <dataValidation allowBlank="1" showInputMessage="1" showErrorMessage="1" prompt="Для выбора выполните двойной щелчок левой клавиши мыши по соответствующей ячейке." sqref="O130"/>
    <dataValidation type="textLength" operator="lessThanOrEqual" allowBlank="1" showInputMessage="1" showErrorMessage="1" errorTitle="Ошибка" error="Допускается ввод не более 900 символов!" sqref="R130">
      <formula1>900</formula1>
    </dataValidation>
    <dataValidation allowBlank="1" showInputMessage="1" showErrorMessage="1" prompt="Для выбора выполните двойной щелчок левой клавиши мыши по соответствующей ячейке." sqref="S130"/>
    <dataValidation type="textLength" operator="lessThanOrEqual" allowBlank="1" showInputMessage="1" showErrorMessage="1" errorTitle="Ошибка" error="Допускается ввод не более 900 символов!" sqref="V130">
      <formula1>900</formula1>
    </dataValidation>
    <dataValidation type="textLength" operator="lessThanOrEqual" allowBlank="1" showInputMessage="1" showErrorMessage="1" errorTitle="Ошибка" error="Допускается ввод не более 900 символов!" sqref="W130">
      <formula1>900</formula1>
    </dataValidation>
    <dataValidation allowBlank="1" showInputMessage="1" showErrorMessage="1" prompt="Для выбора выполните двойной щелчок левой клавиши мыши по соответствующей ячейке." sqref="F131"/>
    <dataValidation allowBlank="1" showInputMessage="1" showErrorMessage="1" prompt="Выберите виды деятельности, выполнив двойной щелчок левой кнопки мыши по ячейке." sqref="G131"/>
    <dataValidation type="textLength" operator="lessThanOrEqual" allowBlank="1" showInputMessage="1" showErrorMessage="1" errorTitle="Ошибка" error="Допускается ввод не более 900 символов!" sqref="J13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1"/>
    <dataValidation type="textLength" operator="lessThanOrEqual" allowBlank="1" showInputMessage="1" showErrorMessage="1" errorTitle="Ошибка" error="Допускается ввод не более 900 символов!" sqref="R131">
      <formula1>900</formula1>
    </dataValidation>
    <dataValidation allowBlank="1" showInputMessage="1" showErrorMessage="1" prompt="Для выбора выполните двойной щелчок левой клавиши мыши по соответствующей ячейке." sqref="S131"/>
    <dataValidation allowBlank="1" showInputMessage="1" showErrorMessage="1" prompt="Для выбора выполните двойной щелчок левой клавиши мыши по соответствующей ячейке." sqref="F140"/>
    <dataValidation allowBlank="1" showInputMessage="1" showErrorMessage="1" prompt="Выберите виды деятельности, выполнив двойной щелчок левой кнопки мыши по ячейке." sqref="G14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0"/>
    <dataValidation allowBlank="1" showInputMessage="1" showErrorMessage="1" prompt="Для выбора выполните двойной щелчок левой клавиши мыши по соответствующей ячейке." sqref="F132"/>
    <dataValidation allowBlank="1" showInputMessage="1" showErrorMessage="1" prompt="Выберите виды деятельности, выполнив двойной щелчок левой кнопки мыши по ячейке." sqref="G132"/>
    <dataValidation type="textLength" operator="lessThanOrEqual" allowBlank="1" showInputMessage="1" showErrorMessage="1" errorTitle="Ошибка" error="Допускается ввод не более 900 символов!" sqref="J13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2"/>
    <dataValidation allowBlank="1" showInputMessage="1" showErrorMessage="1" prompt="Для выбора выполните двойной щелчок левой клавиши мыши по соответствующей ячейке." sqref="O132"/>
    <dataValidation type="textLength" operator="lessThanOrEqual" allowBlank="1" showInputMessage="1" showErrorMessage="1" errorTitle="Ошибка" error="Допускается ввод не более 900 символов!" sqref="R132">
      <formula1>900</formula1>
    </dataValidation>
    <dataValidation allowBlank="1" showInputMessage="1" showErrorMessage="1" prompt="Для выбора выполните двойной щелчок левой клавиши мыши по соответствующей ячейке." sqref="S132"/>
    <dataValidation type="textLength" operator="lessThanOrEqual" allowBlank="1" showInputMessage="1" showErrorMessage="1" errorTitle="Ошибка" error="Допускается ввод не более 900 символов!" sqref="V132">
      <formula1>900</formula1>
    </dataValidation>
    <dataValidation type="textLength" operator="lessThanOrEqual" allowBlank="1" showInputMessage="1" showErrorMessage="1" errorTitle="Ошибка" error="Допускается ввод не более 900 символов!" sqref="W132">
      <formula1>900</formula1>
    </dataValidation>
    <dataValidation allowBlank="1" showInputMessage="1" showErrorMessage="1" prompt="Для выбора выполните двойной щелчок левой клавиши мыши по соответствующей ячейке." sqref="F133"/>
    <dataValidation allowBlank="1" showInputMessage="1" showErrorMessage="1" prompt="Выберите виды деятельности, выполнив двойной щелчок левой кнопки мыши по ячейке." sqref="G133"/>
    <dataValidation type="textLength" operator="lessThanOrEqual" allowBlank="1" showInputMessage="1" showErrorMessage="1" errorTitle="Ошибка" error="Допускается ввод не более 900 символов!" sqref="J13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3"/>
    <dataValidation type="textLength" operator="lessThanOrEqual" allowBlank="1" showInputMessage="1" showErrorMessage="1" errorTitle="Ошибка" error="Допускается ввод не более 900 символов!" sqref="R133">
      <formula1>900</formula1>
    </dataValidation>
    <dataValidation allowBlank="1" showInputMessage="1" showErrorMessage="1" prompt="Для выбора выполните двойной щелчок левой клавиши мыши по соответствующей ячейке." sqref="S133"/>
    <dataValidation allowBlank="1" showInputMessage="1" showErrorMessage="1" prompt="Для выбора выполните двойной щелчок левой клавиши мыши по соответствующей ячейке." sqref="F134"/>
    <dataValidation allowBlank="1" showInputMessage="1" showErrorMessage="1" prompt="Выберите виды деятельности, выполнив двойной щелчок левой кнопки мыши по ячейке." sqref="G134"/>
    <dataValidation type="textLength" operator="lessThanOrEqual" allowBlank="1" showInputMessage="1" showErrorMessage="1" errorTitle="Ошибка" error="Допускается ввод не более 900 символов!" sqref="J13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4"/>
    <dataValidation allowBlank="1" showInputMessage="1" showErrorMessage="1" prompt="Для выбора выполните двойной щелчок левой клавиши мыши по соответствующей ячейке." sqref="O134"/>
    <dataValidation type="textLength" operator="lessThanOrEqual" allowBlank="1" showInputMessage="1" showErrorMessage="1" errorTitle="Ошибка" error="Допускается ввод не более 900 символов!" sqref="R134">
      <formula1>900</formula1>
    </dataValidation>
    <dataValidation allowBlank="1" showInputMessage="1" showErrorMessage="1" prompt="Для выбора выполните двойной щелчок левой клавиши мыши по соответствующей ячейке." sqref="S134"/>
    <dataValidation type="textLength" operator="lessThanOrEqual" allowBlank="1" showInputMessage="1" showErrorMessage="1" errorTitle="Ошибка" error="Допускается ввод не более 900 символов!" sqref="V134">
      <formula1>900</formula1>
    </dataValidation>
    <dataValidation type="textLength" operator="lessThanOrEqual" allowBlank="1" showInputMessage="1" showErrorMessage="1" errorTitle="Ошибка" error="Допускается ввод не более 900 символов!" sqref="W134">
      <formula1>900</formula1>
    </dataValidation>
    <dataValidation allowBlank="1" showInputMessage="1" showErrorMessage="1" prompt="Для выбора выполните двойной щелчок левой клавиши мыши по соответствующей ячейке." sqref="F135"/>
    <dataValidation allowBlank="1" showInputMessage="1" showErrorMessage="1" prompt="Выберите виды деятельности, выполнив двойной щелчок левой кнопки мыши по ячейке." sqref="G135"/>
    <dataValidation type="textLength" operator="lessThanOrEqual" allowBlank="1" showInputMessage="1" showErrorMessage="1" errorTitle="Ошибка" error="Допускается ввод не более 900 символов!" sqref="J13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5"/>
    <dataValidation type="textLength" operator="lessThanOrEqual" allowBlank="1" showInputMessage="1" showErrorMessage="1" errorTitle="Ошибка" error="Допускается ввод не более 900 символов!" sqref="R135">
      <formula1>900</formula1>
    </dataValidation>
    <dataValidation allowBlank="1" showInputMessage="1" showErrorMessage="1" prompt="Для выбора выполните двойной щелчок левой клавиши мыши по соответствующей ячейке." sqref="S135"/>
    <dataValidation allowBlank="1" showInputMessage="1" showErrorMessage="1" prompt="Для выбора выполните двойной щелчок левой клавиши мыши по соответствующей ячейке." sqref="F136"/>
    <dataValidation allowBlank="1" showInputMessage="1" showErrorMessage="1" prompt="Выберите виды деятельности, выполнив двойной щелчок левой кнопки мыши по ячейке." sqref="G136"/>
    <dataValidation type="textLength" operator="lessThanOrEqual" allowBlank="1" showInputMessage="1" showErrorMessage="1" errorTitle="Ошибка" error="Допускается ввод не более 900 символов!" sqref="J13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6"/>
    <dataValidation allowBlank="1" showInputMessage="1" showErrorMessage="1" prompt="Для выбора выполните двойной щелчок левой клавиши мыши по соответствующей ячейке." sqref="O136"/>
    <dataValidation type="textLength" operator="lessThanOrEqual" allowBlank="1" showInputMessage="1" showErrorMessage="1" errorTitle="Ошибка" error="Допускается ввод не более 900 символов!" sqref="R136">
      <formula1>900</formula1>
    </dataValidation>
    <dataValidation allowBlank="1" showInputMessage="1" showErrorMessage="1" prompt="Для выбора выполните двойной щелчок левой клавиши мыши по соответствующей ячейке." sqref="S136"/>
    <dataValidation type="textLength" operator="lessThanOrEqual" allowBlank="1" showInputMessage="1" showErrorMessage="1" errorTitle="Ошибка" error="Допускается ввод не более 900 символов!" sqref="V136">
      <formula1>900</formula1>
    </dataValidation>
    <dataValidation type="textLength" operator="lessThanOrEqual" allowBlank="1" showInputMessage="1" showErrorMessage="1" errorTitle="Ошибка" error="Допускается ввод не более 900 символов!" sqref="W136">
      <formula1>900</formula1>
    </dataValidation>
    <dataValidation allowBlank="1" showInputMessage="1" showErrorMessage="1" prompt="Для выбора выполните двойной щелчок левой клавиши мыши по соответствующей ячейке." sqref="F137"/>
    <dataValidation allowBlank="1" showInputMessage="1" showErrorMessage="1" prompt="Выберите виды деятельности, выполнив двойной щелчок левой кнопки мыши по ячейке." sqref="G137"/>
    <dataValidation type="textLength" operator="lessThanOrEqual" allowBlank="1" showInputMessage="1" showErrorMessage="1" errorTitle="Ошибка" error="Допускается ввод не более 900 символов!" sqref="J13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7"/>
    <dataValidation type="textLength" operator="lessThanOrEqual" allowBlank="1" showInputMessage="1" showErrorMessage="1" errorTitle="Ошибка" error="Допускается ввод не более 900 символов!" sqref="R137">
      <formula1>900</formula1>
    </dataValidation>
    <dataValidation allowBlank="1" showInputMessage="1" showErrorMessage="1" prompt="Для выбора выполните двойной щелчок левой клавиши мыши по соответствующей ячейке." sqref="S137"/>
    <dataValidation allowBlank="1" showInputMessage="1" showErrorMessage="1" prompt="Для выбора выполните двойной щелчок левой клавиши мыши по соответствующей ячейке." sqref="F138"/>
    <dataValidation allowBlank="1" showInputMessage="1" showErrorMessage="1" prompt="Выберите виды деятельности, выполнив двойной щелчок левой кнопки мыши по ячейке." sqref="G138"/>
    <dataValidation type="textLength" operator="lessThanOrEqual" allowBlank="1" showInputMessage="1" showErrorMessage="1" errorTitle="Ошибка" error="Допускается ввод не более 900 символов!" sqref="J13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8"/>
    <dataValidation allowBlank="1" showInputMessage="1" showErrorMessage="1" prompt="Для выбора выполните двойной щелчок левой клавиши мыши по соответствующей ячейке." sqref="O138"/>
    <dataValidation type="textLength" operator="lessThanOrEqual" allowBlank="1" showInputMessage="1" showErrorMessage="1" errorTitle="Ошибка" error="Допускается ввод не более 900 символов!" sqref="R138">
      <formula1>900</formula1>
    </dataValidation>
    <dataValidation allowBlank="1" showInputMessage="1" showErrorMessage="1" prompt="Для выбора выполните двойной щелчок левой клавиши мыши по соответствующей ячейке." sqref="S138"/>
    <dataValidation type="textLength" operator="lessThanOrEqual" allowBlank="1" showInputMessage="1" showErrorMessage="1" errorTitle="Ошибка" error="Допускается ввод не более 900 символов!" sqref="V138">
      <formula1>900</formula1>
    </dataValidation>
    <dataValidation type="textLength" operator="lessThanOrEqual" allowBlank="1" showInputMessage="1" showErrorMessage="1" errorTitle="Ошибка" error="Допускается ввод не более 900 символов!" sqref="W138">
      <formula1>900</formula1>
    </dataValidation>
    <dataValidation allowBlank="1" showInputMessage="1" showErrorMessage="1" prompt="Для выбора выполните двойной щелчок левой клавиши мыши по соответствующей ячейке." sqref="F139"/>
    <dataValidation allowBlank="1" showInputMessage="1" showErrorMessage="1" prompt="Выберите виды деятельности, выполнив двойной щелчок левой кнопки мыши по ячейке." sqref="G139"/>
    <dataValidation type="textLength" operator="lessThanOrEqual" allowBlank="1" showInputMessage="1" showErrorMessage="1" errorTitle="Ошибка" error="Допускается ввод не более 900 символов!" sqref="J13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9"/>
    <dataValidation type="textLength" operator="lessThanOrEqual" allowBlank="1" showInputMessage="1" showErrorMessage="1" errorTitle="Ошибка" error="Допускается ввод не более 900 символов!" sqref="R139">
      <formula1>900</formula1>
    </dataValidation>
    <dataValidation allowBlank="1" showInputMessage="1" showErrorMessage="1" prompt="Для выбора выполните двойной щелчок левой клавиши мыши по соответствующей ячейке." sqref="S139"/>
    <dataValidation allowBlank="1" showInputMessage="1" showErrorMessage="1" prompt="Для выбора выполните двойной щелчок левой клавиши мыши по соответствующей ячейке." sqref="F141"/>
    <dataValidation allowBlank="1" showInputMessage="1" showErrorMessage="1" prompt="Выберите виды деятельности, выполнив двойной щелчок левой кнопки мыши по ячейке." sqref="G141"/>
    <dataValidation type="textLength" operator="lessThanOrEqual" allowBlank="1" showInputMessage="1" showErrorMessage="1" errorTitle="Ошибка" error="Допускается ввод не более 900 символов!" sqref="J14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1"/>
    <dataValidation allowBlank="1" showInputMessage="1" showErrorMessage="1" prompt="Для выбора выполните двойной щелчок левой клавиши мыши по соответствующей ячейке." sqref="O141"/>
    <dataValidation type="textLength" operator="lessThanOrEqual" allowBlank="1" showInputMessage="1" showErrorMessage="1" errorTitle="Ошибка" error="Допускается ввод не более 900 символов!" sqref="R141">
      <formula1>900</formula1>
    </dataValidation>
    <dataValidation allowBlank="1" showInputMessage="1" showErrorMessage="1" prompt="Для выбора выполните двойной щелчок левой клавиши мыши по соответствующей ячейке." sqref="S141"/>
    <dataValidation type="textLength" operator="lessThanOrEqual" allowBlank="1" showInputMessage="1" showErrorMessage="1" errorTitle="Ошибка" error="Допускается ввод не более 900 символов!" sqref="V141">
      <formula1>900</formula1>
    </dataValidation>
    <dataValidation type="textLength" operator="lessThanOrEqual" allowBlank="1" showInputMessage="1" showErrorMessage="1" errorTitle="Ошибка" error="Допускается ввод не более 900 символов!" sqref="W141">
      <formula1>900</formula1>
    </dataValidation>
    <dataValidation allowBlank="1" showInputMessage="1" showErrorMessage="1" prompt="Для выбора выполните двойной щелчок левой клавиши мыши по соответствующей ячейке." sqref="F142"/>
    <dataValidation allowBlank="1" showInputMessage="1" showErrorMessage="1" prompt="Выберите виды деятельности, выполнив двойной щелчок левой кнопки мыши по ячейке." sqref="G142"/>
    <dataValidation type="textLength" operator="lessThanOrEqual" allowBlank="1" showInputMessage="1" showErrorMessage="1" errorTitle="Ошибка" error="Допускается ввод не более 900 символов!" sqref="J14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2"/>
    <dataValidation type="textLength" operator="lessThanOrEqual" allowBlank="1" showInputMessage="1" showErrorMessage="1" errorTitle="Ошибка" error="Допускается ввод не более 900 символов!" sqref="R142">
      <formula1>900</formula1>
    </dataValidation>
    <dataValidation allowBlank="1" showInputMessage="1" showErrorMessage="1" prompt="Для выбора выполните двойной щелчок левой клавиши мыши по соответствующей ячейке." sqref="S142"/>
    <dataValidation allowBlank="1" showInputMessage="1" showErrorMessage="1" prompt="Для выбора выполните двойной щелчок левой клавиши мыши по соответствующей ячейке." sqref="F143"/>
    <dataValidation allowBlank="1" showInputMessage="1" showErrorMessage="1" prompt="Выберите виды деятельности, выполнив двойной щелчок левой кнопки мыши по ячейке." sqref="G14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3"/>
    <dataValidation allowBlank="1" showInputMessage="1" showErrorMessage="1" prompt="Для выбора выполните двойной щелчок левой клавиши мыши по соответствующей ячейке." sqref="F144"/>
    <dataValidation allowBlank="1" showInputMessage="1" showErrorMessage="1" prompt="Выберите виды деятельности, выполнив двойной щелчок левой кнопки мыши по ячейке." sqref="G144"/>
    <dataValidation type="textLength" operator="lessThanOrEqual" allowBlank="1" showInputMessage="1" showErrorMessage="1" errorTitle="Ошибка" error="Допускается ввод не более 900 символов!" sqref="J14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4"/>
    <dataValidation allowBlank="1" showInputMessage="1" showErrorMessage="1" prompt="Для выбора выполните двойной щелчок левой клавиши мыши по соответствующей ячейке." sqref="O144"/>
    <dataValidation type="textLength" operator="lessThanOrEqual" allowBlank="1" showInputMessage="1" showErrorMessage="1" errorTitle="Ошибка" error="Допускается ввод не более 900 символов!" sqref="R144">
      <formula1>900</formula1>
    </dataValidation>
    <dataValidation allowBlank="1" showInputMessage="1" showErrorMessage="1" prompt="Для выбора выполните двойной щелчок левой клавиши мыши по соответствующей ячейке." sqref="S144"/>
    <dataValidation type="textLength" operator="lessThanOrEqual" allowBlank="1" showInputMessage="1" showErrorMessage="1" errorTitle="Ошибка" error="Допускается ввод не более 900 символов!" sqref="V144">
      <formula1>900</formula1>
    </dataValidation>
    <dataValidation type="textLength" operator="lessThanOrEqual" allowBlank="1" showInputMessage="1" showErrorMessage="1" errorTitle="Ошибка" error="Допускается ввод не более 900 символов!" sqref="W144">
      <formula1>900</formula1>
    </dataValidation>
    <dataValidation allowBlank="1" showInputMessage="1" showErrorMessage="1" prompt="Для выбора выполните двойной щелчок левой клавиши мыши по соответствующей ячейке." sqref="F145"/>
    <dataValidation allowBlank="1" showInputMessage="1" showErrorMessage="1" prompt="Выберите виды деятельности, выполнив двойной щелчок левой кнопки мыши по ячейке." sqref="G145"/>
    <dataValidation type="textLength" operator="lessThanOrEqual" allowBlank="1" showInputMessage="1" showErrorMessage="1" errorTitle="Ошибка" error="Допускается ввод не более 900 символов!" sqref="J14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5"/>
    <dataValidation type="textLength" operator="lessThanOrEqual" allowBlank="1" showInputMessage="1" showErrorMessage="1" errorTitle="Ошибка" error="Допускается ввод не более 900 символов!" sqref="R145">
      <formula1>900</formula1>
    </dataValidation>
    <dataValidation allowBlank="1" showInputMessage="1" showErrorMessage="1" prompt="Для выбора выполните двойной щелчок левой клавиши мыши по соответствующей ячейке." sqref="S145"/>
    <dataValidation allowBlank="1" showInputMessage="1" showErrorMessage="1" prompt="Для выбора выполните двойной щелчок левой клавиши мыши по соответствующей ячейке." sqref="F146"/>
    <dataValidation allowBlank="1" showInputMessage="1" showErrorMessage="1" prompt="Выберите виды деятельности, выполнив двойной щелчок левой кнопки мыши по ячейке." sqref="G14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6"/>
    <dataValidation allowBlank="1" showInputMessage="1" showErrorMessage="1" prompt="Для выбора выполните двойной щелчок левой клавиши мыши по соответствующей ячейке." sqref="F147"/>
    <dataValidation allowBlank="1" showInputMessage="1" showErrorMessage="1" prompt="Выберите виды деятельности, выполнив двойной щелчок левой кнопки мыши по ячейке." sqref="G147"/>
    <dataValidation type="textLength" operator="lessThanOrEqual" allowBlank="1" showInputMessage="1" showErrorMessage="1" errorTitle="Ошибка" error="Допускается ввод не более 900 символов!" sqref="J14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7"/>
    <dataValidation allowBlank="1" showInputMessage="1" showErrorMessage="1" prompt="Для выбора выполните двойной щелчок левой клавиши мыши по соответствующей ячейке." sqref="O147"/>
    <dataValidation type="textLength" operator="lessThanOrEqual" allowBlank="1" showInputMessage="1" showErrorMessage="1" errorTitle="Ошибка" error="Допускается ввод не более 900 символов!" sqref="R147">
      <formula1>900</formula1>
    </dataValidation>
    <dataValidation allowBlank="1" showInputMessage="1" showErrorMessage="1" prompt="Для выбора выполните двойной щелчок левой клавиши мыши по соответствующей ячейке." sqref="S147"/>
    <dataValidation type="textLength" operator="lessThanOrEqual" allowBlank="1" showInputMessage="1" showErrorMessage="1" errorTitle="Ошибка" error="Допускается ввод не более 900 символов!" sqref="V147">
      <formula1>900</formula1>
    </dataValidation>
    <dataValidation type="textLength" operator="lessThanOrEqual" allowBlank="1" showInputMessage="1" showErrorMessage="1" errorTitle="Ошибка" error="Допускается ввод не более 900 символов!" sqref="W147">
      <formula1>900</formula1>
    </dataValidation>
    <dataValidation allowBlank="1" showInputMessage="1" showErrorMessage="1" prompt="Для выбора выполните двойной щелчок левой клавиши мыши по соответствующей ячейке." sqref="F148"/>
    <dataValidation allowBlank="1" showInputMessage="1" showErrorMessage="1" prompt="Выберите виды деятельности, выполнив двойной щелчок левой кнопки мыши по ячейке." sqref="G148"/>
    <dataValidation type="textLength" operator="lessThanOrEqual" allowBlank="1" showInputMessage="1" showErrorMessage="1" errorTitle="Ошибка" error="Допускается ввод не более 900 символов!" sqref="J14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8"/>
    <dataValidation type="textLength" operator="lessThanOrEqual" allowBlank="1" showInputMessage="1" showErrorMessage="1" errorTitle="Ошибка" error="Допускается ввод не более 900 символов!" sqref="R148">
      <formula1>900</formula1>
    </dataValidation>
    <dataValidation allowBlank="1" showInputMessage="1" showErrorMessage="1" prompt="Для выбора выполните двойной щелчок левой клавиши мыши по соответствующей ячейке." sqref="S148"/>
    <dataValidation allowBlank="1" showInputMessage="1" showErrorMessage="1" prompt="Для выбора выполните двойной щелчок левой клавиши мыши по соответствующей ячейке." sqref="F149"/>
    <dataValidation allowBlank="1" showInputMessage="1" showErrorMessage="1" prompt="Выберите виды деятельности, выполнив двойной щелчок левой кнопки мыши по ячейке." sqref="G14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9"/>
    <dataValidation allowBlank="1" showInputMessage="1" showErrorMessage="1" prompt="Для выбора выполните двойной щелчок левой клавиши мыши по соответствующей ячейке." sqref="F150"/>
    <dataValidation allowBlank="1" showInputMessage="1" showErrorMessage="1" prompt="Выберите виды деятельности, выполнив двойной щелчок левой кнопки мыши по ячейке." sqref="G150"/>
    <dataValidation type="textLength" operator="lessThanOrEqual" allowBlank="1" showInputMessage="1" showErrorMessage="1" errorTitle="Ошибка" error="Допускается ввод не более 900 символов!" sqref="J15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0"/>
    <dataValidation allowBlank="1" showInputMessage="1" showErrorMessage="1" prompt="Для выбора выполните двойной щелчок левой клавиши мыши по соответствующей ячейке." sqref="O150"/>
    <dataValidation type="textLength" operator="lessThanOrEqual" allowBlank="1" showInputMessage="1" showErrorMessage="1" errorTitle="Ошибка" error="Допускается ввод не более 900 символов!" sqref="R150">
      <formula1>900</formula1>
    </dataValidation>
    <dataValidation allowBlank="1" showInputMessage="1" showErrorMessage="1" prompt="Для выбора выполните двойной щелчок левой клавиши мыши по соответствующей ячейке." sqref="S150"/>
    <dataValidation type="textLength" operator="lessThanOrEqual" allowBlank="1" showInputMessage="1" showErrorMessage="1" errorTitle="Ошибка" error="Допускается ввод не более 900 символов!" sqref="V150">
      <formula1>900</formula1>
    </dataValidation>
    <dataValidation type="textLength" operator="lessThanOrEqual" allowBlank="1" showInputMessage="1" showErrorMessage="1" errorTitle="Ошибка" error="Допускается ввод не более 900 символов!" sqref="W150">
      <formula1>900</formula1>
    </dataValidation>
    <dataValidation allowBlank="1" showInputMessage="1" showErrorMessage="1" prompt="Для выбора выполните двойной щелчок левой клавиши мыши по соответствующей ячейке." sqref="F151"/>
    <dataValidation allowBlank="1" showInputMessage="1" showErrorMessage="1" prompt="Выберите виды деятельности, выполнив двойной щелчок левой кнопки мыши по ячейке." sqref="G151"/>
    <dataValidation type="textLength" operator="lessThanOrEqual" allowBlank="1" showInputMessage="1" showErrorMessage="1" errorTitle="Ошибка" error="Допускается ввод не более 900 символов!" sqref="J15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1"/>
    <dataValidation type="textLength" operator="lessThanOrEqual" allowBlank="1" showInputMessage="1" showErrorMessage="1" errorTitle="Ошибка" error="Допускается ввод не более 900 символов!" sqref="R151">
      <formula1>900</formula1>
    </dataValidation>
    <dataValidation allowBlank="1" showInputMessage="1" showErrorMessage="1" prompt="Для выбора выполните двойной щелчок левой клавиши мыши по соответствующей ячейке." sqref="S151"/>
    <dataValidation allowBlank="1" showInputMessage="1" showErrorMessage="1" prompt="Для выбора выполните двойной щелчок левой клавиши мыши по соответствующей ячейке." sqref="F152"/>
    <dataValidation allowBlank="1" showInputMessage="1" showErrorMessage="1" prompt="Выберите виды деятельности, выполнив двойной щелчок левой кнопки мыши по ячейке." sqref="G15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2"/>
    <dataValidation allowBlank="1" showInputMessage="1" showErrorMessage="1" prompt="Для выбора выполните двойной щелчок левой клавиши мыши по соответствующей ячейке." sqref="F153"/>
    <dataValidation allowBlank="1" showInputMessage="1" showErrorMessage="1" prompt="Выберите виды деятельности, выполнив двойной щелчок левой кнопки мыши по ячейке." sqref="G153"/>
    <dataValidation type="textLength" operator="lessThanOrEqual" allowBlank="1" showInputMessage="1" showErrorMessage="1" errorTitle="Ошибка" error="Допускается ввод не более 900 символов!" sqref="J15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3"/>
    <dataValidation allowBlank="1" showInputMessage="1" showErrorMessage="1" prompt="Для выбора выполните двойной щелчок левой клавиши мыши по соответствующей ячейке." sqref="O153"/>
    <dataValidation type="textLength" operator="lessThanOrEqual" allowBlank="1" showInputMessage="1" showErrorMessage="1" errorTitle="Ошибка" error="Допускается ввод не более 900 символов!" sqref="R153">
      <formula1>900</formula1>
    </dataValidation>
    <dataValidation allowBlank="1" showInputMessage="1" showErrorMessage="1" prompt="Для выбора выполните двойной щелчок левой клавиши мыши по соответствующей ячейке." sqref="S153"/>
    <dataValidation type="textLength" operator="lessThanOrEqual" allowBlank="1" showInputMessage="1" showErrorMessage="1" errorTitle="Ошибка" error="Допускается ввод не более 900 символов!" sqref="V153">
      <formula1>900</formula1>
    </dataValidation>
    <dataValidation type="textLength" operator="lessThanOrEqual" allowBlank="1" showInputMessage="1" showErrorMessage="1" errorTitle="Ошибка" error="Допускается ввод не более 900 символов!" sqref="W153">
      <formula1>900</formula1>
    </dataValidation>
    <dataValidation allowBlank="1" showInputMessage="1" showErrorMessage="1" prompt="Для выбора выполните двойной щелчок левой клавиши мыши по соответствующей ячейке." sqref="F154"/>
    <dataValidation allowBlank="1" showInputMessage="1" showErrorMessage="1" prompt="Выберите виды деятельности, выполнив двойной щелчок левой кнопки мыши по ячейке." sqref="G154"/>
    <dataValidation type="textLength" operator="lessThanOrEqual" allowBlank="1" showInputMessage="1" showErrorMessage="1" errorTitle="Ошибка" error="Допускается ввод не более 900 символов!" sqref="J15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
    <dataValidation type="textLength" operator="lessThanOrEqual" allowBlank="1" showInputMessage="1" showErrorMessage="1" errorTitle="Ошибка" error="Допускается ввод не более 900 символов!" sqref="R154">
      <formula1>900</formula1>
    </dataValidation>
    <dataValidation allowBlank="1" showInputMessage="1" showErrorMessage="1" prompt="Для выбора выполните двойной щелчок левой клавиши мыши по соответствующей ячейке." sqref="S154"/>
    <dataValidation allowBlank="1" showInputMessage="1" showErrorMessage="1" prompt="Для выбора выполните двойной щелчок левой клавиши мыши по соответствующей ячейке." sqref="F155"/>
    <dataValidation allowBlank="1" showInputMessage="1" showErrorMessage="1" prompt="Выберите виды деятельности, выполнив двойной щелчок левой кнопки мыши по ячейке." sqref="G15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5"/>
    <dataValidation allowBlank="1" showInputMessage="1" showErrorMessage="1" prompt="Для выбора выполните двойной щелчок левой клавиши мыши по соответствующей ячейке." sqref="F156"/>
    <dataValidation allowBlank="1" showInputMessage="1" showErrorMessage="1" prompt="Выберите виды деятельности, выполнив двойной щелчок левой кнопки мыши по ячейке." sqref="G156"/>
    <dataValidation type="textLength" operator="lessThanOrEqual" allowBlank="1" showInputMessage="1" showErrorMessage="1" errorTitle="Ошибка" error="Допускается ввод не более 900 символов!" sqref="J15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6"/>
    <dataValidation allowBlank="1" showInputMessage="1" showErrorMessage="1" prompt="Для выбора выполните двойной щелчок левой клавиши мыши по соответствующей ячейке." sqref="O156"/>
    <dataValidation type="textLength" operator="lessThanOrEqual" allowBlank="1" showInputMessage="1" showErrorMessage="1" errorTitle="Ошибка" error="Допускается ввод не более 900 символов!" sqref="R156">
      <formula1>900</formula1>
    </dataValidation>
    <dataValidation allowBlank="1" showInputMessage="1" showErrorMessage="1" prompt="Для выбора выполните двойной щелчок левой клавиши мыши по соответствующей ячейке." sqref="S156"/>
    <dataValidation type="textLength" operator="lessThanOrEqual" allowBlank="1" showInputMessage="1" showErrorMessage="1" errorTitle="Ошибка" error="Допускается ввод не более 900 символов!" sqref="V156">
      <formula1>900</formula1>
    </dataValidation>
    <dataValidation type="textLength" operator="lessThanOrEqual" allowBlank="1" showInputMessage="1" showErrorMessage="1" errorTitle="Ошибка" error="Допускается ввод не более 900 символов!" sqref="W156">
      <formula1>900</formula1>
    </dataValidation>
    <dataValidation allowBlank="1" showInputMessage="1" showErrorMessage="1" prompt="Для выбора выполните двойной щелчок левой клавиши мыши по соответствующей ячейке." sqref="F157"/>
    <dataValidation allowBlank="1" showInputMessage="1" showErrorMessage="1" prompt="Выберите виды деятельности, выполнив двойной щелчок левой кнопки мыши по ячейке." sqref="G157"/>
    <dataValidation type="textLength" operator="lessThanOrEqual" allowBlank="1" showInputMessage="1" showErrorMessage="1" errorTitle="Ошибка" error="Допускается ввод не более 900 символов!" sqref="J15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7"/>
    <dataValidation type="textLength" operator="lessThanOrEqual" allowBlank="1" showInputMessage="1" showErrorMessage="1" errorTitle="Ошибка" error="Допускается ввод не более 900 символов!" sqref="R157">
      <formula1>900</formula1>
    </dataValidation>
    <dataValidation allowBlank="1" showInputMessage="1" showErrorMessage="1" prompt="Для выбора выполните двойной щелчок левой клавиши мыши по соответствующей ячейке." sqref="S157"/>
    <dataValidation allowBlank="1" showInputMessage="1" showErrorMessage="1" prompt="Для выбора выполните двойной щелчок левой клавиши мыши по соответствующей ячейке." sqref="F158"/>
    <dataValidation allowBlank="1" showInputMessage="1" showErrorMessage="1" prompt="Выберите виды деятельности, выполнив двойной щелчок левой кнопки мыши по ячейке." sqref="G15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8"/>
    <dataValidation allowBlank="1" showInputMessage="1" showErrorMessage="1" prompt="Для выбора выполните двойной щелчок левой клавиши мыши по соответствующей ячейке." sqref="F159"/>
    <dataValidation allowBlank="1" showInputMessage="1" showErrorMessage="1" prompt="Выберите виды деятельности, выполнив двойной щелчок левой кнопки мыши по ячейке." sqref="G159"/>
    <dataValidation type="textLength" operator="lessThanOrEqual" allowBlank="1" showInputMessage="1" showErrorMessage="1" errorTitle="Ошибка" error="Допускается ввод не более 900 символов!" sqref="J15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9"/>
    <dataValidation allowBlank="1" showInputMessage="1" showErrorMessage="1" prompt="Для выбора выполните двойной щелчок левой клавиши мыши по соответствующей ячейке." sqref="O159"/>
    <dataValidation type="textLength" operator="lessThanOrEqual" allowBlank="1" showInputMessage="1" showErrorMessage="1" errorTitle="Ошибка" error="Допускается ввод не более 900 символов!" sqref="R159">
      <formula1>900</formula1>
    </dataValidation>
    <dataValidation allowBlank="1" showInputMessage="1" showErrorMessage="1" prompt="Для выбора выполните двойной щелчок левой клавиши мыши по соответствующей ячейке." sqref="S159"/>
    <dataValidation type="textLength" operator="lessThanOrEqual" allowBlank="1" showInputMessage="1" showErrorMessage="1" errorTitle="Ошибка" error="Допускается ввод не более 900 символов!" sqref="V159">
      <formula1>900</formula1>
    </dataValidation>
    <dataValidation type="textLength" operator="lessThanOrEqual" allowBlank="1" showInputMessage="1" showErrorMessage="1" errorTitle="Ошибка" error="Допускается ввод не более 900 символов!" sqref="W159">
      <formula1>900</formula1>
    </dataValidation>
    <dataValidation allowBlank="1" showInputMessage="1" showErrorMessage="1" prompt="Для выбора выполните двойной щелчок левой клавиши мыши по соответствующей ячейке." sqref="F160"/>
    <dataValidation allowBlank="1" showInputMessage="1" showErrorMessage="1" prompt="Выберите виды деятельности, выполнив двойной щелчок левой кнопки мыши по ячейке." sqref="G160"/>
    <dataValidation type="textLength" operator="lessThanOrEqual" allowBlank="1" showInputMessage="1" showErrorMessage="1" errorTitle="Ошибка" error="Допускается ввод не более 900 символов!" sqref="J16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0"/>
    <dataValidation type="textLength" operator="lessThanOrEqual" allowBlank="1" showInputMessage="1" showErrorMessage="1" errorTitle="Ошибка" error="Допускается ввод не более 900 символов!" sqref="R160">
      <formula1>900</formula1>
    </dataValidation>
    <dataValidation allowBlank="1" showInputMessage="1" showErrorMessage="1" prompt="Для выбора выполните двойной щелчок левой клавиши мыши по соответствующей ячейке." sqref="S160"/>
    <dataValidation allowBlank="1" showInputMessage="1" showErrorMessage="1" prompt="Для выбора выполните двойной щелчок левой клавиши мыши по соответствующей ячейке." sqref="F161"/>
    <dataValidation allowBlank="1" showInputMessage="1" showErrorMessage="1" prompt="Выберите виды деятельности, выполнив двойной щелчок левой кнопки мыши по ячейке." sqref="G16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1"/>
    <dataValidation allowBlank="1" showInputMessage="1" showErrorMessage="1" prompt="Для выбора выполните двойной щелчок левой клавиши мыши по соответствующей ячейке." sqref="F162"/>
    <dataValidation allowBlank="1" showInputMessage="1" showErrorMessage="1" prompt="Выберите виды деятельности, выполнив двойной щелчок левой кнопки мыши по ячейке." sqref="G162"/>
    <dataValidation type="textLength" operator="lessThanOrEqual" allowBlank="1" showInputMessage="1" showErrorMessage="1" errorTitle="Ошибка" error="Допускается ввод не более 900 символов!" sqref="J16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2"/>
    <dataValidation allowBlank="1" showInputMessage="1" showErrorMessage="1" prompt="Для выбора выполните двойной щелчок левой клавиши мыши по соответствующей ячейке." sqref="O162"/>
    <dataValidation type="textLength" operator="lessThanOrEqual" allowBlank="1" showInputMessage="1" showErrorMessage="1" errorTitle="Ошибка" error="Допускается ввод не более 900 символов!" sqref="R162">
      <formula1>900</formula1>
    </dataValidation>
    <dataValidation allowBlank="1" showInputMessage="1" showErrorMessage="1" prompt="Для выбора выполните двойной щелчок левой клавиши мыши по соответствующей ячейке." sqref="S162"/>
    <dataValidation type="textLength" operator="lessThanOrEqual" allowBlank="1" showInputMessage="1" showErrorMessage="1" errorTitle="Ошибка" error="Допускается ввод не более 900 символов!" sqref="V162">
      <formula1>900</formula1>
    </dataValidation>
    <dataValidation type="textLength" operator="lessThanOrEqual" allowBlank="1" showInputMessage="1" showErrorMessage="1" errorTitle="Ошибка" error="Допускается ввод не более 900 символов!" sqref="W162">
      <formula1>900</formula1>
    </dataValidation>
    <dataValidation allowBlank="1" showInputMessage="1" showErrorMessage="1" prompt="Для выбора выполните двойной щелчок левой клавиши мыши по соответствующей ячейке." sqref="F163"/>
    <dataValidation allowBlank="1" showInputMessage="1" showErrorMessage="1" prompt="Выберите виды деятельности, выполнив двойной щелчок левой кнопки мыши по ячейке." sqref="G163"/>
    <dataValidation type="textLength" operator="lessThanOrEqual" allowBlank="1" showInputMessage="1" showErrorMessage="1" errorTitle="Ошибка" error="Допускается ввод не более 900 символов!" sqref="J16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3"/>
    <dataValidation type="textLength" operator="lessThanOrEqual" allowBlank="1" showInputMessage="1" showErrorMessage="1" errorTitle="Ошибка" error="Допускается ввод не более 900 символов!" sqref="R163">
      <formula1>900</formula1>
    </dataValidation>
    <dataValidation allowBlank="1" showInputMessage="1" showErrorMessage="1" prompt="Для выбора выполните двойной щелчок левой клавиши мыши по соответствующей ячейке." sqref="S163"/>
    <dataValidation allowBlank="1" showInputMessage="1" showErrorMessage="1" prompt="Для выбора выполните двойной щелчок левой клавиши мыши по соответствующей ячейке." sqref="F164"/>
    <dataValidation allowBlank="1" showInputMessage="1" showErrorMessage="1" prompt="Выберите виды деятельности, выполнив двойной щелчок левой кнопки мыши по ячейке." sqref="G16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4"/>
    <dataValidation allowBlank="1" showInputMessage="1" showErrorMessage="1" prompt="Для выбора выполните двойной щелчок левой клавиши мыши по соответствующей ячейке." sqref="F165"/>
    <dataValidation allowBlank="1" showInputMessage="1" showErrorMessage="1" prompt="Выберите виды деятельности, выполнив двойной щелчок левой кнопки мыши по ячейке." sqref="G165"/>
    <dataValidation type="textLength" operator="lessThanOrEqual" allowBlank="1" showInputMessage="1" showErrorMessage="1" errorTitle="Ошибка" error="Допускается ввод не более 900 символов!" sqref="J16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5"/>
    <dataValidation allowBlank="1" showInputMessage="1" showErrorMessage="1" prompt="Для выбора выполните двойной щелчок левой клавиши мыши по соответствующей ячейке." sqref="O165"/>
    <dataValidation type="textLength" operator="lessThanOrEqual" allowBlank="1" showInputMessage="1" showErrorMessage="1" errorTitle="Ошибка" error="Допускается ввод не более 900 символов!" sqref="R165">
      <formula1>900</formula1>
    </dataValidation>
    <dataValidation allowBlank="1" showInputMessage="1" showErrorMessage="1" prompt="Для выбора выполните двойной щелчок левой клавиши мыши по соответствующей ячейке." sqref="S165"/>
    <dataValidation type="textLength" operator="lessThanOrEqual" allowBlank="1" showInputMessage="1" showErrorMessage="1" errorTitle="Ошибка" error="Допускается ввод не более 900 символов!" sqref="V165">
      <formula1>900</formula1>
    </dataValidation>
    <dataValidation type="textLength" operator="lessThanOrEqual" allowBlank="1" showInputMessage="1" showErrorMessage="1" errorTitle="Ошибка" error="Допускается ввод не более 900 символов!" sqref="W165">
      <formula1>900</formula1>
    </dataValidation>
    <dataValidation allowBlank="1" showInputMessage="1" showErrorMessage="1" prompt="Для выбора выполните двойной щелчок левой клавиши мыши по соответствующей ячейке." sqref="F166"/>
    <dataValidation allowBlank="1" showInputMessage="1" showErrorMessage="1" prompt="Выберите виды деятельности, выполнив двойной щелчок левой кнопки мыши по ячейке." sqref="G166"/>
    <dataValidation type="textLength" operator="lessThanOrEqual" allowBlank="1" showInputMessage="1" showErrorMessage="1" errorTitle="Ошибка" error="Допускается ввод не более 900 символов!" sqref="J16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6"/>
    <dataValidation type="textLength" operator="lessThanOrEqual" allowBlank="1" showInputMessage="1" showErrorMessage="1" errorTitle="Ошибка" error="Допускается ввод не более 900 символов!" sqref="R166">
      <formula1>900</formula1>
    </dataValidation>
    <dataValidation allowBlank="1" showInputMessage="1" showErrorMessage="1" prompt="Для выбора выполните двойной щелчок левой клавиши мыши по соответствующей ячейке." sqref="S166"/>
    <dataValidation allowBlank="1" showInputMessage="1" showErrorMessage="1" prompt="Для выбора выполните двойной щелчок левой клавиши мыши по соответствующей ячейке." sqref="F169"/>
    <dataValidation allowBlank="1" showInputMessage="1" showErrorMessage="1" prompt="Выберите виды деятельности, выполнив двойной щелчок левой кнопки мыши по ячейке." sqref="G16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9"/>
    <dataValidation allowBlank="1" showInputMessage="1" showErrorMessage="1" prompt="Для выбора выполните двойной щелчок левой клавиши мыши по соответствующей ячейке." sqref="F167"/>
    <dataValidation allowBlank="1" showInputMessage="1" showErrorMessage="1" prompt="Выберите виды деятельности, выполнив двойной щелчок левой кнопки мыши по ячейке." sqref="G167"/>
    <dataValidation type="textLength" operator="lessThanOrEqual" allowBlank="1" showInputMessage="1" showErrorMessage="1" errorTitle="Ошибка" error="Допускается ввод не более 900 символов!" sqref="J16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7"/>
    <dataValidation allowBlank="1" showInputMessage="1" showErrorMessage="1" prompt="Для выбора выполните двойной щелчок левой клавиши мыши по соответствующей ячейке." sqref="O167"/>
    <dataValidation type="textLength" operator="lessThanOrEqual" allowBlank="1" showInputMessage="1" showErrorMessage="1" errorTitle="Ошибка" error="Допускается ввод не более 900 символов!" sqref="R167">
      <formula1>900</formula1>
    </dataValidation>
    <dataValidation allowBlank="1" showInputMessage="1" showErrorMessage="1" prompt="Для выбора выполните двойной щелчок левой клавиши мыши по соответствующей ячейке." sqref="S167"/>
    <dataValidation type="textLength" operator="lessThanOrEqual" allowBlank="1" showInputMessage="1" showErrorMessage="1" errorTitle="Ошибка" error="Допускается ввод не более 900 символов!" sqref="V167">
      <formula1>900</formula1>
    </dataValidation>
    <dataValidation type="textLength" operator="lessThanOrEqual" allowBlank="1" showInputMessage="1" showErrorMessage="1" errorTitle="Ошибка" error="Допускается ввод не более 900 символов!" sqref="W167">
      <formula1>900</formula1>
    </dataValidation>
    <dataValidation allowBlank="1" showInputMessage="1" showErrorMessage="1" prompt="Для выбора выполните двойной щелчок левой клавиши мыши по соответствующей ячейке." sqref="F168"/>
    <dataValidation allowBlank="1" showInputMessage="1" showErrorMessage="1" prompt="Выберите виды деятельности, выполнив двойной щелчок левой кнопки мыши по ячейке." sqref="G168"/>
    <dataValidation type="textLength" operator="lessThanOrEqual" allowBlank="1" showInputMessage="1" showErrorMessage="1" errorTitle="Ошибка" error="Допускается ввод не более 900 символов!" sqref="J16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8"/>
    <dataValidation type="textLength" operator="lessThanOrEqual" allowBlank="1" showInputMessage="1" showErrorMessage="1" errorTitle="Ошибка" error="Допускается ввод не более 900 символов!" sqref="R168">
      <formula1>900</formula1>
    </dataValidation>
    <dataValidation allowBlank="1" showInputMessage="1" showErrorMessage="1" prompt="Для выбора выполните двойной щелчок левой клавиши мыши по соответствующей ячейке." sqref="S168"/>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3989709-BE1B-02F5-4A94-A72A41200926}" mc:Ignorable="x14ac xr xr2 xr3">
  <sheetPr>
    <tabColor theme="2" tint="-0.1"/>
  </sheetPr>
  <dimension ref="A1:V30"/>
  <sheetViews>
    <sheetView topLeftCell="A1" showGridLines="0" zoomScale="90" workbookViewId="0">
      <selection activeCell="A1" sqref="A1"/>
    </sheetView>
  </sheetViews>
  <sheetFormatPr defaultColWidth="10.57421875" customHeight="1" defaultRowHeight="15"/>
  <cols>
    <col min="1" max="1" style="46772" width="9.140625" hidden="1" customWidth="1"/>
    <col min="2" max="2" style="46808" width="9.140625" hidden="1" customWidth="1"/>
    <col min="3" max="3" style="54936" width="4.00390625" customWidth="1"/>
    <col min="4" max="4" style="46808" width="6.00390625" customWidth="1"/>
    <col min="5" max="5" style="46808" width="47.00390625" customWidth="1"/>
    <col min="6" max="6" style="46808" width="9.00390625" customWidth="1"/>
    <col min="7" max="7" style="46808" width="25.7109375" hidden="1" customWidth="1"/>
    <col min="8" max="8" style="46808" width="34.00390625" hidden="1" customWidth="1"/>
    <col min="9" max="9" style="46808" width="25.7109375" customWidth="1"/>
    <col min="10" max="10" style="46808" width="33.00390625" customWidth="1"/>
    <col min="11" max="11" style="46889" width="50.00390625" customWidth="1"/>
    <col min="12" max="20" style="46808" width="10.00390625" customWidth="1"/>
    <col min="21" max="21" style="54937" width="10.00390625" customWidth="1"/>
    <col min="22" max="22" style="46808" width="10.57421875" hidden="1"/>
  </cols>
  <sheetData>
    <row s="46889" customFormat="1" customHeight="1" ht="22.5" hidden="1">
      <c r="C1" s="1184"/>
      <c r="G1" s="929">
        <v>4</v>
      </c>
      <c r="I1" s="929">
        <v>4</v>
      </c>
      <c r="U1" s="932"/>
      <c r="V1" s="929" t="s">
        <v>14</v>
      </c>
    </row>
    <row s="46808" customFormat="1" customHeight="1" ht="15" hidden="1">
      <c r="A2" s="874"/>
      <c r="C2" s="688"/>
      <c r="D2" s="858"/>
      <c r="E2" s="1185"/>
      <c r="F2" s="1034"/>
      <c r="G2" s="1128"/>
      <c r="H2" s="1128"/>
      <c r="I2" s="1128"/>
      <c r="J2" s="1128"/>
      <c r="U2" s="1186"/>
      <c r="V2" s="1021">
        <v>0</v>
      </c>
    </row>
    <row s="46889" customFormat="1" customHeight="1" ht="15" hidden="1">
      <c r="C3" s="1184"/>
      <c r="U3" s="932"/>
      <c r="V3" s="929">
        <v>0</v>
      </c>
    </row>
    <row customHeight="1" ht="15.75">
      <c r="C4" s="688"/>
      <c r="D4" s="1021"/>
      <c r="E4" s="1021"/>
      <c r="F4" s="1021"/>
      <c r="G4" s="1021"/>
      <c r="H4" s="1021"/>
      <c r="I4" s="1021"/>
      <c r="J4" s="1021"/>
      <c r="V4" s="1017">
        <v>15</v>
      </c>
    </row>
    <row customHeight="1" ht="66">
      <c r="C5" s="688"/>
      <c r="D5" s="2749" t="s">
        <v>1279</v>
      </c>
      <c r="E5" s="2749"/>
      <c r="F5" s="2749"/>
      <c r="G5" s="2749"/>
      <c r="H5" s="2749"/>
      <c r="I5" s="2749"/>
      <c r="J5" s="2749"/>
      <c r="V5" s="1017">
        <v>63</v>
      </c>
    </row>
    <row customHeight="1" ht="15.75">
      <c r="C6" s="688"/>
      <c r="D6" s="2688" t="str">
        <f>IF(org=0,"Не определено",org)</f>
        <v>КГУП "Примтеплоэнерго"</v>
      </c>
      <c r="E6" s="2688"/>
      <c r="F6" s="2688"/>
      <c r="G6" s="2688"/>
      <c r="H6" s="2688"/>
      <c r="I6" s="2688"/>
      <c r="J6" s="2688"/>
      <c r="K6" s="1049"/>
      <c r="V6" s="1017">
        <v>15</v>
      </c>
    </row>
    <row customHeight="1" ht="15.75">
      <c r="C7" s="688"/>
      <c r="D7" s="1264"/>
      <c r="E7" s="1021"/>
      <c r="F7" s="1021"/>
      <c r="G7" s="1049">
        <v>22</v>
      </c>
      <c r="I7" s="1049">
        <v>1</v>
      </c>
      <c r="J7" s="1264"/>
      <c r="V7" s="1017">
        <v>15</v>
      </c>
    </row>
    <row s="46808" customFormat="1" customHeight="1" ht="1.05">
      <c r="A8" s="1271"/>
      <c r="C8" s="688"/>
      <c r="D8" s="1021"/>
      <c r="E8" s="1021"/>
      <c r="F8" s="1021"/>
      <c r="G8" s="1049"/>
      <c r="H8" s="1264"/>
      <c r="I8" s="1049" t="s">
        <v>173</v>
      </c>
      <c r="J8" s="1264"/>
      <c r="K8" s="929"/>
      <c r="U8" s="1187"/>
      <c r="V8" s="1270">
        <v>1</v>
      </c>
    </row>
    <row customHeight="1" ht="15.75">
      <c r="C9" s="688"/>
      <c r="D9" s="1223"/>
      <c r="E9" s="2879" t="s">
        <v>165</v>
      </c>
      <c r="F9" s="2880"/>
      <c r="G9" s="2907" t="str">
        <f>IF(G8="","",INDEX(DIFFERENTIATION_UNMERGE_VD,MATCH(G8,DIFFERENTIATION_ID_DIFF,0)))</f>
        <v/>
      </c>
      <c r="H9" s="2908"/>
      <c r="I9" s="2907">
        <f>IF(I8="","",INDEX(DIFFERENTIATION_UNMERGE_VD,MATCH(I8,DIFFERENTIATION_ID_DIFF,0)))</f>
        <v>0</v>
      </c>
      <c r="J9" s="2908"/>
      <c r="K9" s="2687" t="s">
        <v>419</v>
      </c>
      <c r="V9" s="1017">
        <v>15</v>
      </c>
    </row>
    <row s="46808" customFormat="1" customHeight="1" ht="15.75">
      <c r="A10" s="1271"/>
      <c r="C10" s="688"/>
      <c r="D10" s="1223"/>
      <c r="E10" s="2879" t="s">
        <v>681</v>
      </c>
      <c r="F10" s="2880"/>
      <c r="G10" s="2907" t="str">
        <f>IF(G8="","",INDEX(DIFFERENTIATION_UNMERGE_AREA,MATCH(G8,DIFFERENTIATION_ID_DIFF,0)))</f>
        <v/>
      </c>
      <c r="H10" s="2908"/>
      <c r="I10" s="2907" t="str">
        <f>IF(I8="","",INDEX(DIFFERENTIATION_UNMERGE_AREA,MATCH(I8,DIFFERENTIATION_ID_DIFF,0)))</f>
        <v/>
      </c>
      <c r="J10" s="2908"/>
      <c r="K10" s="2711"/>
      <c r="U10" s="1187"/>
      <c r="V10" s="1270">
        <v>15</v>
      </c>
    </row>
    <row s="46808" customFormat="1" customHeight="1" ht="15.75">
      <c r="A11" s="1271"/>
      <c r="C11" s="688"/>
      <c r="D11" s="1223"/>
      <c r="E11" s="2879" t="s">
        <v>682</v>
      </c>
      <c r="F11" s="2880"/>
      <c r="G11" s="2907" t="str">
        <f>IF(G8="","",INDEX(DIFFERENTIATION_UNMERGE_SYSTEM,MATCH(G8,DIFFERENTIATION_ID_DIFF,0)))</f>
        <v/>
      </c>
      <c r="H11" s="2908"/>
      <c r="I11" s="2907" t="str">
        <f>IF(I8="","",INDEX(DIFFERENTIATION_UNMERGE_SYSTEM,MATCH(I8,DIFFERENTIATION_ID_DIFF,0)))</f>
        <v>без дифференциации</v>
      </c>
      <c r="J11" s="2908"/>
      <c r="K11" s="2711"/>
      <c r="U11" s="1187"/>
      <c r="V11" s="1270">
        <v>15</v>
      </c>
    </row>
    <row s="46808" customFormat="1" customHeight="1" ht="15.75">
      <c r="A12" s="1271"/>
      <c r="C12" s="688"/>
      <c r="D12" s="2881" t="s">
        <v>418</v>
      </c>
      <c r="E12" s="2882"/>
      <c r="F12" s="2882"/>
      <c r="G12" s="1399"/>
      <c r="H12" s="1399"/>
      <c r="I12" s="1399"/>
      <c r="J12" s="1399"/>
      <c r="K12" s="2711"/>
      <c r="U12" s="1187"/>
      <c r="V12" s="1270">
        <v>15</v>
      </c>
    </row>
    <row customHeight="1" ht="35.699999999999996">
      <c r="C13" s="688"/>
      <c r="D13" s="1317" t="s">
        <v>90</v>
      </c>
      <c r="E13" s="1319" t="s">
        <v>420</v>
      </c>
      <c r="F13" s="1319" t="s">
        <v>683</v>
      </c>
      <c r="G13" s="1320" t="s">
        <v>421</v>
      </c>
      <c r="H13" s="1319" t="s">
        <v>508</v>
      </c>
      <c r="I13" s="1320" t="s">
        <v>421</v>
      </c>
      <c r="J13" s="1319" t="s">
        <v>508</v>
      </c>
      <c r="K13" s="2744"/>
      <c r="V13" s="1017">
        <v>34</v>
      </c>
    </row>
    <row customHeight="1" ht="15" hidden="1">
      <c r="C14" s="688"/>
      <c r="D14" s="1105" t="s">
        <v>101</v>
      </c>
      <c r="E14" s="1105" t="s">
        <v>105</v>
      </c>
      <c r="F14" s="1105" t="s">
        <v>92</v>
      </c>
      <c r="G14" s="1171" t="str">
        <f>G1&amp;".1"</f>
        <v>4.1</v>
      </c>
      <c r="H14" s="1171"/>
      <c r="I14" s="1171" t="str">
        <f>I1&amp;".1"</f>
        <v>4.1</v>
      </c>
      <c r="J14" s="1171"/>
      <c r="K14" s="801"/>
      <c r="V14" s="1017">
        <v>0</v>
      </c>
    </row>
    <row customHeight="1" ht="22.5" hidden="1">
      <c r="A15" s="1017"/>
      <c r="C15" s="1038"/>
      <c r="D15" s="1033">
        <v>1</v>
      </c>
      <c r="E15" s="1189" t="s">
        <v>925</v>
      </c>
      <c r="F15" s="1033" t="s">
        <v>926</v>
      </c>
      <c r="G15" s="1190"/>
      <c r="H15" s="1190"/>
      <c r="I15" s="1190"/>
      <c r="J15" s="1190"/>
      <c r="K15" s="801" t="s">
        <v>927</v>
      </c>
      <c r="V15" s="1017">
        <v>0</v>
      </c>
    </row>
    <row customHeight="1" ht="22.5" hidden="1">
      <c r="A16" s="1017"/>
      <c r="C16" s="1038"/>
      <c r="D16" s="1033">
        <v>2</v>
      </c>
      <c r="E16" s="791" t="s">
        <v>928</v>
      </c>
      <c r="F16" s="1033" t="s">
        <v>929</v>
      </c>
      <c r="G16" s="1190"/>
      <c r="H16" s="1190"/>
      <c r="I16" s="1190"/>
      <c r="J16" s="1190"/>
      <c r="K16" s="801" t="s">
        <v>930</v>
      </c>
      <c r="V16" s="1017">
        <v>0</v>
      </c>
    </row>
    <row customHeight="1" ht="123.75" hidden="1">
      <c r="A17" s="1017"/>
      <c r="C17" s="1038"/>
      <c r="D17" s="1033">
        <v>3</v>
      </c>
      <c r="E17" s="791" t="s">
        <v>1280</v>
      </c>
      <c r="F17" s="1033" t="s">
        <v>424</v>
      </c>
      <c r="G17" s="1190"/>
      <c r="H17" s="1190"/>
      <c r="I17" s="1190"/>
      <c r="J17" s="1190"/>
      <c r="K17" s="801" t="s">
        <v>1281</v>
      </c>
      <c r="V17" s="1017">
        <v>0</v>
      </c>
    </row>
    <row customHeight="1" ht="48.29999999999999">
      <c r="A18" s="1017"/>
      <c r="C18" s="1038"/>
      <c r="D18" s="1033">
        <v>3</v>
      </c>
      <c r="E18" s="791" t="s">
        <v>931</v>
      </c>
      <c r="F18" s="1033" t="s">
        <v>424</v>
      </c>
      <c r="G18" s="1321" t="s">
        <v>424</v>
      </c>
      <c r="H18" s="1322" t="s">
        <v>424</v>
      </c>
      <c r="I18" s="1033" t="s">
        <v>424</v>
      </c>
      <c r="J18" s="1090" t="s">
        <v>424</v>
      </c>
      <c r="K18" s="801" t="s">
        <v>1282</v>
      </c>
      <c r="V18" s="1017">
        <v>46</v>
      </c>
    </row>
    <row customHeight="1" ht="35.699999999999996">
      <c r="A19" s="1017"/>
      <c r="C19" s="1038"/>
      <c r="D19" s="1051" t="s">
        <v>442</v>
      </c>
      <c r="E19" s="1071" t="s">
        <v>933</v>
      </c>
      <c r="F19" s="1033" t="s">
        <v>934</v>
      </c>
      <c r="G19" s="1329"/>
      <c r="H19" s="618"/>
      <c r="I19" s="1329"/>
      <c r="J19" s="1330"/>
      <c r="K19" s="1191"/>
      <c r="V19" s="1017">
        <v>34</v>
      </c>
    </row>
    <row customHeight="1" ht="35.699999999999996">
      <c r="A20" s="1017"/>
      <c r="C20" s="1038"/>
      <c r="D20" s="2402" t="s">
        <v>450</v>
      </c>
      <c r="E20" s="1071" t="s">
        <v>935</v>
      </c>
      <c r="F20" s="1033" t="s">
        <v>936</v>
      </c>
      <c r="G20" s="1329"/>
      <c r="H20" s="618"/>
      <c r="I20" s="1329"/>
      <c r="J20" s="618"/>
      <c r="K20" s="1191"/>
      <c r="V20" s="1017">
        <v>34</v>
      </c>
    </row>
    <row customHeight="1" ht="48.29999999999999">
      <c r="A21" s="1017"/>
      <c r="C21" s="1038"/>
      <c r="D21" s="2402" t="s">
        <v>452</v>
      </c>
      <c r="E21" s="1071" t="s">
        <v>937</v>
      </c>
      <c r="F21" s="1033" t="s">
        <v>688</v>
      </c>
      <c r="G21" s="1192"/>
      <c r="H21" s="618"/>
      <c r="I21" s="1192"/>
      <c r="J21" s="618"/>
      <c r="K21" s="1191"/>
      <c r="V21" s="1017">
        <v>46</v>
      </c>
    </row>
    <row customHeight="1" ht="67.5" hidden="1">
      <c r="A22" s="1017"/>
      <c r="C22" s="1038"/>
      <c r="D22" s="1033">
        <v>5</v>
      </c>
      <c r="E22" s="791" t="s">
        <v>1283</v>
      </c>
      <c r="F22" s="1033" t="s">
        <v>675</v>
      </c>
      <c r="G22" s="1193"/>
      <c r="H22" s="1194"/>
      <c r="I22" s="1193"/>
      <c r="J22" s="1194"/>
      <c r="K22" s="801" t="s">
        <v>1284</v>
      </c>
      <c r="V22" s="1017">
        <v>0</v>
      </c>
    </row>
    <row customHeight="1" ht="33.75" hidden="1">
      <c r="C23" s="963"/>
      <c r="D23" s="1033">
        <v>6</v>
      </c>
      <c r="E23" s="791" t="s">
        <v>1285</v>
      </c>
      <c r="F23" s="1033" t="s">
        <v>1286</v>
      </c>
      <c r="G23" s="1193"/>
      <c r="H23" s="1193"/>
      <c r="I23" s="1193"/>
      <c r="J23" s="1193"/>
      <c r="K23" s="801" t="s">
        <v>1287</v>
      </c>
      <c r="V23" s="1017">
        <v>0</v>
      </c>
    </row>
    <row customHeight="1" ht="15.75">
      <c r="V24" s="1017">
        <v>15</v>
      </c>
    </row>
    <row customHeight="1" ht="15.75">
      <c r="V25" s="1017">
        <v>15</v>
      </c>
    </row>
    <row customHeight="1" ht="15.75">
      <c r="V26" s="1017">
        <v>15</v>
      </c>
    </row>
    <row customHeight="1" ht="15.75">
      <c r="V27" s="1017">
        <v>15</v>
      </c>
    </row>
    <row customHeight="1" ht="15.75">
      <c r="V28" s="1017">
        <v>15</v>
      </c>
    </row>
    <row customHeight="1" ht="15.75">
      <c r="J29" s="1331"/>
      <c r="V29" s="1017">
        <v>15</v>
      </c>
    </row>
    <row customHeight="1" ht="22.5" hidden="1">
      <c r="A30" s="961" t="s">
        <v>84</v>
      </c>
      <c r="B30" s="1017">
        <v>0</v>
      </c>
      <c r="C30" s="1195">
        <v>4</v>
      </c>
      <c r="D30" s="1017">
        <v>6</v>
      </c>
      <c r="E30" s="1017">
        <v>47</v>
      </c>
      <c r="F30" s="1017">
        <v>9</v>
      </c>
      <c r="G30" s="1270">
        <v>0</v>
      </c>
      <c r="H30" s="1270">
        <v>0</v>
      </c>
      <c r="I30" s="1017">
        <v>25</v>
      </c>
      <c r="J30" s="1017">
        <v>33</v>
      </c>
      <c r="K30" s="929">
        <v>50</v>
      </c>
      <c r="L30" s="1017">
        <v>10</v>
      </c>
      <c r="M30" s="1017">
        <v>10</v>
      </c>
      <c r="N30" s="1017">
        <v>10</v>
      </c>
      <c r="O30" s="1017">
        <v>10</v>
      </c>
      <c r="P30" s="1017">
        <v>10</v>
      </c>
      <c r="Q30" s="1017">
        <v>10</v>
      </c>
      <c r="R30" s="1017">
        <v>10</v>
      </c>
      <c r="S30" s="1017">
        <v>10</v>
      </c>
      <c r="T30" s="1017">
        <v>10</v>
      </c>
      <c r="U30" s="1187">
        <v>10</v>
      </c>
      <c r="V30" s="1017">
        <v>23</v>
      </c>
    </row>
  </sheetData>
  <sheetProtection formatColumns="0" formatRows="0" autoFilter="0" sort="0" insertRows="0" insertColumns="1" deleteRows="0" deleteColumns="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CAD89A78-FE22-095A-4A36-C8F634D9EE8D}" mc:Ignorable="x14ac xr xr2 xr3">
  <sheetPr>
    <tabColor rgb="FFFFCC99"/>
  </sheetPr>
  <dimension ref="A1:EL118"/>
  <sheetViews>
    <sheetView topLeftCell="A1" showGridLines="0" workbookViewId="0">
      <selection activeCell="A1" sqref="A1"/>
    </sheetView>
  </sheetViews>
  <sheetFormatPr defaultColWidth="9.140625" customHeight="1" defaultRowHeight="11.25"/>
  <cols>
    <col min="1" max="1" style="55353" width="32.57421875" customWidth="1"/>
    <col min="2" max="2" style="46950" width="11.00390625" customWidth="1"/>
    <col min="3" max="3" style="46950" width="9.140625"/>
    <col min="4" max="4" style="46950" width="26.57421875" customWidth="1"/>
    <col min="5" max="5" style="55196" width="36.8515625" customWidth="1"/>
    <col min="6" max="6" style="55196" width="23.57421875" customWidth="1"/>
    <col min="7" max="7" style="55196" width="31.421875" customWidth="1"/>
    <col min="8" max="8" style="55196" width="40.8515625" customWidth="1"/>
    <col min="9" max="9" style="55196" width="14.57421875" customWidth="1"/>
    <col min="10" max="10" style="55196" width="26.8515625" customWidth="1"/>
    <col min="11" max="11" style="55196" width="50.00390625" customWidth="1"/>
    <col min="12" max="12" style="55196" width="52.421875" customWidth="1"/>
    <col min="13" max="13" style="55196" width="10.7109375" customWidth="1"/>
    <col min="14" max="14" style="55196" width="55.140625" customWidth="1"/>
    <col min="15" max="15" style="55196" width="31.8515625" customWidth="1"/>
    <col min="16" max="16" style="55196" width="23.8515625" customWidth="1"/>
    <col min="17" max="17" style="55196" width="46.57421875" customWidth="1"/>
    <col min="18" max="18" style="55196" width="24.00390625" customWidth="1"/>
    <col min="19" max="19" style="55196" width="20.57421875" customWidth="1"/>
    <col min="20" max="20" style="55196" width="22.00390625" customWidth="1"/>
    <col min="21" max="22" style="55196" width="26.421875" customWidth="1"/>
    <col min="23" max="23" style="55196" width="8.28125" hidden="1" customWidth="1"/>
    <col min="24" max="24" style="55196" width="59.7109375" customWidth="1"/>
    <col min="25" max="25" style="55196" width="49.140625" customWidth="1"/>
    <col min="26" max="26" style="55196" width="11.140625" customWidth="1"/>
    <col min="27" max="30" style="55196" width="29.00390625" customWidth="1"/>
    <col min="31" max="31" style="55196" width="9.140625"/>
    <col min="32" max="32" style="55196" width="34.7109375" customWidth="1"/>
    <col min="33" max="33" style="55196" width="9.140625"/>
    <col min="34" max="35" style="55196" width="34.421875" customWidth="1"/>
    <col min="36" max="36" style="55196" width="9.140625"/>
    <col min="37" max="37" style="55196" width="24.57421875" customWidth="1"/>
    <col min="38" max="38" style="55196" width="9.140625"/>
    <col min="39" max="39" style="55196" width="26.140625" customWidth="1"/>
    <col min="40" max="40" style="55196" width="1.7109375" customWidth="1"/>
    <col min="41" max="41" style="55196" width="9.140625"/>
    <col min="42" max="43" style="55196" width="47.8515625" customWidth="1"/>
    <col min="44" max="44" style="55196" width="1.7109375" customWidth="1"/>
    <col min="45" max="45" style="55196" width="21.421875" customWidth="1"/>
    <col min="46" max="46" style="55196" width="1.7109375" customWidth="1"/>
    <col min="47" max="47" style="55196" width="31.28125" customWidth="1"/>
    <col min="48" max="48" style="55196" width="1.7109375" customWidth="1"/>
    <col min="49" max="50" style="55196" width="9.140625"/>
    <col min="51" max="51" style="55196" width="3.7109375" customWidth="1"/>
    <col min="52" max="52" style="55196" width="60.8515625" customWidth="1"/>
    <col min="53" max="53" style="55196" width="49.28125" customWidth="1"/>
    <col min="54" max="54" style="55196" width="35.140625" customWidth="1"/>
    <col min="55" max="55" style="55196" width="9.140625"/>
    <col min="56" max="56" style="55196" width="1.7109375" customWidth="1"/>
    <col min="57" max="57" style="55354" width="12.57421875" customWidth="1"/>
    <col min="58" max="58" style="55354" width="14.28125" customWidth="1"/>
    <col min="59" max="59" style="55196" width="30.7109375" customWidth="1"/>
    <col min="60" max="60" style="55355" width="40.7109375" customWidth="1"/>
    <col min="61" max="61" style="55355" width="15.00390625" customWidth="1"/>
    <col min="62" max="62" style="55355" width="40.7109375" customWidth="1"/>
    <col min="63" max="63" style="55355" width="2.7109375" customWidth="1"/>
    <col min="64" max="64" style="55355" width="44.7109375" customWidth="1"/>
    <col min="65" max="65" style="55355" width="2.7109375" customWidth="1"/>
    <col min="66" max="66" style="55355" width="40.7109375" customWidth="1"/>
    <col min="67" max="68" style="55196" width="9.140625"/>
    <col min="69" max="69" style="55196" width="18.140625" customWidth="1"/>
    <col min="70" max="70" style="55196" width="57.8515625" customWidth="1"/>
    <col min="71" max="71" style="55196" width="1.7109375" customWidth="1"/>
    <col min="72" max="72" style="55196" width="22.57421875" customWidth="1"/>
    <col min="73" max="73" style="55196" width="57.8515625" customWidth="1"/>
    <col min="74" max="74" style="55196" width="1.7109375" customWidth="1"/>
    <col min="75" max="75" style="55196" width="22.57421875" customWidth="1"/>
    <col min="76" max="76" style="55196" width="57.8515625" customWidth="1"/>
    <col min="77" max="77" style="55196" width="1.7109375" customWidth="1"/>
    <col min="78" max="78" style="55196" width="22.57421875" customWidth="1"/>
    <col min="79" max="79" style="55196" width="57.8515625" customWidth="1"/>
    <col min="80" max="81" style="55196" width="9.140625"/>
    <col min="82" max="82" style="55196" width="49.57421875" customWidth="1"/>
  </cols>
  <sheetData>
    <row s="55256" customFormat="1" customHeight="1" ht="11.25">
      <c r="A1" s="1579" t="s">
        <v>1288</v>
      </c>
      <c r="B1" s="1579" t="s">
        <v>1289</v>
      </c>
      <c r="C1" s="1579" t="s">
        <v>1290</v>
      </c>
      <c r="D1" s="1579" t="s">
        <v>1291</v>
      </c>
      <c r="E1" s="1579" t="s">
        <v>1292</v>
      </c>
      <c r="F1" s="1579" t="s">
        <v>1293</v>
      </c>
      <c r="G1" s="1579" t="s">
        <v>1294</v>
      </c>
      <c r="H1" s="1579" t="s">
        <v>1295</v>
      </c>
      <c r="I1" s="1579" t="s">
        <v>1296</v>
      </c>
      <c r="J1" s="1579" t="s">
        <v>1297</v>
      </c>
      <c r="K1" s="1579" t="s">
        <v>1298</v>
      </c>
      <c r="L1" s="1579" t="s">
        <v>1299</v>
      </c>
      <c r="M1" s="1579"/>
      <c r="N1" s="1579" t="s">
        <v>1300</v>
      </c>
      <c r="O1" s="1579" t="s">
        <v>1301</v>
      </c>
      <c r="P1" s="1579" t="s">
        <v>1302</v>
      </c>
      <c r="Q1" s="1579" t="s">
        <v>1303</v>
      </c>
      <c r="R1" s="1579" t="s">
        <v>1304</v>
      </c>
      <c r="S1" s="1579" t="s">
        <v>1305</v>
      </c>
      <c r="T1" s="1579" t="s">
        <v>1306</v>
      </c>
      <c r="U1" s="1579" t="s">
        <v>1307</v>
      </c>
      <c r="V1" s="1579"/>
      <c r="W1" s="1309" t="s">
        <v>1308</v>
      </c>
      <c r="X1" s="1579" t="s">
        <v>1309</v>
      </c>
      <c r="Y1" s="1579" t="s">
        <v>1310</v>
      </c>
      <c r="Z1" s="1579"/>
      <c r="AA1" s="1579" t="s">
        <v>1311</v>
      </c>
      <c r="AB1" s="1579"/>
      <c r="AC1" s="1579" t="s">
        <v>1312</v>
      </c>
      <c r="AD1" s="1579"/>
      <c r="AF1" s="1579" t="s">
        <v>1313</v>
      </c>
      <c r="AH1" s="1579" t="s">
        <v>1314</v>
      </c>
      <c r="AI1" s="1579" t="s">
        <v>1315</v>
      </c>
      <c r="AK1" s="1579" t="s">
        <v>1316</v>
      </c>
      <c r="AM1" s="1579" t="s">
        <v>1317</v>
      </c>
      <c r="AP1" s="1579" t="s">
        <v>1318</v>
      </c>
      <c r="AQ1" s="1579" t="s">
        <v>1319</v>
      </c>
      <c r="AS1" s="1579" t="s">
        <v>1320</v>
      </c>
      <c r="AU1" s="1579" t="s">
        <v>1321</v>
      </c>
      <c r="AW1" s="1579" t="s">
        <v>1322</v>
      </c>
      <c r="AX1" s="1579" t="s">
        <v>1323</v>
      </c>
      <c r="AZ1" s="1664" t="s">
        <v>1324</v>
      </c>
      <c r="BB1" s="1579" t="s">
        <v>1325</v>
      </c>
      <c r="BC1" s="1579"/>
      <c r="BE1" s="1579" t="s">
        <v>1326</v>
      </c>
      <c r="BF1" s="1579" t="s">
        <v>1327</v>
      </c>
      <c r="BH1" s="1581" t="s">
        <v>924</v>
      </c>
      <c r="BI1" s="1582"/>
      <c r="BJ1" s="1583" t="s">
        <v>1328</v>
      </c>
      <c r="BK1" s="1582"/>
      <c r="BL1" s="1584" t="s">
        <v>1023</v>
      </c>
      <c r="BM1" s="1582"/>
      <c r="BN1" s="1585" t="s">
        <v>1329</v>
      </c>
      <c r="BS1" s="1939"/>
    </row>
    <row customHeight="1" ht="11.25">
      <c r="A2" s="1586" t="s">
        <v>1330</v>
      </c>
      <c r="B2" s="1587">
        <v>2000</v>
      </c>
      <c r="C2" s="1587">
        <v>2022</v>
      </c>
      <c r="D2" s="1587" t="s">
        <v>63</v>
      </c>
      <c r="E2" s="1588" t="s">
        <v>1331</v>
      </c>
      <c r="F2" s="1588" t="s">
        <v>1332</v>
      </c>
      <c r="G2" s="1588" t="s">
        <v>1333</v>
      </c>
      <c r="H2" s="1589" t="s">
        <v>57</v>
      </c>
      <c r="I2" s="1588" t="s">
        <v>101</v>
      </c>
      <c r="J2" s="1588" t="s">
        <v>1334</v>
      </c>
      <c r="K2" s="1590" t="s">
        <v>1335</v>
      </c>
      <c r="L2" s="1591"/>
      <c r="M2" s="1590">
        <v>1</v>
      </c>
      <c r="N2" s="1674" t="s">
        <v>1336</v>
      </c>
      <c r="O2" s="1589" t="s">
        <v>1337</v>
      </c>
      <c r="P2" s="1592" t="s">
        <v>1338</v>
      </c>
      <c r="Q2" s="1593" t="s">
        <v>1339</v>
      </c>
      <c r="R2" s="655" t="s">
        <v>1340</v>
      </c>
      <c r="S2" s="655" t="s">
        <v>1341</v>
      </c>
      <c r="T2" s="1594" t="s">
        <v>1342</v>
      </c>
      <c r="U2" s="1591" t="s">
        <v>1343</v>
      </c>
      <c r="V2" s="1595">
        <v>1</v>
      </c>
      <c r="W2" s="1596"/>
      <c r="X2" s="1596" t="s">
        <v>1344</v>
      </c>
      <c r="Y2" s="1587" t="s">
        <v>1345</v>
      </c>
      <c r="Z2" s="1597"/>
      <c r="AA2" s="1587" t="s">
        <v>1346</v>
      </c>
      <c r="AB2" s="1598" t="s">
        <v>1346</v>
      </c>
      <c r="AC2" s="1587" t="s">
        <v>1347</v>
      </c>
      <c r="AD2" s="1598" t="s">
        <v>1347</v>
      </c>
      <c r="AF2" s="1589" t="s">
        <v>1343</v>
      </c>
      <c r="AH2" s="1588" t="s">
        <v>1348</v>
      </c>
      <c r="AI2" s="1588" t="s">
        <v>1348</v>
      </c>
      <c r="AK2" s="1588" t="s">
        <v>1349</v>
      </c>
      <c r="AM2" s="1588" t="s">
        <v>1350</v>
      </c>
      <c r="AP2" s="1599" t="s">
        <v>1344</v>
      </c>
      <c r="AQ2" s="1600" t="s">
        <v>1344</v>
      </c>
      <c r="AS2" s="1587" t="s">
        <v>1351</v>
      </c>
      <c r="AU2" s="1632" t="s">
        <v>1352</v>
      </c>
      <c r="AW2" s="1632" t="s">
        <v>1353</v>
      </c>
      <c r="AX2" s="1632" t="s">
        <v>1353</v>
      </c>
      <c r="AZ2" s="1632" t="s">
        <v>1354</v>
      </c>
      <c r="BB2" s="1632" t="s">
        <v>1355</v>
      </c>
      <c r="BC2" s="1632" t="s">
        <v>1356</v>
      </c>
      <c r="BE2" s="1632">
        <v>2000</v>
      </c>
      <c r="BF2" s="1632" t="s">
        <v>1357</v>
      </c>
    </row>
    <row customHeight="1" ht="11.25">
      <c r="A3" s="1586" t="s">
        <v>1358</v>
      </c>
      <c r="B3" s="1587">
        <v>2001</v>
      </c>
      <c r="C3" s="1587">
        <v>2023</v>
      </c>
      <c r="D3" s="1587" t="s">
        <v>19</v>
      </c>
      <c r="E3" s="1588" t="s">
        <v>1359</v>
      </c>
      <c r="F3" s="1588" t="s">
        <v>1360</v>
      </c>
      <c r="G3" s="1588" t="s">
        <v>1361</v>
      </c>
      <c r="H3" s="1589" t="s">
        <v>1362</v>
      </c>
      <c r="I3" s="1588" t="s">
        <v>105</v>
      </c>
      <c r="J3" s="1588" t="s">
        <v>673</v>
      </c>
      <c r="K3" s="1590" t="s">
        <v>1363</v>
      </c>
      <c r="L3" s="1591">
        <f>_xlfn.IFERROR(MATCH(K3,OFFER_METHOD,0),0)</f>
        <v>0</v>
      </c>
      <c r="M3" s="1590">
        <v>2</v>
      </c>
      <c r="N3" s="1674" t="s">
        <v>1364</v>
      </c>
      <c r="O3" s="1589" t="s">
        <v>1365</v>
      </c>
      <c r="P3" s="1592" t="s">
        <v>37</v>
      </c>
      <c r="Q3" s="1593" t="s">
        <v>1366</v>
      </c>
      <c r="R3" s="655" t="s">
        <v>1367</v>
      </c>
      <c r="S3" s="655" t="s">
        <v>1368</v>
      </c>
      <c r="T3" s="1594" t="s">
        <v>1369</v>
      </c>
      <c r="U3" s="1591" t="s">
        <v>1370</v>
      </c>
      <c r="V3" s="1595">
        <v>2</v>
      </c>
      <c r="W3" s="1596"/>
      <c r="X3" s="1596" t="s">
        <v>1371</v>
      </c>
      <c r="Y3" s="1587" t="s">
        <v>1345</v>
      </c>
      <c r="Z3" s="1597"/>
      <c r="AA3" s="1587" t="s">
        <v>1372</v>
      </c>
      <c r="AB3" s="1598" t="s">
        <v>1372</v>
      </c>
      <c r="AC3" s="1587" t="s">
        <v>1373</v>
      </c>
      <c r="AD3" s="1598" t="s">
        <v>1373</v>
      </c>
      <c r="AF3" s="1589" t="s">
        <v>1370</v>
      </c>
      <c r="AH3" s="1588" t="s">
        <v>1374</v>
      </c>
      <c r="AI3" s="1588" t="s">
        <v>1375</v>
      </c>
      <c r="AK3" s="1588" t="s">
        <v>1376</v>
      </c>
      <c r="AM3" s="1588" t="s">
        <v>1377</v>
      </c>
      <c r="AP3" s="1599" t="s">
        <v>1378</v>
      </c>
      <c r="AQ3" s="1600" t="s">
        <v>1378</v>
      </c>
      <c r="AS3" s="1587" t="s">
        <v>1379</v>
      </c>
      <c r="AU3" s="1632" t="s">
        <v>1380</v>
      </c>
      <c r="AW3" s="1632" t="s">
        <v>1381</v>
      </c>
      <c r="AX3" s="1632" t="s">
        <v>1381</v>
      </c>
      <c r="AZ3" s="1632" t="s">
        <v>1382</v>
      </c>
      <c r="BB3" s="1632" t="s">
        <v>1383</v>
      </c>
      <c r="BC3" s="1632" t="s">
        <v>1356</v>
      </c>
      <c r="BE3" s="1632">
        <v>2001</v>
      </c>
      <c r="BF3" s="1632" t="s">
        <v>1384</v>
      </c>
      <c r="BH3" s="1579" t="s">
        <v>1385</v>
      </c>
      <c r="BJ3" s="1579" t="s">
        <v>1386</v>
      </c>
      <c r="BL3" s="1579" t="s">
        <v>1387</v>
      </c>
      <c r="BN3" s="1579" t="s">
        <v>1388</v>
      </c>
      <c r="BR3" s="1579" t="s">
        <v>1389</v>
      </c>
      <c r="BS3" s="1940"/>
      <c r="BT3" s="1582"/>
      <c r="BU3" s="1579" t="s">
        <v>1390</v>
      </c>
      <c r="BV3" s="1582"/>
      <c r="BW3" s="2202"/>
      <c r="BX3" s="2204" t="s">
        <v>1391</v>
      </c>
      <c r="CA3" s="1579" t="s">
        <v>1392</v>
      </c>
    </row>
    <row customHeight="1" ht="11.25">
      <c r="A4" s="1586" t="s">
        <v>1393</v>
      </c>
      <c r="B4" s="1587">
        <v>2002</v>
      </c>
      <c r="C4" s="1587">
        <v>2024</v>
      </c>
      <c r="E4" s="1588" t="s">
        <v>1394</v>
      </c>
      <c r="F4" s="1588" t="s">
        <v>1395</v>
      </c>
      <c r="H4" s="1589" t="s">
        <v>1396</v>
      </c>
      <c r="I4" s="1588" t="s">
        <v>92</v>
      </c>
      <c r="J4" s="1588" t="s">
        <v>1397</v>
      </c>
      <c r="K4" s="1590" t="s">
        <v>1398</v>
      </c>
      <c r="L4" s="1591">
        <f>_xlfn.IFERROR(MATCH(K4,OFFER_METHOD,0),0)</f>
        <v>0</v>
      </c>
      <c r="M4" s="1590">
        <v>3</v>
      </c>
      <c r="N4" s="1674" t="s">
        <v>1399</v>
      </c>
      <c r="O4" s="1588" t="s">
        <v>1400</v>
      </c>
      <c r="Q4" s="1593" t="s">
        <v>1401</v>
      </c>
      <c r="R4" s="655" t="s">
        <v>1402</v>
      </c>
      <c r="S4" s="655" t="s">
        <v>1403</v>
      </c>
      <c r="T4" s="1594" t="s">
        <v>1404</v>
      </c>
      <c r="U4" s="1591" t="s">
        <v>1405</v>
      </c>
      <c r="V4" s="1595">
        <v>3</v>
      </c>
      <c r="W4" s="1596"/>
      <c r="X4" s="1596" t="s">
        <v>1406</v>
      </c>
      <c r="Y4" s="1587" t="s">
        <v>1345</v>
      </c>
      <c r="Z4" s="1603"/>
      <c r="AC4" s="1587" t="s">
        <v>1407</v>
      </c>
      <c r="AD4" s="1598" t="s">
        <v>1407</v>
      </c>
      <c r="AF4" s="1589" t="s">
        <v>1405</v>
      </c>
      <c r="AH4" s="1589" t="s">
        <v>1408</v>
      </c>
      <c r="AK4" s="1588" t="s">
        <v>1409</v>
      </c>
      <c r="AM4" s="1588" t="s">
        <v>1410</v>
      </c>
      <c r="AP4" s="1599" t="s">
        <v>1371</v>
      </c>
      <c r="AQ4" s="1600" t="s">
        <v>1371</v>
      </c>
      <c r="AS4" s="1587" t="s">
        <v>1411</v>
      </c>
      <c r="AU4" s="1632" t="s">
        <v>1412</v>
      </c>
      <c r="AW4" s="1632" t="s">
        <v>1413</v>
      </c>
      <c r="AX4" s="1632" t="s">
        <v>1413</v>
      </c>
      <c r="AZ4" s="1632" t="s">
        <v>1414</v>
      </c>
      <c r="BB4" s="1632" t="s">
        <v>1415</v>
      </c>
      <c r="BC4" s="1632" t="s">
        <v>1416</v>
      </c>
      <c r="BE4" s="1632">
        <v>2002</v>
      </c>
      <c r="BF4" s="1632" t="s">
        <v>1417</v>
      </c>
      <c r="BH4" s="1580" t="s">
        <v>1418</v>
      </c>
      <c r="BJ4" s="1580" t="s">
        <v>1418</v>
      </c>
      <c r="BL4" s="1580" t="s">
        <v>1418</v>
      </c>
      <c r="BN4" s="1580" t="s">
        <v>1418</v>
      </c>
      <c r="BQ4" s="1944" t="s">
        <v>1419</v>
      </c>
      <c r="BR4" s="1671" t="s">
        <v>1420</v>
      </c>
      <c r="BS4" s="786"/>
      <c r="BT4" s="1944" t="s">
        <v>1421</v>
      </c>
      <c r="BU4" s="1671" t="s">
        <v>1422</v>
      </c>
      <c r="BV4" s="1582"/>
      <c r="BW4" s="2209" t="s">
        <v>1423</v>
      </c>
      <c r="BX4" s="2203" t="s">
        <v>1424</v>
      </c>
      <c r="BZ4" s="1944" t="s">
        <v>1425</v>
      </c>
      <c r="CA4" s="1671" t="s">
        <v>1426</v>
      </c>
    </row>
    <row customHeight="1" ht="11.25">
      <c r="A5" s="1586" t="s">
        <v>1427</v>
      </c>
      <c r="B5" s="1587">
        <v>2003</v>
      </c>
      <c r="C5" s="1587">
        <v>2025</v>
      </c>
      <c r="E5" s="1588" t="s">
        <v>1428</v>
      </c>
      <c r="F5" s="1588" t="s">
        <v>1429</v>
      </c>
      <c r="H5" s="1589" t="s">
        <v>1430</v>
      </c>
      <c r="I5" s="1588" t="s">
        <v>93</v>
      </c>
      <c r="K5" s="1590" t="s">
        <v>1431</v>
      </c>
      <c r="L5" s="1591">
        <f>_xlfn.IFERROR(MATCH(K5,OFFER_METHOD,0),0)</f>
        <v>0</v>
      </c>
      <c r="M5" s="1590">
        <v>4</v>
      </c>
      <c r="N5" s="1604" t="s">
        <v>1432</v>
      </c>
      <c r="O5" s="1588" t="s">
        <v>1433</v>
      </c>
      <c r="Q5" s="1593" t="s">
        <v>1434</v>
      </c>
      <c r="R5" s="655" t="s">
        <v>637</v>
      </c>
      <c r="T5" s="1589" t="s">
        <v>1435</v>
      </c>
      <c r="U5" s="1591" t="s">
        <v>1436</v>
      </c>
      <c r="V5" s="1595">
        <v>4</v>
      </c>
      <c r="W5" s="1596"/>
      <c r="X5" s="1596" t="s">
        <v>217</v>
      </c>
      <c r="Y5" s="1587" t="s">
        <v>1437</v>
      </c>
      <c r="Z5" s="1603">
        <v>1</v>
      </c>
      <c r="AF5" s="1589" t="s">
        <v>1438</v>
      </c>
      <c r="AH5" s="1588" t="s">
        <v>1439</v>
      </c>
      <c r="AK5" s="1588" t="s">
        <v>1440</v>
      </c>
      <c r="AM5" s="1588" t="s">
        <v>1441</v>
      </c>
      <c r="AP5" s="1599" t="s">
        <v>217</v>
      </c>
      <c r="AQ5" s="1600" t="s">
        <v>217</v>
      </c>
      <c r="AU5" s="1632" t="s">
        <v>1442</v>
      </c>
      <c r="AW5" s="1632" t="s">
        <v>1443</v>
      </c>
      <c r="AX5" s="1632" t="s">
        <v>1443</v>
      </c>
      <c r="AZ5" s="1632" t="s">
        <v>1444</v>
      </c>
      <c r="BB5" s="1632" t="s">
        <v>1445</v>
      </c>
      <c r="BC5" s="1632" t="s">
        <v>1446</v>
      </c>
      <c r="BE5" s="1632">
        <v>2003</v>
      </c>
      <c r="BF5" s="1632" t="s">
        <v>1447</v>
      </c>
      <c r="BH5" s="1580" t="s">
        <v>1448</v>
      </c>
      <c r="BJ5" s="1580" t="s">
        <v>1448</v>
      </c>
      <c r="BL5" s="1580" t="s">
        <v>1448</v>
      </c>
      <c r="BN5" s="1580" t="s">
        <v>1449</v>
      </c>
      <c r="BQ5" s="1793">
        <v>4213775</v>
      </c>
      <c r="BR5" s="1580" t="s">
        <v>1344</v>
      </c>
      <c r="BS5" s="1941"/>
      <c r="BT5" s="1793">
        <v>64236871</v>
      </c>
      <c r="BU5" s="1580" t="s">
        <v>278</v>
      </c>
      <c r="BV5" s="1582"/>
      <c r="BW5" s="2207">
        <v>4213767</v>
      </c>
      <c r="BX5" s="2205" t="s">
        <v>1450</v>
      </c>
      <c r="BZ5" s="1793">
        <v>64237509</v>
      </c>
      <c r="CA5" s="1807" t="s">
        <v>1451</v>
      </c>
    </row>
    <row customHeight="1" ht="11.25">
      <c r="A6" s="1586" t="s">
        <v>1452</v>
      </c>
      <c r="B6" s="1587">
        <v>2004</v>
      </c>
      <c r="C6" s="1587">
        <v>2026</v>
      </c>
      <c r="E6" s="1588" t="s">
        <v>1453</v>
      </c>
      <c r="F6" s="1605"/>
      <c r="H6" s="1589" t="s">
        <v>1454</v>
      </c>
      <c r="I6" s="1588" t="s">
        <v>120</v>
      </c>
      <c r="J6" s="1579" t="s">
        <v>1455</v>
      </c>
      <c r="L6" s="1591">
        <f>SUM(kind_of_control_method_filter)</f>
        <v>0</v>
      </c>
      <c r="N6" s="1604" t="s">
        <v>1456</v>
      </c>
      <c r="O6" s="1588" t="s">
        <v>1457</v>
      </c>
      <c r="R6" s="655" t="s">
        <v>1339</v>
      </c>
      <c r="T6" s="1589" t="s">
        <v>1458</v>
      </c>
      <c r="U6" s="1591" t="s">
        <v>1438</v>
      </c>
      <c r="V6" s="1595">
        <v>5</v>
      </c>
      <c r="W6" s="1596"/>
      <c r="X6" s="1587" t="s">
        <v>223</v>
      </c>
      <c r="Y6" s="1587" t="s">
        <v>1459</v>
      </c>
      <c r="Z6" s="1603"/>
      <c r="AA6" s="1606"/>
      <c r="AH6" s="1588" t="s">
        <v>1460</v>
      </c>
      <c r="AK6" s="1588" t="s">
        <v>1461</v>
      </c>
      <c r="AM6" s="1588" t="s">
        <v>1462</v>
      </c>
      <c r="AP6" s="1599" t="s">
        <v>223</v>
      </c>
      <c r="AQ6" s="1600" t="s">
        <v>223</v>
      </c>
      <c r="AU6" s="1632" t="s">
        <v>1463</v>
      </c>
      <c r="AW6" s="1632" t="s">
        <v>1464</v>
      </c>
      <c r="AX6" s="1632" t="s">
        <v>1464</v>
      </c>
      <c r="BB6" s="1632" t="s">
        <v>1465</v>
      </c>
      <c r="BC6" s="1632" t="s">
        <v>1446</v>
      </c>
      <c r="BE6" s="1632">
        <v>2004</v>
      </c>
      <c r="BF6" s="1632" t="s">
        <v>1466</v>
      </c>
      <c r="BH6" s="1580" t="s">
        <v>1467</v>
      </c>
      <c r="BJ6" s="1580" t="s">
        <v>1468</v>
      </c>
      <c r="BL6" s="1580" t="s">
        <v>1468</v>
      </c>
      <c r="BN6" s="1580" t="s">
        <v>1469</v>
      </c>
      <c r="BQ6" s="1793">
        <v>4213784</v>
      </c>
      <c r="BR6" s="1807" t="s">
        <v>1378</v>
      </c>
      <c r="BS6" s="1942"/>
      <c r="BT6" s="1793">
        <v>64236872</v>
      </c>
      <c r="BU6" s="1580" t="s">
        <v>283</v>
      </c>
      <c r="BV6" s="1582"/>
      <c r="BW6" s="2207">
        <v>4213768</v>
      </c>
      <c r="BX6" s="2205" t="s">
        <v>303</v>
      </c>
      <c r="BZ6" s="1793">
        <v>64237510</v>
      </c>
      <c r="CA6" s="1580" t="s">
        <v>1470</v>
      </c>
    </row>
    <row customHeight="1" ht="11.25">
      <c r="A7" s="1586" t="s">
        <v>1471</v>
      </c>
      <c r="B7" s="1587">
        <v>2005</v>
      </c>
      <c r="E7" s="1588" t="s">
        <v>1472</v>
      </c>
      <c r="F7" s="1605"/>
      <c r="H7" s="1589" t="s">
        <v>1473</v>
      </c>
      <c r="I7" s="1588" t="s">
        <v>94</v>
      </c>
      <c r="J7" s="1588" t="s">
        <v>1474</v>
      </c>
      <c r="N7" s="1608" t="s">
        <v>1475</v>
      </c>
      <c r="O7" s="1588" t="s">
        <v>1476</v>
      </c>
      <c r="U7" s="1591" t="s">
        <v>19</v>
      </c>
      <c r="V7" s="882" t="s">
        <v>94</v>
      </c>
      <c r="W7" s="1596"/>
      <c r="X7" s="1587" t="s">
        <v>229</v>
      </c>
      <c r="Y7" s="1587" t="s">
        <v>1437</v>
      </c>
      <c r="Z7" s="1603"/>
      <c r="AA7" s="1606"/>
      <c r="AH7" s="1588" t="s">
        <v>1477</v>
      </c>
      <c r="AK7" s="1588" t="s">
        <v>1478</v>
      </c>
      <c r="AM7" s="1588" t="s">
        <v>1479</v>
      </c>
      <c r="AP7" s="1599" t="s">
        <v>229</v>
      </c>
      <c r="AQ7" s="1600" t="s">
        <v>229</v>
      </c>
      <c r="AU7" s="1632" t="s">
        <v>1480</v>
      </c>
      <c r="AW7" s="1632" t="s">
        <v>1481</v>
      </c>
      <c r="AX7" s="1632" t="s">
        <v>1481</v>
      </c>
      <c r="AZ7" s="1579" t="s">
        <v>1482</v>
      </c>
      <c r="BB7" s="1632" t="s">
        <v>1483</v>
      </c>
      <c r="BC7" s="1632" t="s">
        <v>1446</v>
      </c>
      <c r="BE7" s="1632">
        <v>2005</v>
      </c>
      <c r="BF7" s="1632" t="s">
        <v>1484</v>
      </c>
      <c r="BH7" s="1580" t="s">
        <v>1485</v>
      </c>
      <c r="BJ7" s="1580" t="s">
        <v>1467</v>
      </c>
      <c r="BL7" s="1580" t="s">
        <v>1467</v>
      </c>
      <c r="BN7" s="1580" t="s">
        <v>1486</v>
      </c>
      <c r="BQ7" s="1793">
        <v>4213781</v>
      </c>
      <c r="BR7" s="1580" t="s">
        <v>1371</v>
      </c>
      <c r="BS7" s="1941"/>
      <c r="BT7" s="1793">
        <v>64236873</v>
      </c>
      <c r="BU7" s="1580" t="s">
        <v>288</v>
      </c>
      <c r="BV7" s="1582"/>
      <c r="BW7" s="2207">
        <v>4213769</v>
      </c>
      <c r="BX7" s="2205" t="s">
        <v>1487</v>
      </c>
      <c r="BZ7" s="1793">
        <v>64237511</v>
      </c>
      <c r="CA7" s="1580" t="s">
        <v>387</v>
      </c>
    </row>
    <row customHeight="1" ht="11.25">
      <c r="A8" s="1586" t="s">
        <v>1488</v>
      </c>
      <c r="B8" s="1587">
        <v>2006</v>
      </c>
      <c r="E8" s="1588" t="s">
        <v>1489</v>
      </c>
      <c r="F8" s="1605"/>
      <c r="H8" s="1589" t="s">
        <v>1490</v>
      </c>
      <c r="I8" s="1588" t="s">
        <v>95</v>
      </c>
      <c r="J8" s="1588" t="s">
        <v>1491</v>
      </c>
      <c r="N8" s="1675" t="s">
        <v>1492</v>
      </c>
      <c r="O8" s="1588" t="s">
        <v>1493</v>
      </c>
      <c r="V8" s="882" t="s">
        <v>95</v>
      </c>
      <c r="W8" s="1596"/>
      <c r="X8" s="1587" t="s">
        <v>235</v>
      </c>
      <c r="Y8" s="1587" t="s">
        <v>1437</v>
      </c>
      <c r="Z8" s="1603"/>
      <c r="AA8" s="1606"/>
      <c r="AK8" s="1588" t="s">
        <v>1494</v>
      </c>
      <c r="AP8" s="1599" t="s">
        <v>235</v>
      </c>
      <c r="AQ8" s="1600" t="s">
        <v>235</v>
      </c>
      <c r="AU8" s="1632" t="s">
        <v>1495</v>
      </c>
      <c r="AW8" s="1632" t="s">
        <v>1496</v>
      </c>
      <c r="AX8" s="1632" t="s">
        <v>1496</v>
      </c>
      <c r="AZ8" s="1632" t="s">
        <v>1497</v>
      </c>
      <c r="BB8" s="1632" t="s">
        <v>1498</v>
      </c>
      <c r="BC8" s="1632" t="s">
        <v>1446</v>
      </c>
      <c r="BE8" s="1632">
        <v>2006</v>
      </c>
      <c r="BF8" s="1632" t="s">
        <v>1499</v>
      </c>
      <c r="BH8" s="1580" t="s">
        <v>1500</v>
      </c>
      <c r="BJ8" s="1580" t="s">
        <v>1501</v>
      </c>
      <c r="BL8" s="1580" t="s">
        <v>1501</v>
      </c>
      <c r="BN8" s="1580" t="s">
        <v>1502</v>
      </c>
      <c r="BQ8" s="1793">
        <v>4213776</v>
      </c>
      <c r="BR8" s="1580" t="s">
        <v>217</v>
      </c>
      <c r="BS8" s="1941"/>
      <c r="BT8" s="1793">
        <v>64236874</v>
      </c>
      <c r="BU8" s="1807" t="s">
        <v>1503</v>
      </c>
      <c r="BV8" s="1582"/>
      <c r="BW8" s="2207">
        <v>4213770</v>
      </c>
      <c r="BX8" s="2208" t="s">
        <v>1504</v>
      </c>
      <c r="BZ8" s="1793">
        <v>64237512</v>
      </c>
      <c r="CA8" s="1580" t="s">
        <v>313</v>
      </c>
    </row>
    <row customHeight="1" ht="11.25">
      <c r="A9" s="1586" t="s">
        <v>1505</v>
      </c>
      <c r="B9" s="1587">
        <v>2007</v>
      </c>
      <c r="E9" s="1588" t="s">
        <v>1506</v>
      </c>
      <c r="F9" s="1605"/>
      <c r="G9" s="1579" t="s">
        <v>1507</v>
      </c>
      <c r="H9" s="1579" t="s">
        <v>1508</v>
      </c>
      <c r="I9" s="1588" t="s">
        <v>134</v>
      </c>
      <c r="O9" s="1588" t="s">
        <v>1509</v>
      </c>
      <c r="V9" s="882" t="s">
        <v>134</v>
      </c>
      <c r="W9" s="1596"/>
      <c r="X9" s="1587" t="s">
        <v>241</v>
      </c>
      <c r="Y9" s="1587" t="s">
        <v>1345</v>
      </c>
      <c r="Z9" s="1603">
        <v>1</v>
      </c>
      <c r="AA9" s="1606"/>
      <c r="AK9" s="1588" t="s">
        <v>1510</v>
      </c>
      <c r="AP9" s="1599" t="s">
        <v>1511</v>
      </c>
      <c r="AQ9" s="1600" t="s">
        <v>1511</v>
      </c>
      <c r="AW9" s="1632" t="s">
        <v>1512</v>
      </c>
      <c r="AX9" s="1632" t="s">
        <v>1512</v>
      </c>
      <c r="AZ9" s="1632" t="s">
        <v>1513</v>
      </c>
      <c r="BB9" s="1632" t="s">
        <v>1514</v>
      </c>
      <c r="BC9" s="1632" t="s">
        <v>1446</v>
      </c>
      <c r="BE9" s="1632">
        <v>2007</v>
      </c>
      <c r="BF9" s="1632" t="s">
        <v>1515</v>
      </c>
      <c r="BH9" s="1580" t="s">
        <v>1516</v>
      </c>
      <c r="BJ9" s="1580" t="s">
        <v>1517</v>
      </c>
      <c r="BL9" s="1580" t="s">
        <v>1517</v>
      </c>
      <c r="BN9" s="1580" t="s">
        <v>1518</v>
      </c>
      <c r="BQ9" s="1793">
        <v>4213777</v>
      </c>
      <c r="BR9" s="1580" t="s">
        <v>223</v>
      </c>
      <c r="BS9" s="1941"/>
      <c r="BT9" s="1793">
        <v>64236875</v>
      </c>
      <c r="BU9" s="1580" t="s">
        <v>293</v>
      </c>
      <c r="BV9" s="1582"/>
      <c r="BW9" s="2202"/>
      <c r="BX9" s="2202"/>
    </row>
    <row customHeight="1" ht="11.25">
      <c r="A10" s="1586" t="s">
        <v>1519</v>
      </c>
      <c r="B10" s="1587">
        <v>2008</v>
      </c>
      <c r="E10" s="1588" t="s">
        <v>1520</v>
      </c>
      <c r="F10" s="1605"/>
      <c r="G10" s="1588" t="s">
        <v>1521</v>
      </c>
      <c r="H10" s="1588" t="s">
        <v>1522</v>
      </c>
      <c r="I10" s="1588" t="s">
        <v>139</v>
      </c>
      <c r="J10" s="1579" t="s">
        <v>1523</v>
      </c>
      <c r="K10" s="1579" t="s">
        <v>1524</v>
      </c>
      <c r="O10" s="1588" t="s">
        <v>1525</v>
      </c>
      <c r="V10" s="883" t="s">
        <v>139</v>
      </c>
      <c r="W10" s="1609"/>
      <c r="X10" s="1609" t="s">
        <v>1526</v>
      </c>
      <c r="Y10" s="1610" t="s">
        <v>1527</v>
      </c>
      <c r="Z10" s="1603"/>
      <c r="AP10" s="1599" t="s">
        <v>1526</v>
      </c>
      <c r="AQ10" s="1600" t="s">
        <v>1526</v>
      </c>
      <c r="AW10" s="1632" t="s">
        <v>1528</v>
      </c>
      <c r="AX10" s="1632" t="s">
        <v>1528</v>
      </c>
      <c r="AZ10" s="1632" t="s">
        <v>1529</v>
      </c>
      <c r="BB10" s="1632" t="s">
        <v>1530</v>
      </c>
      <c r="BC10" s="1632" t="s">
        <v>1446</v>
      </c>
      <c r="BE10" s="1632">
        <v>2008</v>
      </c>
      <c r="BF10" s="1632" t="s">
        <v>1531</v>
      </c>
      <c r="BH10" s="1580" t="s">
        <v>1532</v>
      </c>
      <c r="BJ10" s="1580" t="s">
        <v>1533</v>
      </c>
      <c r="BL10" s="1580" t="s">
        <v>1533</v>
      </c>
      <c r="BN10" s="1580" t="s">
        <v>1534</v>
      </c>
      <c r="BQ10" s="1793">
        <v>4213778</v>
      </c>
      <c r="BR10" s="1580" t="s">
        <v>229</v>
      </c>
      <c r="BS10" s="1941"/>
      <c r="BT10" s="1793">
        <v>64236876</v>
      </c>
      <c r="BU10" s="1580" t="s">
        <v>273</v>
      </c>
      <c r="BV10" s="1582"/>
      <c r="BW10" s="2202"/>
      <c r="BX10" s="2202"/>
    </row>
    <row customHeight="1" ht="11.25">
      <c r="A11" s="1586" t="s">
        <v>1535</v>
      </c>
      <c r="B11" s="1587">
        <v>2009</v>
      </c>
      <c r="E11" s="1588" t="s">
        <v>1536</v>
      </c>
      <c r="F11" s="1605"/>
      <c r="G11" s="1588" t="s">
        <v>1537</v>
      </c>
      <c r="H11" s="1588" t="s">
        <v>1538</v>
      </c>
      <c r="I11" s="1588" t="s">
        <v>145</v>
      </c>
      <c r="J11" s="1589" t="s">
        <v>1539</v>
      </c>
      <c r="K11" s="1611" t="s">
        <v>1540</v>
      </c>
      <c r="O11" s="1589" t="s">
        <v>1541</v>
      </c>
      <c r="V11" s="882" t="s">
        <v>145</v>
      </c>
      <c r="W11" s="787"/>
      <c r="X11" s="1596" t="s">
        <v>1511</v>
      </c>
      <c r="Y11" s="1587" t="s">
        <v>1542</v>
      </c>
      <c r="Z11" s="1603"/>
      <c r="AP11" s="1599" t="s">
        <v>241</v>
      </c>
      <c r="AQ11" s="1601" t="s">
        <v>241</v>
      </c>
      <c r="AW11" s="1632" t="s">
        <v>1543</v>
      </c>
      <c r="AX11" s="1632" t="s">
        <v>1543</v>
      </c>
      <c r="AZ11" s="1632" t="s">
        <v>1544</v>
      </c>
      <c r="BB11" s="1632" t="s">
        <v>1545</v>
      </c>
      <c r="BC11" s="1632" t="s">
        <v>1446</v>
      </c>
      <c r="BE11" s="1632">
        <v>2009</v>
      </c>
      <c r="BF11" s="1632" t="s">
        <v>1546</v>
      </c>
      <c r="BH11" s="1580" t="s">
        <v>1547</v>
      </c>
      <c r="BJ11" s="1580" t="s">
        <v>1516</v>
      </c>
      <c r="BL11" s="1580" t="s">
        <v>1516</v>
      </c>
      <c r="BN11" s="1580" t="s">
        <v>1548</v>
      </c>
      <c r="BQ11" s="1793">
        <v>4213780</v>
      </c>
      <c r="BR11" s="1580" t="s">
        <v>235</v>
      </c>
      <c r="BS11" s="1941"/>
      <c r="BW11" s="2202"/>
      <c r="BX11" s="2202"/>
    </row>
    <row customHeight="1" ht="11.25">
      <c r="A12" s="1586" t="s">
        <v>1549</v>
      </c>
      <c r="B12" s="1587">
        <v>2010</v>
      </c>
      <c r="E12" s="1588" t="s">
        <v>1550</v>
      </c>
      <c r="F12" s="1605"/>
      <c r="G12" s="1588" t="s">
        <v>1538</v>
      </c>
      <c r="I12" s="1588" t="s">
        <v>150</v>
      </c>
      <c r="J12" s="1589" t="s">
        <v>1551</v>
      </c>
      <c r="K12" s="1611" t="s">
        <v>1552</v>
      </c>
      <c r="O12" s="1589" t="s">
        <v>1339</v>
      </c>
      <c r="V12" s="882" t="s">
        <v>150</v>
      </c>
      <c r="W12" s="1601"/>
      <c r="X12" s="1596" t="s">
        <v>1553</v>
      </c>
      <c r="Y12" s="1587" t="s">
        <v>1345</v>
      </c>
      <c r="AP12" s="1599"/>
      <c r="AW12" s="1632" t="s">
        <v>145</v>
      </c>
      <c r="AX12" s="1632" t="s">
        <v>145</v>
      </c>
      <c r="AZ12" s="1632" t="s">
        <v>1554</v>
      </c>
      <c r="BB12" s="1632" t="s">
        <v>1555</v>
      </c>
      <c r="BC12" s="1632" t="s">
        <v>1446</v>
      </c>
      <c r="BE12" s="1632">
        <v>2010</v>
      </c>
      <c r="BF12" s="1632" t="s">
        <v>1556</v>
      </c>
      <c r="BH12" s="1580" t="s">
        <v>1557</v>
      </c>
      <c r="BJ12" s="1580" t="s">
        <v>1558</v>
      </c>
      <c r="BL12" s="1580" t="s">
        <v>1558</v>
      </c>
      <c r="BN12" s="1580" t="s">
        <v>1559</v>
      </c>
      <c r="BQ12" s="1793">
        <v>4213779</v>
      </c>
      <c r="BR12" s="1580" t="s">
        <v>1511</v>
      </c>
      <c r="BS12" s="1941"/>
      <c r="BT12" s="1582"/>
      <c r="BU12" s="1582"/>
      <c r="BV12" s="1582"/>
      <c r="BW12" s="2202"/>
      <c r="BX12" s="2202"/>
    </row>
    <row customHeight="1" ht="11.25">
      <c r="A13" s="1586" t="s">
        <v>1560</v>
      </c>
      <c r="B13" s="1587">
        <v>2011</v>
      </c>
      <c r="E13" s="1588" t="s">
        <v>1561</v>
      </c>
      <c r="F13" s="1605"/>
      <c r="I13" s="1588" t="s">
        <v>154</v>
      </c>
      <c r="K13" s="1611" t="s">
        <v>1510</v>
      </c>
      <c r="V13" s="882" t="s">
        <v>154</v>
      </c>
      <c r="W13" s="1601"/>
      <c r="X13" s="1601"/>
      <c r="Y13" s="1601"/>
      <c r="AW13" s="1632" t="s">
        <v>150</v>
      </c>
      <c r="AX13" s="1632" t="s">
        <v>150</v>
      </c>
      <c r="BB13" s="1632" t="s">
        <v>1562</v>
      </c>
      <c r="BC13" s="1632" t="s">
        <v>1563</v>
      </c>
      <c r="BE13" s="1632">
        <v>2011</v>
      </c>
      <c r="BF13" s="1632" t="s">
        <v>1564</v>
      </c>
      <c r="BH13" s="1580" t="s">
        <v>1565</v>
      </c>
      <c r="BJ13" s="1580" t="s">
        <v>1547</v>
      </c>
      <c r="BL13" s="1580" t="s">
        <v>1547</v>
      </c>
      <c r="BN13" s="1580" t="s">
        <v>1566</v>
      </c>
      <c r="BQ13" s="1793">
        <v>4213783</v>
      </c>
      <c r="BR13" s="1580" t="s">
        <v>1526</v>
      </c>
      <c r="BS13" s="1941"/>
      <c r="BT13" s="1582"/>
      <c r="BU13" s="1582"/>
      <c r="BV13" s="1582"/>
      <c r="BW13" s="2206"/>
      <c r="BX13" s="2202"/>
    </row>
    <row customHeight="1" ht="11.25">
      <c r="A14" s="1586" t="s">
        <v>1567</v>
      </c>
      <c r="B14" s="1587">
        <v>2012</v>
      </c>
      <c r="I14" s="1588" t="s">
        <v>158</v>
      </c>
      <c r="J14" s="1579" t="s">
        <v>1568</v>
      </c>
      <c r="N14" s="1579" t="s">
        <v>1569</v>
      </c>
      <c r="V14" s="1595">
        <v>13</v>
      </c>
      <c r="W14" s="1596"/>
      <c r="X14" s="1596" t="s">
        <v>1378</v>
      </c>
      <c r="Y14" s="1587" t="s">
        <v>1345</v>
      </c>
      <c r="AW14" s="1632" t="s">
        <v>154</v>
      </c>
      <c r="AX14" s="1632" t="s">
        <v>154</v>
      </c>
      <c r="AZ14" s="1579" t="s">
        <v>1570</v>
      </c>
      <c r="BB14" s="1632" t="s">
        <v>1571</v>
      </c>
      <c r="BC14" s="1632" t="s">
        <v>1563</v>
      </c>
      <c r="BE14" s="1632">
        <v>2012</v>
      </c>
      <c r="BH14" s="1580" t="s">
        <v>1486</v>
      </c>
      <c r="BJ14" s="1729" t="s">
        <v>1572</v>
      </c>
      <c r="BL14" s="1729" t="s">
        <v>1572</v>
      </c>
      <c r="BN14" s="1580" t="s">
        <v>1573</v>
      </c>
      <c r="BQ14" s="1793">
        <v>4213782</v>
      </c>
      <c r="BR14" s="1580" t="s">
        <v>241</v>
      </c>
      <c r="BS14" s="1941"/>
      <c r="BT14" s="1582"/>
      <c r="BU14" s="1582"/>
      <c r="BV14" s="1582"/>
      <c r="BW14" s="2206"/>
      <c r="BX14" s="2202"/>
    </row>
    <row customHeight="1" ht="19.5">
      <c r="A15" s="1586" t="s">
        <v>1574</v>
      </c>
      <c r="B15" s="1587">
        <v>2013</v>
      </c>
      <c r="E15" s="2210" t="s">
        <v>1575</v>
      </c>
      <c r="G15" s="1579" t="s">
        <v>1576</v>
      </c>
      <c r="H15" s="1579" t="s">
        <v>1577</v>
      </c>
      <c r="I15" s="1590" t="s">
        <v>204</v>
      </c>
      <c r="J15" s="1601" t="s">
        <v>700</v>
      </c>
      <c r="N15" s="1670" t="s">
        <v>1578</v>
      </c>
      <c r="X15" s="1599"/>
      <c r="AW15" s="1632" t="s">
        <v>158</v>
      </c>
      <c r="AX15" s="1632" t="s">
        <v>158</v>
      </c>
      <c r="AZ15" s="1632" t="s">
        <v>1497</v>
      </c>
      <c r="BB15" s="1632" t="s">
        <v>1579</v>
      </c>
      <c r="BC15" s="1632" t="s">
        <v>1563</v>
      </c>
      <c r="BE15" s="1632">
        <v>2013</v>
      </c>
      <c r="BH15" s="1580" t="s">
        <v>1502</v>
      </c>
      <c r="BJ15" s="1729" t="s">
        <v>1580</v>
      </c>
      <c r="BL15" s="1729" t="s">
        <v>1580</v>
      </c>
      <c r="BN15" s="1580" t="s">
        <v>1581</v>
      </c>
      <c r="BR15" s="1582"/>
      <c r="BS15" s="1943"/>
      <c r="BT15" s="1582"/>
      <c r="BU15" s="1582"/>
      <c r="BV15" s="1582"/>
      <c r="BW15" s="2206"/>
      <c r="BX15" s="2202"/>
    </row>
    <row customHeight="1" ht="21">
      <c r="A16" s="2382" t="s">
        <v>1582</v>
      </c>
      <c r="B16" s="1587">
        <v>2014</v>
      </c>
      <c r="E16" s="2211" t="s">
        <v>1583</v>
      </c>
      <c r="G16" s="1588" t="s">
        <v>1584</v>
      </c>
      <c r="H16" s="1588" t="s">
        <v>1585</v>
      </c>
      <c r="I16" s="1590" t="s">
        <v>1586</v>
      </c>
      <c r="J16" s="1601" t="s">
        <v>673</v>
      </c>
      <c r="N16" s="1670" t="s">
        <v>1587</v>
      </c>
      <c r="AW16" s="1632" t="s">
        <v>204</v>
      </c>
      <c r="AX16" s="1632" t="s">
        <v>204</v>
      </c>
      <c r="AZ16" s="1632" t="s">
        <v>1513</v>
      </c>
      <c r="BB16" s="1632" t="s">
        <v>1588</v>
      </c>
      <c r="BC16" s="1632" t="s">
        <v>1563</v>
      </c>
      <c r="BE16" s="1632">
        <v>2014</v>
      </c>
      <c r="BH16" s="1580" t="s">
        <v>1518</v>
      </c>
      <c r="BJ16" s="1729" t="s">
        <v>1589</v>
      </c>
      <c r="BL16" s="1729" t="s">
        <v>1589</v>
      </c>
      <c r="BN16" s="1580" t="s">
        <v>1590</v>
      </c>
      <c r="BR16" s="1582"/>
      <c r="BS16" s="1943"/>
      <c r="BT16" s="1582"/>
      <c r="BU16" s="1582"/>
      <c r="BV16" s="1582"/>
      <c r="BW16" s="2206"/>
      <c r="BX16" s="2202"/>
    </row>
    <row customHeight="1" ht="21">
      <c r="A17" s="1586" t="s">
        <v>1591</v>
      </c>
      <c r="B17" s="1587">
        <v>2015</v>
      </c>
      <c r="G17" s="1588" t="s">
        <v>1538</v>
      </c>
      <c r="H17" s="1588" t="s">
        <v>1538</v>
      </c>
      <c r="I17" s="1588" t="s">
        <v>113</v>
      </c>
      <c r="N17" s="1670" t="s">
        <v>1592</v>
      </c>
      <c r="X17" s="1599"/>
      <c r="AW17" s="1632" t="s">
        <v>1586</v>
      </c>
      <c r="AX17" s="1632" t="s">
        <v>1586</v>
      </c>
      <c r="AZ17" s="1632" t="s">
        <v>1593</v>
      </c>
      <c r="BB17" s="1632" t="s">
        <v>1594</v>
      </c>
      <c r="BC17" s="1632" t="s">
        <v>1446</v>
      </c>
      <c r="BE17" s="1632">
        <v>2015</v>
      </c>
      <c r="BH17" s="1580" t="s">
        <v>1534</v>
      </c>
      <c r="BJ17" s="1729" t="s">
        <v>1595</v>
      </c>
      <c r="BL17" s="1729" t="s">
        <v>1595</v>
      </c>
      <c r="BN17" s="1580" t="s">
        <v>1596</v>
      </c>
      <c r="BR17" s="1579" t="s">
        <v>1389</v>
      </c>
      <c r="BS17" s="1940"/>
      <c r="BU17" s="1579" t="s">
        <v>1597</v>
      </c>
      <c r="BV17" s="1582"/>
      <c r="BW17" s="2202"/>
      <c r="BX17" s="2204" t="s">
        <v>1598</v>
      </c>
      <c r="CA17" s="1579" t="s">
        <v>1599</v>
      </c>
      <c r="CD17" s="1579" t="s">
        <v>1600</v>
      </c>
    </row>
    <row customHeight="1" ht="21">
      <c r="A18" s="1586" t="s">
        <v>1601</v>
      </c>
      <c r="B18" s="1587">
        <v>2016</v>
      </c>
      <c r="E18" s="2517" t="s">
        <v>1602</v>
      </c>
      <c r="I18" s="1588" t="s">
        <v>1603</v>
      </c>
      <c r="N18" s="1670" t="s">
        <v>1604</v>
      </c>
      <c r="X18" s="1599"/>
      <c r="AW18" s="1632" t="s">
        <v>113</v>
      </c>
      <c r="AX18" s="1632" t="s">
        <v>113</v>
      </c>
      <c r="BB18" s="1632" t="s">
        <v>1605</v>
      </c>
      <c r="BC18" s="1632" t="s">
        <v>1446</v>
      </c>
      <c r="BE18" s="1632">
        <v>2016</v>
      </c>
      <c r="BH18" s="1580" t="s">
        <v>1548</v>
      </c>
      <c r="BJ18" s="1729" t="s">
        <v>1606</v>
      </c>
      <c r="BL18" s="1729" t="s">
        <v>1606</v>
      </c>
      <c r="BN18" s="1580" t="s">
        <v>1607</v>
      </c>
      <c r="BQ18" s="1944" t="s">
        <v>1419</v>
      </c>
      <c r="BR18" s="1671" t="s">
        <v>1420</v>
      </c>
      <c r="BS18" s="786"/>
      <c r="BT18" s="1944" t="s">
        <v>1608</v>
      </c>
      <c r="BU18" s="1671" t="s">
        <v>1609</v>
      </c>
      <c r="BV18" s="1582"/>
      <c r="BW18" s="2209" t="s">
        <v>1610</v>
      </c>
      <c r="BX18" s="2203" t="s">
        <v>1611</v>
      </c>
      <c r="BZ18" s="1944" t="s">
        <v>1612</v>
      </c>
      <c r="CA18" s="1671" t="s">
        <v>1613</v>
      </c>
      <c r="CC18" s="1944" t="s">
        <v>1614</v>
      </c>
      <c r="CD18" s="1671" t="s">
        <v>1615</v>
      </c>
    </row>
    <row customHeight="1" ht="21">
      <c r="A19" s="2382" t="s">
        <v>1616</v>
      </c>
      <c r="B19" s="1587">
        <v>2017</v>
      </c>
      <c r="E19" s="1586" t="s">
        <v>216</v>
      </c>
      <c r="I19" s="1588" t="s">
        <v>1617</v>
      </c>
      <c r="N19" s="1670" t="s">
        <v>1618</v>
      </c>
      <c r="X19" s="1599"/>
      <c r="AW19" s="1632" t="s">
        <v>1603</v>
      </c>
      <c r="AX19" s="1632" t="s">
        <v>1603</v>
      </c>
      <c r="AZ19" s="1579" t="s">
        <v>1619</v>
      </c>
      <c r="BB19" s="1632" t="s">
        <v>1620</v>
      </c>
      <c r="BC19" s="1632" t="s">
        <v>1446</v>
      </c>
      <c r="BE19" s="1632">
        <v>2017</v>
      </c>
      <c r="BH19" s="1580" t="s">
        <v>1621</v>
      </c>
      <c r="BJ19" s="1729" t="s">
        <v>1622</v>
      </c>
      <c r="BL19" s="1729" t="s">
        <v>1622</v>
      </c>
      <c r="BQ19" s="1793">
        <v>4190064</v>
      </c>
      <c r="BR19" s="1580" t="s">
        <v>1623</v>
      </c>
      <c r="BS19" s="1941"/>
      <c r="BT19" s="1793">
        <v>4189671</v>
      </c>
      <c r="BU19" s="1580" t="s">
        <v>1624</v>
      </c>
      <c r="BV19" s="1582"/>
      <c r="BW19" s="2207">
        <v>4189706</v>
      </c>
      <c r="BX19" s="2205" t="s">
        <v>1625</v>
      </c>
      <c r="BZ19" s="1793">
        <v>4189714</v>
      </c>
      <c r="CA19" s="1580" t="s">
        <v>1626</v>
      </c>
      <c r="CC19" s="1793">
        <v>4189708</v>
      </c>
      <c r="CD19" s="1580" t="s">
        <v>1627</v>
      </c>
    </row>
    <row customHeight="1" ht="21">
      <c r="A20" s="1586" t="s">
        <v>1628</v>
      </c>
      <c r="B20" s="1587">
        <v>2018</v>
      </c>
      <c r="E20" s="1586" t="s">
        <v>1378</v>
      </c>
      <c r="I20" s="1588" t="s">
        <v>1629</v>
      </c>
      <c r="N20" s="1670" t="s">
        <v>1630</v>
      </c>
      <c r="AW20" s="1632" t="s">
        <v>1617</v>
      </c>
      <c r="AX20" s="1632" t="s">
        <v>1617</v>
      </c>
      <c r="AZ20" s="1632" t="s">
        <v>1631</v>
      </c>
      <c r="BB20" s="1632" t="s">
        <v>1632</v>
      </c>
      <c r="BC20" s="1632" t="s">
        <v>1563</v>
      </c>
      <c r="BE20" s="1632">
        <v>2018</v>
      </c>
      <c r="BH20" s="1580" t="s">
        <v>1559</v>
      </c>
      <c r="BJ20" s="1580" t="s">
        <v>1486</v>
      </c>
      <c r="BL20" s="1580" t="s">
        <v>1486</v>
      </c>
      <c r="BQ20" s="1793">
        <v>4190065</v>
      </c>
      <c r="BR20" s="1580" t="s">
        <v>1633</v>
      </c>
      <c r="BS20" s="1941"/>
      <c r="BT20" s="1793">
        <v>4189672</v>
      </c>
      <c r="BU20" s="1580" t="s">
        <v>1634</v>
      </c>
      <c r="BV20" s="1582"/>
      <c r="BW20" s="2207">
        <v>4189705</v>
      </c>
      <c r="BX20" s="2205" t="s">
        <v>1635</v>
      </c>
      <c r="BZ20" s="1793">
        <v>4189713</v>
      </c>
      <c r="CA20" s="1580" t="s">
        <v>1635</v>
      </c>
      <c r="CC20" s="1793">
        <v>4189709</v>
      </c>
      <c r="CD20" s="1580" t="s">
        <v>1636</v>
      </c>
    </row>
    <row customHeight="1" ht="21">
      <c r="A21" s="1586" t="s">
        <v>1637</v>
      </c>
      <c r="B21" s="1587">
        <v>2019</v>
      </c>
      <c r="I21" s="1588" t="s">
        <v>1638</v>
      </c>
      <c r="N21" s="1670" t="s">
        <v>1639</v>
      </c>
      <c r="AW21" s="1632" t="s">
        <v>1629</v>
      </c>
      <c r="AX21" s="1632" t="s">
        <v>1629</v>
      </c>
      <c r="AZ21" s="1632" t="s">
        <v>1640</v>
      </c>
      <c r="BB21" s="1632" t="s">
        <v>1641</v>
      </c>
      <c r="BC21" s="1632" t="s">
        <v>1446</v>
      </c>
      <c r="BE21" s="1632">
        <v>2019</v>
      </c>
      <c r="BH21" s="1580" t="s">
        <v>1566</v>
      </c>
      <c r="BJ21" s="1580" t="s">
        <v>1502</v>
      </c>
      <c r="BL21" s="1580" t="s">
        <v>1502</v>
      </c>
      <c r="BQ21" s="1793">
        <v>4190066</v>
      </c>
      <c r="BR21" s="1580" t="s">
        <v>1642</v>
      </c>
      <c r="BS21" s="1941"/>
      <c r="BT21" s="1793">
        <v>4189673</v>
      </c>
      <c r="BU21" s="1580" t="s">
        <v>1643</v>
      </c>
      <c r="BV21" s="1582"/>
      <c r="BW21" s="2207">
        <v>4189707</v>
      </c>
      <c r="BX21" s="2205" t="s">
        <v>1644</v>
      </c>
      <c r="BZ21" s="1793">
        <v>4189712</v>
      </c>
      <c r="CA21" s="1580" t="s">
        <v>1645</v>
      </c>
      <c r="CC21" s="1793">
        <v>4189710</v>
      </c>
      <c r="CD21" s="1580" t="s">
        <v>1646</v>
      </c>
    </row>
    <row customHeight="1" ht="21">
      <c r="A22" s="1586" t="s">
        <v>1647</v>
      </c>
      <c r="B22" s="1587">
        <v>2020</v>
      </c>
      <c r="N22" s="1670" t="s">
        <v>1648</v>
      </c>
      <c r="AW22" s="1632" t="s">
        <v>1638</v>
      </c>
      <c r="AX22" s="1632" t="s">
        <v>1638</v>
      </c>
      <c r="AZ22" s="1632" t="s">
        <v>1649</v>
      </c>
      <c r="BB22" s="1632" t="s">
        <v>1650</v>
      </c>
      <c r="BC22" s="1632" t="s">
        <v>1446</v>
      </c>
      <c r="BE22" s="1632">
        <v>2020</v>
      </c>
      <c r="BH22" s="1580" t="s">
        <v>1573</v>
      </c>
      <c r="BJ22" s="1580" t="s">
        <v>1518</v>
      </c>
      <c r="BL22" s="1580" t="s">
        <v>1518</v>
      </c>
      <c r="BQ22" s="1793">
        <v>4190067</v>
      </c>
      <c r="BR22" s="1580" t="s">
        <v>1651</v>
      </c>
      <c r="BS22" s="1941"/>
      <c r="BT22" s="1793">
        <v>4189674</v>
      </c>
      <c r="BU22" s="1580" t="s">
        <v>1652</v>
      </c>
      <c r="BV22" s="1582"/>
      <c r="BW22" s="1582"/>
      <c r="CC22" s="1793">
        <v>4189711</v>
      </c>
      <c r="CD22" s="1580" t="s">
        <v>411</v>
      </c>
    </row>
    <row customHeight="1" ht="21">
      <c r="A23" s="1586" t="s">
        <v>1653</v>
      </c>
      <c r="B23" s="1587">
        <v>2021</v>
      </c>
      <c r="AW23" s="1632" t="s">
        <v>1654</v>
      </c>
      <c r="AX23" s="1632" t="s">
        <v>1654</v>
      </c>
      <c r="AZ23" s="1632" t="s">
        <v>1655</v>
      </c>
      <c r="BB23" s="1632" t="s">
        <v>1656</v>
      </c>
      <c r="BC23" s="1632" t="s">
        <v>1356</v>
      </c>
      <c r="BE23" s="1632">
        <v>2021</v>
      </c>
      <c r="BH23" s="1580" t="s">
        <v>1581</v>
      </c>
      <c r="BJ23" s="1580" t="s">
        <v>1534</v>
      </c>
      <c r="BL23" s="1580" t="s">
        <v>1534</v>
      </c>
      <c r="BQ23" s="1793">
        <v>4190068</v>
      </c>
      <c r="BR23" s="1580" t="s">
        <v>1657</v>
      </c>
      <c r="BS23" s="1941"/>
      <c r="BT23" s="1793">
        <v>4189675</v>
      </c>
      <c r="BU23" s="1580" t="s">
        <v>1658</v>
      </c>
      <c r="BV23" s="1582"/>
      <c r="BW23" s="1582"/>
      <c r="CC23" s="1793">
        <v>5110778</v>
      </c>
      <c r="CD23" s="1580" t="s">
        <v>1659</v>
      </c>
    </row>
    <row customHeight="1" ht="21">
      <c r="A24" s="1586" t="s">
        <v>1660</v>
      </c>
      <c r="B24" s="1587">
        <v>2022</v>
      </c>
      <c r="AW24" s="1632" t="s">
        <v>1661</v>
      </c>
      <c r="AX24" s="1632" t="s">
        <v>1661</v>
      </c>
      <c r="AZ24" s="1632" t="s">
        <v>1662</v>
      </c>
      <c r="BB24" s="1632" t="s">
        <v>1663</v>
      </c>
      <c r="BC24" s="1632" t="s">
        <v>1664</v>
      </c>
      <c r="BE24" s="1632">
        <v>2022</v>
      </c>
      <c r="BH24" s="1580" t="s">
        <v>1590</v>
      </c>
      <c r="BJ24" s="1580" t="s">
        <v>1548</v>
      </c>
      <c r="BL24" s="1580" t="s">
        <v>1548</v>
      </c>
      <c r="BQ24" s="1793">
        <v>4190069</v>
      </c>
      <c r="BR24" s="1580" t="s">
        <v>1665</v>
      </c>
      <c r="BS24" s="1941"/>
      <c r="BT24" s="1793">
        <v>4189676</v>
      </c>
      <c r="BU24" s="1580" t="s">
        <v>1666</v>
      </c>
      <c r="BV24" s="1582"/>
      <c r="BW24" s="1582"/>
      <c r="CC24" s="1793">
        <v>25575374</v>
      </c>
      <c r="CD24" s="1580" t="s">
        <v>1667</v>
      </c>
    </row>
    <row customHeight="1" ht="11.25">
      <c r="A25" s="1586" t="s">
        <v>1668</v>
      </c>
      <c r="B25" s="1587">
        <v>2023</v>
      </c>
      <c r="AW25" s="1632" t="s">
        <v>1669</v>
      </c>
      <c r="AX25" s="1632" t="s">
        <v>1669</v>
      </c>
      <c r="AZ25" s="1632" t="s">
        <v>1670</v>
      </c>
      <c r="BB25" s="1632" t="s">
        <v>1671</v>
      </c>
      <c r="BC25" s="1632" t="s">
        <v>1664</v>
      </c>
      <c r="BE25" s="1632">
        <v>2023</v>
      </c>
      <c r="BH25" s="1580" t="s">
        <v>1596</v>
      </c>
      <c r="BJ25" s="1580" t="s">
        <v>1621</v>
      </c>
      <c r="BL25" s="1580" t="s">
        <v>1621</v>
      </c>
      <c r="BQ25" s="1793">
        <v>4190070</v>
      </c>
      <c r="BR25" s="1580" t="s">
        <v>1672</v>
      </c>
      <c r="BS25" s="1941"/>
      <c r="BT25" s="1793">
        <v>4189677</v>
      </c>
      <c r="BU25" s="1580" t="s">
        <v>1673</v>
      </c>
      <c r="BV25" s="1582"/>
      <c r="BW25" s="1582"/>
    </row>
    <row customHeight="1" ht="11.25">
      <c r="A26" s="1586" t="s">
        <v>1674</v>
      </c>
      <c r="B26" s="1587">
        <v>2024</v>
      </c>
      <c r="J26" s="2243" t="s">
        <v>1675</v>
      </c>
      <c r="AX26" s="1632" t="s">
        <v>1676</v>
      </c>
      <c r="AZ26" s="1632" t="s">
        <v>1541</v>
      </c>
      <c r="BB26" s="1632" t="s">
        <v>1677</v>
      </c>
      <c r="BC26" s="1632" t="s">
        <v>1664</v>
      </c>
      <c r="BE26" s="1632">
        <v>2024</v>
      </c>
      <c r="BH26" s="1580" t="s">
        <v>1607</v>
      </c>
      <c r="BJ26" s="1580" t="s">
        <v>1559</v>
      </c>
      <c r="BL26" s="1580" t="s">
        <v>1559</v>
      </c>
      <c r="BQ26" s="1793">
        <v>4190071</v>
      </c>
      <c r="BR26" s="1580" t="s">
        <v>1678</v>
      </c>
      <c r="BS26" s="1941"/>
      <c r="BV26" s="1582"/>
      <c r="BW26" s="1582"/>
    </row>
    <row customHeight="1" ht="11.25">
      <c r="A27" s="1586" t="s">
        <v>1679</v>
      </c>
      <c r="B27" s="1587">
        <v>2025</v>
      </c>
      <c r="J27" s="688" t="s">
        <v>106</v>
      </c>
      <c r="AX27" s="1632" t="s">
        <v>1680</v>
      </c>
      <c r="BB27" s="1632" t="s">
        <v>1681</v>
      </c>
      <c r="BC27" s="1632" t="s">
        <v>1664</v>
      </c>
      <c r="BE27" s="1632">
        <v>2025</v>
      </c>
      <c r="BH27" s="1582" t="s">
        <v>28</v>
      </c>
      <c r="BJ27" s="1580" t="s">
        <v>1566</v>
      </c>
      <c r="BL27" s="1580" t="s">
        <v>1566</v>
      </c>
      <c r="BN27" s="1582" t="s">
        <v>28</v>
      </c>
      <c r="BQ27" s="1793">
        <v>4190072</v>
      </c>
      <c r="BR27" s="1580" t="s">
        <v>1682</v>
      </c>
      <c r="BS27" s="1941"/>
      <c r="BV27" s="1582"/>
      <c r="BW27" s="1582"/>
    </row>
    <row customHeight="1" ht="11.25">
      <c r="A28" s="1586" t="s">
        <v>1683</v>
      </c>
      <c r="D28" s="1613"/>
      <c r="E28" s="1614"/>
      <c r="F28" s="1614"/>
      <c r="H28" s="1615" t="s">
        <v>1684</v>
      </c>
      <c r="AX28" s="1632" t="s">
        <v>1685</v>
      </c>
      <c r="AZ28" s="1579" t="s">
        <v>1686</v>
      </c>
      <c r="BB28" s="1632" t="s">
        <v>1687</v>
      </c>
      <c r="BC28" s="1632" t="s">
        <v>1688</v>
      </c>
      <c r="BE28" s="1632">
        <v>2026</v>
      </c>
      <c r="BH28" s="1582" t="s">
        <v>28</v>
      </c>
      <c r="BJ28" s="1580" t="s">
        <v>1573</v>
      </c>
      <c r="BL28" s="1580" t="s">
        <v>1573</v>
      </c>
      <c r="BN28" s="1582" t="s">
        <v>28</v>
      </c>
      <c r="BQ28" s="1793">
        <v>4190073</v>
      </c>
      <c r="BR28" s="1580" t="s">
        <v>1689</v>
      </c>
      <c r="BS28" s="1941"/>
      <c r="BV28" s="1582"/>
      <c r="BW28" s="1582"/>
    </row>
    <row customHeight="1" ht="11.25">
      <c r="A29" s="1586" t="s">
        <v>1690</v>
      </c>
      <c r="D29" s="1616" t="s">
        <v>1691</v>
      </c>
      <c r="E29" s="1617" t="str">
        <f>IF(TEMPLATE_GROUP="","",INDEX(StartDateList,MATCH(TEMPLATE_GROUP,CodeTemplateList,0),1))</f>
        <v>01.01.2024</v>
      </c>
      <c r="F29" s="1617" t="str">
        <f>IF(TEMPLATE_GROUP="","",INDEX(EndDateList,MATCH(TEMPLATE_GROUP,CodeTemplateList,0),1))</f>
        <v>31.12.2028</v>
      </c>
      <c r="H29" s="1618" t="s">
        <v>1692</v>
      </c>
      <c r="AX29" s="1632" t="s">
        <v>1693</v>
      </c>
      <c r="AZ29" s="1632" t="s">
        <v>1340</v>
      </c>
      <c r="BB29" s="1632" t="s">
        <v>1541</v>
      </c>
      <c r="BC29" s="1603"/>
      <c r="BE29" s="1632">
        <v>2027</v>
      </c>
      <c r="BJ29" s="1580" t="s">
        <v>1581</v>
      </c>
      <c r="BL29" s="1580" t="s">
        <v>1581</v>
      </c>
    </row>
    <row customHeight="1" ht="11.25">
      <c r="A30" s="1586" t="s">
        <v>1694</v>
      </c>
      <c r="D30" s="1619"/>
      <c r="E30" s="1620"/>
      <c r="F30" s="1620"/>
      <c r="AX30" s="1632" t="s">
        <v>1695</v>
      </c>
      <c r="AZ30" s="1632" t="s">
        <v>1367</v>
      </c>
      <c r="BE30" s="1632">
        <v>2028</v>
      </c>
      <c r="BJ30" s="1580" t="s">
        <v>1696</v>
      </c>
      <c r="BL30" s="1580" t="s">
        <v>1696</v>
      </c>
    </row>
    <row customHeight="1" ht="12.75">
      <c r="A31" s="1586" t="s">
        <v>1697</v>
      </c>
      <c r="D31" s="1613"/>
      <c r="E31" s="1614"/>
      <c r="F31" s="1614"/>
      <c r="H31" s="1621"/>
      <c r="AX31" s="1632" t="s">
        <v>1698</v>
      </c>
      <c r="AZ31" s="1632" t="s">
        <v>636</v>
      </c>
      <c r="BE31" s="1632">
        <v>2029</v>
      </c>
      <c r="BJ31" s="1580" t="s">
        <v>1699</v>
      </c>
      <c r="BL31" s="1580" t="s">
        <v>1699</v>
      </c>
    </row>
    <row customHeight="1" ht="11.25">
      <c r="A32" s="1586" t="s">
        <v>1700</v>
      </c>
      <c r="D32" s="1616" t="s">
        <v>1701</v>
      </c>
      <c r="E32" s="1617" t="str">
        <f>IF(TEMPLATE_GROUP="","",INDEX(StartDateList,MATCH(TEMPLATE_GROUP,CodeTemplateList,0),1))</f>
        <v>01.01.2024</v>
      </c>
      <c r="F32" s="1617" t="str">
        <f>IF(TEMPLATE_GROUP="","",INDEX(EndDateList,MATCH(TEMPLATE_GROUP,CodeTemplateList,0),1))</f>
        <v>31.12.2028</v>
      </c>
      <c r="H32" s="1622" t="s">
        <v>1702</v>
      </c>
      <c r="O32" s="1586" t="s">
        <v>1337</v>
      </c>
      <c r="AX32" s="1632" t="s">
        <v>1703</v>
      </c>
      <c r="AZ32" s="1632" t="s">
        <v>637</v>
      </c>
      <c r="BE32" s="1632">
        <v>2030</v>
      </c>
      <c r="BJ32" s="1580" t="s">
        <v>1590</v>
      </c>
      <c r="BL32" s="1580" t="s">
        <v>1590</v>
      </c>
    </row>
    <row customHeight="1" ht="11.25">
      <c r="A33" s="1586" t="s">
        <v>1704</v>
      </c>
      <c r="O33" s="1586" t="s">
        <v>1365</v>
      </c>
      <c r="AX33" s="1632" t="s">
        <v>1705</v>
      </c>
      <c r="AZ33" s="1632" t="s">
        <v>1339</v>
      </c>
      <c r="BE33" s="1632">
        <v>2031</v>
      </c>
      <c r="BJ33" s="1580" t="s">
        <v>1596</v>
      </c>
      <c r="BL33" s="1580" t="s">
        <v>1596</v>
      </c>
    </row>
    <row customHeight="1" ht="11.25">
      <c r="A34" s="1586" t="s">
        <v>1706</v>
      </c>
      <c r="O34" s="1586" t="s">
        <v>1400</v>
      </c>
      <c r="AX34" s="1632" t="s">
        <v>1707</v>
      </c>
      <c r="BE34" s="1632">
        <v>2032</v>
      </c>
      <c r="BJ34" s="1580" t="s">
        <v>1607</v>
      </c>
      <c r="BL34" s="1580" t="s">
        <v>1607</v>
      </c>
    </row>
    <row customHeight="1" ht="11.25">
      <c r="A35" s="1586" t="s">
        <v>1708</v>
      </c>
      <c r="O35" s="1586" t="s">
        <v>1433</v>
      </c>
      <c r="AX35" s="1632" t="s">
        <v>1709</v>
      </c>
      <c r="AZ35" s="1579" t="s">
        <v>1710</v>
      </c>
      <c r="BE35" s="1632">
        <v>2033</v>
      </c>
      <c r="BL35" s="1580" t="s">
        <v>1711</v>
      </c>
    </row>
    <row customHeight="1" ht="11.25">
      <c r="A36" s="2382" t="s">
        <v>1712</v>
      </c>
      <c r="D36" s="1623" t="s">
        <v>1713</v>
      </c>
      <c r="E36" s="1624" t="s">
        <v>1023</v>
      </c>
      <c r="F36" s="1625" t="str">
        <f>INDEX(E37:E41,MATCH(TEMPLATE_SPHERE,F37:F41,0))</f>
        <v>водоотведения</v>
      </c>
      <c r="G36" s="1625" t="str">
        <f>INDEX(G37:G41,MATCH(TEMPLATE_SPHERE,F37:F41,0))</f>
        <v>водоотведение</v>
      </c>
      <c r="O36" s="1586" t="s">
        <v>1457</v>
      </c>
      <c r="AX36" s="1632" t="s">
        <v>1714</v>
      </c>
      <c r="AZ36" s="1632" t="s">
        <v>1339</v>
      </c>
      <c r="BE36" s="1632">
        <v>2034</v>
      </c>
      <c r="BL36" s="1580" t="s">
        <v>1715</v>
      </c>
    </row>
    <row customHeight="1" ht="11.25">
      <c r="A37" s="1586" t="s">
        <v>1716</v>
      </c>
      <c r="E37" s="919" t="s">
        <v>1717</v>
      </c>
      <c r="F37" s="1626" t="s">
        <v>924</v>
      </c>
      <c r="G37" s="919" t="s">
        <v>1718</v>
      </c>
      <c r="O37" s="1586" t="s">
        <v>1476</v>
      </c>
      <c r="AX37" s="1632" t="s">
        <v>1719</v>
      </c>
      <c r="AZ37" s="1632" t="s">
        <v>1366</v>
      </c>
      <c r="BE37" s="1632">
        <v>2035</v>
      </c>
    </row>
    <row customHeight="1" ht="11.25">
      <c r="A38" s="1586" t="s">
        <v>1720</v>
      </c>
      <c r="E38" s="919" t="s">
        <v>1721</v>
      </c>
      <c r="F38" s="1627" t="s">
        <v>970</v>
      </c>
      <c r="G38" s="919" t="s">
        <v>1722</v>
      </c>
      <c r="O38" s="1586" t="s">
        <v>1493</v>
      </c>
      <c r="AX38" s="1632" t="s">
        <v>1723</v>
      </c>
      <c r="AZ38" s="1632" t="s">
        <v>1401</v>
      </c>
      <c r="BE38" s="1632">
        <v>2036</v>
      </c>
      <c r="BH38" s="1579" t="s">
        <v>1724</v>
      </c>
      <c r="BJ38" s="1579" t="s">
        <v>1725</v>
      </c>
      <c r="BL38" s="1579" t="s">
        <v>1726</v>
      </c>
      <c r="BN38" s="1579" t="s">
        <v>1727</v>
      </c>
    </row>
    <row customHeight="1" ht="11.25">
      <c r="A39" s="1586" t="s">
        <v>1728</v>
      </c>
      <c r="E39" s="919" t="s">
        <v>1729</v>
      </c>
      <c r="F39" s="1627" t="s">
        <v>1023</v>
      </c>
      <c r="G39" s="919" t="s">
        <v>1730</v>
      </c>
      <c r="O39" s="1586" t="s">
        <v>1509</v>
      </c>
      <c r="AX39" s="1632" t="s">
        <v>1731</v>
      </c>
      <c r="AZ39" s="1632" t="s">
        <v>1434</v>
      </c>
      <c r="BE39" s="1632">
        <v>2037</v>
      </c>
      <c r="BH39" s="1580" t="s">
        <v>1732</v>
      </c>
      <c r="BJ39" s="1729" t="s">
        <v>1732</v>
      </c>
      <c r="BL39" s="1729" t="s">
        <v>1732</v>
      </c>
      <c r="BN39" s="1580" t="s">
        <v>1733</v>
      </c>
    </row>
    <row customHeight="1" ht="11.25">
      <c r="A40" s="1586" t="s">
        <v>1734</v>
      </c>
      <c r="E40" s="919" t="s">
        <v>1735</v>
      </c>
      <c r="F40" s="1627" t="s">
        <v>1010</v>
      </c>
      <c r="G40" s="919" t="s">
        <v>1736</v>
      </c>
      <c r="O40" s="1586" t="s">
        <v>1525</v>
      </c>
      <c r="AX40" s="1632" t="s">
        <v>1737</v>
      </c>
      <c r="BE40" s="1632">
        <v>2038</v>
      </c>
      <c r="BH40" s="1580" t="s">
        <v>1738</v>
      </c>
      <c r="BJ40" s="1729" t="s">
        <v>1143</v>
      </c>
      <c r="BL40" s="1729" t="s">
        <v>1143</v>
      </c>
      <c r="BN40" s="1580" t="s">
        <v>1177</v>
      </c>
    </row>
    <row customHeight="1" ht="11.25">
      <c r="A41" s="1586" t="s">
        <v>1739</v>
      </c>
      <c r="E41" s="919" t="s">
        <v>1740</v>
      </c>
      <c r="F41" s="1627" t="s">
        <v>1741</v>
      </c>
      <c r="G41" s="919" t="s">
        <v>1740</v>
      </c>
      <c r="O41" s="1586" t="s">
        <v>1541</v>
      </c>
      <c r="AX41" s="1632" t="s">
        <v>1742</v>
      </c>
      <c r="AZ41" s="1579" t="s">
        <v>1743</v>
      </c>
      <c r="BE41" s="1632">
        <v>2039</v>
      </c>
      <c r="BH41" s="1580" t="s">
        <v>1744</v>
      </c>
      <c r="BJ41" s="1729" t="s">
        <v>1139</v>
      </c>
      <c r="BL41" s="1729" t="s">
        <v>1139</v>
      </c>
      <c r="BN41" s="1580" t="s">
        <v>1164</v>
      </c>
    </row>
    <row customHeight="1" ht="11.25">
      <c r="A42" s="1586" t="s">
        <v>1745</v>
      </c>
      <c r="AX42" s="1632" t="s">
        <v>1746</v>
      </c>
      <c r="AZ42" s="1632" t="s">
        <v>1337</v>
      </c>
      <c r="BE42" s="1632">
        <v>2040</v>
      </c>
      <c r="BH42" s="1580" t="s">
        <v>1161</v>
      </c>
      <c r="BJ42" s="1729" t="s">
        <v>1141</v>
      </c>
      <c r="BL42" s="1729" t="s">
        <v>1141</v>
      </c>
      <c r="BN42" s="1580" t="s">
        <v>1747</v>
      </c>
    </row>
    <row customHeight="1" ht="11.25">
      <c r="A43" s="1586" t="s">
        <v>1748</v>
      </c>
      <c r="AX43" s="1632" t="s">
        <v>1749</v>
      </c>
      <c r="AZ43" s="1632" t="s">
        <v>1365</v>
      </c>
      <c r="BE43" s="1632">
        <v>2041</v>
      </c>
      <c r="BH43" s="1580" t="s">
        <v>1750</v>
      </c>
      <c r="BJ43" s="1729" t="s">
        <v>1744</v>
      </c>
      <c r="BL43" s="1729" t="s">
        <v>1744</v>
      </c>
      <c r="BN43" s="1580" t="s">
        <v>1751</v>
      </c>
    </row>
    <row customHeight="1" ht="11.25">
      <c r="A44" s="1586" t="s">
        <v>1752</v>
      </c>
      <c r="G44" s="1606">
        <f>YEAR(TODAY())</f>
        <v>2024</v>
      </c>
      <c r="I44" s="1311" t="s">
        <v>1753</v>
      </c>
      <c r="J44" s="1601" t="s">
        <v>1754</v>
      </c>
      <c r="K44" s="1601" t="s">
        <v>1755</v>
      </c>
      <c r="AX44" s="1632" t="s">
        <v>1756</v>
      </c>
      <c r="AZ44" s="1632" t="s">
        <v>1400</v>
      </c>
      <c r="BE44" s="1632">
        <v>2042</v>
      </c>
      <c r="BH44" s="1580" t="s">
        <v>1757</v>
      </c>
      <c r="BJ44" s="1729" t="s">
        <v>1161</v>
      </c>
      <c r="BL44" s="1729" t="s">
        <v>1161</v>
      </c>
      <c r="BN44" s="1580" t="s">
        <v>1758</v>
      </c>
    </row>
    <row customHeight="1" ht="11.25">
      <c r="A45" s="1586" t="s">
        <v>1759</v>
      </c>
      <c r="D45" s="1623" t="s">
        <v>1760</v>
      </c>
      <c r="E45" s="1624" t="s">
        <v>1761</v>
      </c>
      <c r="F45" s="1309" t="s">
        <v>1762</v>
      </c>
      <c r="G45" s="1308" t="s">
        <v>1763</v>
      </c>
      <c r="H45" s="1311" t="s">
        <v>1764</v>
      </c>
      <c r="I45" s="2253">
        <f>INDEX(PeriodIsEmptyList,MATCH(TEMPLATE_GROUP,CodeTemplateList,0),1)</f>
        <v>0</v>
      </c>
      <c r="J45" s="2256" t="str">
        <f>INDEX(NameTemplatesInTitleList,MATCH(TEMPLATE_GROUP,CodeTemplateList,0),1)</f>
        <v>Показатели, подлежащие раскрытию в сфере водоотведения (цены и тарифы)</v>
      </c>
      <c r="K45" s="2256"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632" t="s">
        <v>1765</v>
      </c>
      <c r="AZ45" s="1632" t="s">
        <v>1433</v>
      </c>
      <c r="BE45" s="1632">
        <v>2043</v>
      </c>
      <c r="BH45" s="1580" t="s">
        <v>1766</v>
      </c>
      <c r="BJ45" s="1729" t="s">
        <v>1155</v>
      </c>
      <c r="BL45" s="1729" t="s">
        <v>1155</v>
      </c>
      <c r="BN45" s="1580" t="s">
        <v>1767</v>
      </c>
    </row>
    <row customHeight="1" ht="11.25">
      <c r="A46" s="1586" t="s">
        <v>1768</v>
      </c>
      <c r="E46" s="919" t="s">
        <v>26</v>
      </c>
      <c r="F46" s="1626" t="s">
        <v>1769</v>
      </c>
      <c r="G46" s="1628" t="str">
        <f>_xlfn.IFERROR(IF(TITLE_DATE_FIL="","01.01."&amp;CURRENT_YEAR,"01.01."&amp;YEAR(TITLE_DATE_FIL)),"01.01."&amp;CURRENT_YEAR)</f>
        <v>01.01.2024</v>
      </c>
      <c r="H46" s="1628" t="str">
        <f>_xlfn.IFERROR(IF(TITLE_DATE_FIL="","31.12."&amp;CURRENT_YEAR,"31.12."&amp;YEAR(TITLE_DATE_FIL)),"31.12."&amp;CURRENT_YEAR)</f>
        <v>31.12.2024</v>
      </c>
      <c r="I46" s="2254">
        <f>IF(TITLE_DATE_FIL="",TRUE,FALSE)</f>
        <v>1</v>
      </c>
      <c r="J46" s="2257" t="str">
        <f>"Общая информация о регулируемой организации ("&amp;TEMPLATE_SPHERE_RUS&amp;")"</f>
        <v>Общая информация о регулируемой организации (водоотведения)</v>
      </c>
      <c r="K46" s="2258"/>
      <c r="AX46" s="1632" t="s">
        <v>108</v>
      </c>
      <c r="AZ46" s="1632" t="s">
        <v>1457</v>
      </c>
      <c r="BE46" s="1632">
        <v>2044</v>
      </c>
      <c r="BH46" s="1580" t="s">
        <v>1164</v>
      </c>
      <c r="BJ46" s="1729" t="s">
        <v>1145</v>
      </c>
      <c r="BL46" s="1729" t="s">
        <v>1145</v>
      </c>
      <c r="BN46" s="1580" t="s">
        <v>1770</v>
      </c>
    </row>
    <row customHeight="1" ht="11.25">
      <c r="A47" s="1586" t="s">
        <v>1771</v>
      </c>
      <c r="E47" s="919" t="s">
        <v>33</v>
      </c>
      <c r="F47" s="1627" t="s">
        <v>1772</v>
      </c>
      <c r="G47" s="1628" t="str">
        <f>_xlfn.IFERROR(IF(f_year="","01.01."&amp;CURRENT_YEAR,IF(LEN(f_quart)=0,"01.01."&amp;f_year,IF(f_quart="I квартал","01.01."&amp;f_year,IF(f_quart="II квартал","01.04."&amp;f_year,(IF(f_quart="III квартал","01.07."&amp;f_year,"01.10."&amp;f_year)))))),"01.01."&amp;CURRENT_YEAR)</f>
        <v>01.01.2024</v>
      </c>
      <c r="H47" s="1628" t="str">
        <f>_xlfn.IFERROR(IF(f_year="","31.12."&amp;CURRENT_YEAR,IF(LEN(f_quart)=0,"31.12."&amp;f_year,IF(f_quart="I квартал","31.03."&amp;f_year,IF(f_quart="II квартал","30.06."&amp;f_year,(IF(f_quart="III квартал","30.09."&amp;f_year,"31.12."&amp;f_year)))))),"31.12."&amp;CURRENT_YEAR)</f>
        <v>31.12.2024</v>
      </c>
      <c r="I47" s="2255">
        <f>IF(OR(f_year="",f_quart=""),TRUE,FALSE)</f>
        <v>1</v>
      </c>
      <c r="J47" s="2257"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7" s="2258"/>
      <c r="AX47" s="1632" t="s">
        <v>1773</v>
      </c>
      <c r="AZ47" s="1632" t="s">
        <v>1476</v>
      </c>
      <c r="BE47" s="1632">
        <v>2045</v>
      </c>
      <c r="BH47" s="1580" t="s">
        <v>1747</v>
      </c>
      <c r="BJ47" s="1729" t="s">
        <v>1147</v>
      </c>
      <c r="BL47" s="1729" t="s">
        <v>1147</v>
      </c>
      <c r="BN47" s="1580" t="s">
        <v>1774</v>
      </c>
    </row>
    <row customHeight="1" ht="11.25">
      <c r="A48" s="1586" t="s">
        <v>1775</v>
      </c>
      <c r="E48" s="919" t="s">
        <v>1776</v>
      </c>
      <c r="F48" s="1627" t="s">
        <v>1777</v>
      </c>
      <c r="G48" s="1628" t="str">
        <f>_xlfn.IFERROR(IF(f_year="","01.01."&amp;CURRENT_YEAR,"01.01."&amp;f_year),"01.01."&amp;CURRENT_YEAR)</f>
        <v>01.01.2024</v>
      </c>
      <c r="H48" s="1628" t="str">
        <f>_xlfn.IFERROR(IF(f_year="","31.12."&amp;CURRENT_YEAR,"31.12."&amp;f_year),"31.12."&amp;CURRENT_YEAR)</f>
        <v>31.12.2024</v>
      </c>
      <c r="I48" s="2254">
        <f>IF(f_year="",TRUE,FALSE)</f>
        <v>1</v>
      </c>
      <c r="J48" s="2257" t="s">
        <v>1778</v>
      </c>
      <c r="K48" s="2258"/>
      <c r="AX48" s="1632" t="s">
        <v>1779</v>
      </c>
      <c r="AZ48" s="1632" t="s">
        <v>1493</v>
      </c>
      <c r="BE48" s="1632">
        <v>2046</v>
      </c>
      <c r="BH48" s="1580" t="s">
        <v>1751</v>
      </c>
      <c r="BJ48" s="1729" t="s">
        <v>1149</v>
      </c>
      <c r="BL48" s="1729" t="s">
        <v>1149</v>
      </c>
      <c r="BN48" s="1580" t="s">
        <v>1780</v>
      </c>
    </row>
    <row customHeight="1" ht="11.25">
      <c r="A49" s="1586" t="s">
        <v>16</v>
      </c>
      <c r="E49" s="919" t="s">
        <v>1781</v>
      </c>
      <c r="F49" s="1627" t="s">
        <v>1782</v>
      </c>
      <c r="G49" s="1628" t="str">
        <f>_xlfn.IFERROR(IF(f_year="","01.01."&amp;CURRENT_YEAR,"01.01."&amp;f_year),"01.01."&amp;CURRENT_YEAR)</f>
        <v>01.01.2024</v>
      </c>
      <c r="H49" s="1628" t="str">
        <f>_xlfn.IFERROR(IF(f_year="","31.12."&amp;CURRENT_YEAR,"31.12."&amp;f_year),"31.12."&amp;CURRENT_YEAR)</f>
        <v>31.12.2024</v>
      </c>
      <c r="I49" s="2254">
        <f>IF(f_year="",TRUE,FALSE)</f>
        <v>1</v>
      </c>
      <c r="J49" s="2257"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водоотведения</v>
      </c>
      <c r="K49" s="2258"/>
      <c r="AX49" s="1632" t="s">
        <v>1783</v>
      </c>
      <c r="AZ49" s="1632" t="s">
        <v>1509</v>
      </c>
      <c r="BE49" s="1632">
        <v>2047</v>
      </c>
      <c r="BH49" s="1580" t="s">
        <v>1165</v>
      </c>
      <c r="BJ49" s="1729" t="s">
        <v>1151</v>
      </c>
      <c r="BL49" s="1729" t="s">
        <v>1151</v>
      </c>
    </row>
    <row customHeight="1" ht="11.25">
      <c r="A50" s="1586" t="s">
        <v>1784</v>
      </c>
      <c r="E50" s="919" t="s">
        <v>1785</v>
      </c>
      <c r="F50" s="1627" t="s">
        <v>1135</v>
      </c>
      <c r="G50" s="1628" t="str">
        <f>_xlfn.IFERROR(IF(f_year="","01.01."&amp;CURRENT_YEAR,"01.01."&amp;f_year),"01.01."&amp;CURRENT_YEAR)</f>
        <v>01.01.2024</v>
      </c>
      <c r="H50" s="1628" t="str">
        <f>_xlfn.IFERROR(IF(f_year="","31.12."&amp;CURRENT_YEAR,"31.12."&amp;f_year),"31.12."&amp;CURRENT_YEAR)</f>
        <v>31.12.2024</v>
      </c>
      <c r="I50" s="2254">
        <f>IF(f_year="",TRUE,FALSE)</f>
        <v>1</v>
      </c>
      <c r="J50" s="2257"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водоотведения</v>
      </c>
      <c r="K50" s="2258"/>
      <c r="AX50" s="1632" t="s">
        <v>1786</v>
      </c>
      <c r="AZ50" s="1632" t="s">
        <v>1525</v>
      </c>
      <c r="BE50" s="1632">
        <v>2048</v>
      </c>
      <c r="BH50" s="1580" t="s">
        <v>1758</v>
      </c>
      <c r="BJ50" s="1729" t="s">
        <v>1153</v>
      </c>
      <c r="BL50" s="1729" t="s">
        <v>1153</v>
      </c>
    </row>
    <row customHeight="1" ht="11.25">
      <c r="A51" s="1586" t="s">
        <v>1787</v>
      </c>
      <c r="E51" s="919" t="s">
        <v>1788</v>
      </c>
      <c r="F51" s="1627" t="s">
        <v>1789</v>
      </c>
      <c r="G51" s="1628" t="str">
        <f>_xlfn.IFERROR(IF(TITLE_PERIOD_START="","01.01."&amp;CURRENT_YEAR,"01.01."&amp;YEAR(TITLE_PERIOD_START)),"01.01."&amp;CURRENT_YEAR)</f>
        <v>01.01.2024</v>
      </c>
      <c r="H51" s="1628" t="str">
        <f>_xlfn.IFERROR(IF(TITLE_PERIOD_END="","31.12."&amp;CURRENT_YEAR,"31.12."&amp;YEAR(TITLE_PERIOD_END)),"31.12."&amp;CURRENT_YEAR)</f>
        <v>31.12.2028</v>
      </c>
      <c r="I51" s="2255">
        <f>IF(OR(TITLE_PERIOD_START="",TITLE_PERIOD_END=""),TRUE,FALSE)</f>
        <v>0</v>
      </c>
      <c r="J51" s="2257"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2258"/>
      <c r="AX51" s="1632" t="s">
        <v>1790</v>
      </c>
      <c r="AZ51" s="1632" t="s">
        <v>1541</v>
      </c>
      <c r="BE51" s="1632">
        <v>2049</v>
      </c>
      <c r="BH51" s="1580" t="s">
        <v>1767</v>
      </c>
      <c r="BJ51" s="1729" t="s">
        <v>1791</v>
      </c>
      <c r="BL51" s="1729" t="s">
        <v>1791</v>
      </c>
    </row>
    <row customHeight="1" ht="11.25">
      <c r="A52" s="1586" t="s">
        <v>1792</v>
      </c>
      <c r="E52" s="919" t="s">
        <v>1793</v>
      </c>
      <c r="F52" s="1627" t="s">
        <v>1761</v>
      </c>
      <c r="G52" s="1628" t="str">
        <f>_xlfn.IFERROR(IF(TITLE_PERIOD_START="","01.01."&amp;CURRENT_YEAR,"01.01."&amp;YEAR(TITLE_PERIOD_START)),"01.01."&amp;CURRENT_YEAR)</f>
        <v>01.01.2024</v>
      </c>
      <c r="H52" s="1628" t="str">
        <f>_xlfn.IFERROR(IF(TITLE_PERIOD_END="","31.12."&amp;CURRENT_YEAR,"31.12."&amp;YEAR(TITLE_PERIOD_END)),"31.12."&amp;CURRENT_YEAR)</f>
        <v>31.12.2028</v>
      </c>
      <c r="I52" s="2255">
        <f>IF(OR(TITLE_PERIOD_START="",TITLE_PERIOD_END=""),TRUE,FALSE)</f>
        <v>0</v>
      </c>
      <c r="J52" s="2257" t="str">
        <f>"Показатели, подлежащие раскрытию в сфере "&amp;TEMPLATE_SPHERE_RUS&amp;" (цены и тарифы)"</f>
        <v>Показатели, подлежащие раскрытию в сфере водоотведения (цены и тарифы)</v>
      </c>
      <c r="K52" s="2258"/>
      <c r="AX52" s="1632" t="s">
        <v>1794</v>
      </c>
      <c r="AZ52" s="1632" t="s">
        <v>1339</v>
      </c>
      <c r="BE52" s="1632">
        <v>2050</v>
      </c>
      <c r="BH52" s="1580" t="s">
        <v>1770</v>
      </c>
      <c r="BJ52" s="1729" t="s">
        <v>1164</v>
      </c>
      <c r="BL52" s="1729" t="s">
        <v>1164</v>
      </c>
    </row>
    <row customHeight="1" ht="11.25">
      <c r="A53" s="1586" t="s">
        <v>1795</v>
      </c>
      <c r="E53" s="919" t="s">
        <v>1796</v>
      </c>
      <c r="F53" s="1627" t="s">
        <v>1796</v>
      </c>
      <c r="G53" s="1628" t="str">
        <f>_xlfn.IFERROR(IF(f_year="","01.01."&amp;CURRENT_YEAR,"01.01."&amp;f_year),"01.01."&amp;CURRENT_YEAR)</f>
        <v>01.01.2024</v>
      </c>
      <c r="H53" s="1628" t="str">
        <f>_xlfn.IFERROR(IF(f_year="","31.12."&amp;CURRENT_YEAR,"31.12."&amp;f_year),"31.12."&amp;CURRENT_YEAR)</f>
        <v>31.12.2024</v>
      </c>
      <c r="I53" s="2254">
        <f>IF(AND(f_year="",TITLE_DATE_FIL=""),TRUE,FALSE)</f>
        <v>1</v>
      </c>
      <c r="J53" s="2257" t="s">
        <v>1797</v>
      </c>
      <c r="K53" s="2258"/>
      <c r="AX53" s="1632" t="s">
        <v>1798</v>
      </c>
      <c r="BE53" s="1632">
        <v>2051</v>
      </c>
      <c r="BH53" s="1580" t="s">
        <v>1774</v>
      </c>
      <c r="BJ53" s="1729" t="s">
        <v>1747</v>
      </c>
      <c r="BL53" s="1729" t="s">
        <v>1747</v>
      </c>
    </row>
    <row customHeight="1" ht="11.25">
      <c r="A54" s="1586" t="s">
        <v>1799</v>
      </c>
      <c r="AX54" s="1632" t="s">
        <v>1800</v>
      </c>
      <c r="AZ54" s="1579" t="s">
        <v>1801</v>
      </c>
      <c r="BE54" s="1632">
        <v>2052</v>
      </c>
      <c r="BH54" s="1580" t="s">
        <v>1780</v>
      </c>
      <c r="BJ54" s="1729" t="s">
        <v>1751</v>
      </c>
      <c r="BL54" s="1729" t="s">
        <v>1751</v>
      </c>
    </row>
    <row customHeight="1" ht="11.25">
      <c r="A55" s="1586" t="s">
        <v>1802</v>
      </c>
      <c r="AX55" s="1632" t="s">
        <v>1803</v>
      </c>
      <c r="AZ55" s="1632" t="s">
        <v>1341</v>
      </c>
      <c r="BE55" s="1632">
        <v>2053</v>
      </c>
      <c r="BH55" s="1582" t="s">
        <v>28</v>
      </c>
      <c r="BJ55" s="1729" t="s">
        <v>1165</v>
      </c>
      <c r="BL55" s="1729" t="s">
        <v>1165</v>
      </c>
    </row>
    <row customHeight="1" ht="11.25">
      <c r="A56" s="1586" t="s">
        <v>1804</v>
      </c>
      <c r="D56" s="1630" t="s">
        <v>1805</v>
      </c>
      <c r="E56" s="1607" t="s">
        <v>1806</v>
      </c>
      <c r="F56" s="1586" t="s">
        <v>1807</v>
      </c>
      <c r="AX56" s="1632" t="s">
        <v>1808</v>
      </c>
      <c r="AZ56" s="1632" t="s">
        <v>1368</v>
      </c>
      <c r="BE56" s="1632">
        <v>2054</v>
      </c>
      <c r="BH56" s="1582" t="s">
        <v>28</v>
      </c>
      <c r="BJ56" s="1729" t="s">
        <v>1758</v>
      </c>
      <c r="BL56" s="1729" t="s">
        <v>1758</v>
      </c>
    </row>
    <row customHeight="1" ht="11.25">
      <c r="A57" s="1586" t="s">
        <v>1809</v>
      </c>
      <c r="D57" s="1630" t="s">
        <v>1810</v>
      </c>
      <c r="E57" s="1607" t="s">
        <v>120</v>
      </c>
      <c r="F57" s="1586" t="s">
        <v>1807</v>
      </c>
      <c r="AX57" s="1632" t="s">
        <v>1811</v>
      </c>
      <c r="AZ57" s="1632" t="s">
        <v>1403</v>
      </c>
      <c r="BE57" s="1632">
        <v>2055</v>
      </c>
      <c r="BJ57" s="1729" t="s">
        <v>1767</v>
      </c>
      <c r="BL57" s="1729" t="s">
        <v>1767</v>
      </c>
    </row>
    <row customHeight="1" ht="11.25">
      <c r="A58" s="1586" t="s">
        <v>1812</v>
      </c>
      <c r="D58" s="1630" t="s">
        <v>1813</v>
      </c>
      <c r="E58" s="1607" t="s">
        <v>120</v>
      </c>
      <c r="F58" s="1586" t="s">
        <v>1807</v>
      </c>
      <c r="AX58" s="1632" t="s">
        <v>1814</v>
      </c>
      <c r="BE58" s="1632">
        <v>2056</v>
      </c>
      <c r="BJ58" s="1729" t="s">
        <v>1770</v>
      </c>
      <c r="BL58" s="1729" t="s">
        <v>1770</v>
      </c>
    </row>
    <row customHeight="1" ht="11.25">
      <c r="A59" s="1586" t="s">
        <v>1815</v>
      </c>
      <c r="D59" s="1630" t="s">
        <v>187</v>
      </c>
      <c r="E59" s="1607" t="s">
        <v>1703</v>
      </c>
      <c r="F59" s="1586" t="s">
        <v>1816</v>
      </c>
      <c r="AX59" s="1632" t="s">
        <v>1817</v>
      </c>
      <c r="AZ59" s="1579" t="s">
        <v>1818</v>
      </c>
      <c r="BE59" s="1632">
        <v>2057</v>
      </c>
      <c r="BJ59" s="1729" t="s">
        <v>1774</v>
      </c>
      <c r="BL59" s="1729" t="s">
        <v>1774</v>
      </c>
    </row>
    <row customHeight="1" ht="11.25">
      <c r="A60" s="1586" t="s">
        <v>1819</v>
      </c>
      <c r="D60" s="1630" t="s">
        <v>1820</v>
      </c>
      <c r="E60" s="1607" t="s">
        <v>1703</v>
      </c>
      <c r="F60" s="1586" t="s">
        <v>1816</v>
      </c>
      <c r="AX60" s="1632" t="s">
        <v>1821</v>
      </c>
      <c r="AZ60" s="1632" t="s">
        <v>1342</v>
      </c>
      <c r="BE60" s="1632">
        <v>2058</v>
      </c>
      <c r="BJ60" s="1729" t="s">
        <v>1780</v>
      </c>
      <c r="BL60" s="1729" t="s">
        <v>1780</v>
      </c>
    </row>
    <row customHeight="1" ht="11.25">
      <c r="A61" s="1586" t="s">
        <v>1822</v>
      </c>
      <c r="D61" s="1630" t="s">
        <v>1823</v>
      </c>
      <c r="E61" s="1607" t="s">
        <v>1703</v>
      </c>
      <c r="F61" s="1586" t="s">
        <v>1816</v>
      </c>
      <c r="AX61" s="1632" t="s">
        <v>1824</v>
      </c>
      <c r="AZ61" s="1632" t="s">
        <v>1369</v>
      </c>
      <c r="BE61" s="1632">
        <v>2059</v>
      </c>
      <c r="BL61" s="1729" t="s">
        <v>1157</v>
      </c>
    </row>
    <row customHeight="1" ht="11.25">
      <c r="A62" s="1586" t="s">
        <v>1825</v>
      </c>
      <c r="D62" s="1630" t="s">
        <v>186</v>
      </c>
      <c r="E62" s="1607">
        <v>42</v>
      </c>
      <c r="F62" s="1586" t="s">
        <v>1816</v>
      </c>
      <c r="AZ62" s="1632" t="s">
        <v>1404</v>
      </c>
      <c r="BE62" s="1632">
        <v>2060</v>
      </c>
      <c r="BL62" s="1729" t="s">
        <v>1159</v>
      </c>
    </row>
    <row customHeight="1" ht="11.25">
      <c r="A63" s="1586" t="s">
        <v>1826</v>
      </c>
      <c r="D63" s="1630" t="s">
        <v>1827</v>
      </c>
      <c r="E63" s="1607">
        <v>48</v>
      </c>
      <c r="F63" s="1586" t="s">
        <v>1816</v>
      </c>
      <c r="AZ63" s="1632" t="s">
        <v>1435</v>
      </c>
      <c r="BE63" s="1632">
        <v>2061</v>
      </c>
    </row>
    <row customHeight="1" ht="11.25">
      <c r="A64" s="1586" t="s">
        <v>1828</v>
      </c>
      <c r="D64" s="1630" t="s">
        <v>1829</v>
      </c>
      <c r="E64" s="1607">
        <v>48</v>
      </c>
      <c r="F64" s="1586" t="s">
        <v>1816</v>
      </c>
      <c r="AZ64" s="1632" t="s">
        <v>1458</v>
      </c>
      <c r="BE64" s="1632">
        <v>2062</v>
      </c>
    </row>
    <row customHeight="1" ht="11.25">
      <c r="A65" s="1586" t="s">
        <v>1830</v>
      </c>
      <c r="D65" s="1586"/>
      <c r="BE65" s="1632">
        <v>2063</v>
      </c>
    </row>
    <row customHeight="1" ht="11.25">
      <c r="A66" s="1586" t="s">
        <v>1831</v>
      </c>
      <c r="AZ66" s="1579" t="s">
        <v>1832</v>
      </c>
      <c r="BE66" s="1632">
        <v>2064</v>
      </c>
    </row>
    <row customHeight="1" ht="11.25">
      <c r="A67" s="1586" t="s">
        <v>1833</v>
      </c>
      <c r="AZ67" s="1632" t="s">
        <v>1343</v>
      </c>
      <c r="BE67" s="1632">
        <v>2065</v>
      </c>
    </row>
    <row customHeight="1" ht="11.25">
      <c r="A68" s="1586" t="s">
        <v>1834</v>
      </c>
      <c r="AZ68" s="1632" t="s">
        <v>1370</v>
      </c>
      <c r="BE68" s="1632">
        <v>2066</v>
      </c>
      <c r="BH68" s="1579" t="s">
        <v>1835</v>
      </c>
      <c r="BJ68" s="1579" t="s">
        <v>1836</v>
      </c>
      <c r="BL68" s="1579" t="s">
        <v>1837</v>
      </c>
      <c r="BN68" s="1579" t="s">
        <v>1838</v>
      </c>
    </row>
    <row customHeight="1" ht="11.25">
      <c r="A69" s="1586" t="s">
        <v>1839</v>
      </c>
      <c r="AZ69" s="1632" t="s">
        <v>1405</v>
      </c>
      <c r="BE69" s="1632">
        <v>2067</v>
      </c>
      <c r="BH69" s="1580" t="s">
        <v>1840</v>
      </c>
      <c r="BI69" s="1629" t="s">
        <v>101</v>
      </c>
      <c r="BJ69" s="1580" t="s">
        <v>1841</v>
      </c>
      <c r="BK69" s="1629" t="s">
        <v>101</v>
      </c>
      <c r="BL69" s="1580" t="s">
        <v>1842</v>
      </c>
      <c r="BM69" s="1582" t="s">
        <v>101</v>
      </c>
      <c r="BN69" s="1580" t="s">
        <v>1843</v>
      </c>
    </row>
    <row customHeight="1" ht="11.25">
      <c r="A70" s="1586" t="s">
        <v>1844</v>
      </c>
      <c r="AZ70" s="1632" t="s">
        <v>1436</v>
      </c>
      <c r="BE70" s="1632">
        <v>2068</v>
      </c>
      <c r="BH70" s="1580" t="s">
        <v>1845</v>
      </c>
      <c r="BJ70" s="1580" t="s">
        <v>1846</v>
      </c>
      <c r="BL70" s="1580" t="s">
        <v>1847</v>
      </c>
      <c r="BN70" s="1580" t="s">
        <v>1848</v>
      </c>
    </row>
    <row customHeight="1" ht="11.25">
      <c r="A71" s="1586" t="s">
        <v>1849</v>
      </c>
      <c r="AZ71" s="1632" t="s">
        <v>1438</v>
      </c>
      <c r="BE71" s="1632">
        <v>2069</v>
      </c>
      <c r="BH71" s="1580" t="s">
        <v>1850</v>
      </c>
      <c r="BI71" s="1629" t="s">
        <v>92</v>
      </c>
      <c r="BJ71" s="1580" t="s">
        <v>1851</v>
      </c>
      <c r="BK71" s="1629" t="s">
        <v>92</v>
      </c>
      <c r="BL71" s="1580" t="s">
        <v>1852</v>
      </c>
      <c r="BM71" s="1582" t="s">
        <v>92</v>
      </c>
      <c r="BN71" s="1580" t="s">
        <v>1853</v>
      </c>
    </row>
    <row customHeight="1" ht="11.25">
      <c r="A72" s="1586" t="s">
        <v>1854</v>
      </c>
      <c r="AZ72" s="1632" t="s">
        <v>19</v>
      </c>
      <c r="BE72" s="1632">
        <v>2070</v>
      </c>
      <c r="BH72" s="1580" t="s">
        <v>1855</v>
      </c>
      <c r="BJ72" s="1580" t="s">
        <v>1855</v>
      </c>
      <c r="BL72" s="1580" t="s">
        <v>1855</v>
      </c>
      <c r="BN72" s="1580" t="s">
        <v>1856</v>
      </c>
    </row>
    <row customHeight="1" ht="11.25">
      <c r="A73" s="1586" t="s">
        <v>1857</v>
      </c>
      <c r="BH73" s="1580" t="s">
        <v>1858</v>
      </c>
      <c r="BI73" s="1629" t="s">
        <v>120</v>
      </c>
      <c r="BJ73" s="1580" t="s">
        <v>1859</v>
      </c>
      <c r="BK73" s="1629" t="s">
        <v>120</v>
      </c>
      <c r="BL73" s="1580" t="s">
        <v>1860</v>
      </c>
      <c r="BM73" s="1582" t="s">
        <v>120</v>
      </c>
      <c r="BN73" s="1580" t="s">
        <v>1861</v>
      </c>
    </row>
    <row customHeight="1" ht="11.25">
      <c r="A74" s="1586" t="s">
        <v>1862</v>
      </c>
      <c r="BH74" s="1580" t="s">
        <v>1863</v>
      </c>
      <c r="BJ74" s="1580" t="s">
        <v>1864</v>
      </c>
      <c r="BL74" s="1580" t="s">
        <v>1865</v>
      </c>
      <c r="BN74" s="1580" t="s">
        <v>1866</v>
      </c>
    </row>
    <row customHeight="1" ht="11.25">
      <c r="A75" s="1586" t="s">
        <v>1867</v>
      </c>
      <c r="AZ75" s="1579" t="s">
        <v>1868</v>
      </c>
      <c r="BH75" s="1580" t="s">
        <v>1869</v>
      </c>
      <c r="BJ75" s="1580" t="s">
        <v>1869</v>
      </c>
      <c r="BL75" s="1580" t="s">
        <v>1869</v>
      </c>
    </row>
    <row customHeight="1" ht="11.25">
      <c r="A76" s="1586" t="s">
        <v>1870</v>
      </c>
      <c r="AZ76" s="1632" t="s">
        <v>1352</v>
      </c>
      <c r="BH76" s="1580" t="s">
        <v>1871</v>
      </c>
      <c r="BJ76" s="1580" t="s">
        <v>1872</v>
      </c>
      <c r="BL76" s="1580" t="s">
        <v>1873</v>
      </c>
    </row>
    <row customHeight="1" ht="11.25">
      <c r="A77" s="1586" t="s">
        <v>1874</v>
      </c>
      <c r="AZ77" s="1632" t="s">
        <v>1380</v>
      </c>
    </row>
    <row customHeight="1" ht="11.25">
      <c r="A78" s="1586" t="s">
        <v>1875</v>
      </c>
      <c r="AZ78" s="1632" t="s">
        <v>1412</v>
      </c>
    </row>
    <row customHeight="1" ht="11.25">
      <c r="A79" s="1586" t="s">
        <v>1876</v>
      </c>
      <c r="AZ79" s="1632" t="s">
        <v>1442</v>
      </c>
      <c r="BH79" s="1579" t="s">
        <v>1877</v>
      </c>
      <c r="BJ79" s="1579" t="s">
        <v>1878</v>
      </c>
      <c r="BL79" s="1579" t="s">
        <v>1879</v>
      </c>
    </row>
    <row customHeight="1" ht="11.25">
      <c r="A80" s="1586" t="s">
        <v>1880</v>
      </c>
      <c r="AZ80" s="1632" t="s">
        <v>1463</v>
      </c>
      <c r="BH80" s="1580" t="s">
        <v>1881</v>
      </c>
      <c r="BJ80" s="1580" t="s">
        <v>1882</v>
      </c>
      <c r="BL80" s="1580" t="s">
        <v>1883</v>
      </c>
    </row>
    <row customHeight="1" ht="11.25">
      <c r="A81" s="1586" t="s">
        <v>1884</v>
      </c>
      <c r="AZ81" s="1632" t="s">
        <v>1480</v>
      </c>
      <c r="BH81" s="1580" t="s">
        <v>1885</v>
      </c>
      <c r="BJ81" s="1580" t="s">
        <v>1886</v>
      </c>
      <c r="BL81" s="1580" t="s">
        <v>1887</v>
      </c>
    </row>
    <row customHeight="1" ht="11.25">
      <c r="A82" s="1586" t="s">
        <v>1888</v>
      </c>
      <c r="AZ82" s="1632" t="s">
        <v>1495</v>
      </c>
      <c r="BH82" s="1580" t="s">
        <v>1889</v>
      </c>
      <c r="BJ82" s="1580" t="s">
        <v>1890</v>
      </c>
      <c r="BL82" s="1580" t="s">
        <v>1891</v>
      </c>
    </row>
    <row customHeight="1" ht="11.25">
      <c r="A83" s="1586" t="s">
        <v>1892</v>
      </c>
      <c r="BH83" s="1580" t="s">
        <v>1893</v>
      </c>
      <c r="BJ83" s="1580" t="s">
        <v>1894</v>
      </c>
      <c r="BL83" s="1580" t="s">
        <v>1895</v>
      </c>
    </row>
    <row customHeight="1" ht="11.25">
      <c r="A84" s="1586" t="s">
        <v>1896</v>
      </c>
      <c r="AZ84" s="1579" t="s">
        <v>1897</v>
      </c>
    </row>
    <row customHeight="1" ht="11.25">
      <c r="A85" s="2382" t="s">
        <v>1898</v>
      </c>
      <c r="AZ85" s="1632" t="s">
        <v>1899</v>
      </c>
    </row>
    <row customHeight="1" ht="11.25">
      <c r="A86" s="1586" t="s">
        <v>1900</v>
      </c>
      <c r="AZ86" s="1632" t="s">
        <v>1901</v>
      </c>
      <c r="BH86" s="1579" t="s">
        <v>1902</v>
      </c>
      <c r="BJ86" s="1579" t="s">
        <v>1903</v>
      </c>
      <c r="BL86" s="1579" t="s">
        <v>1904</v>
      </c>
    </row>
    <row customHeight="1" ht="11.25">
      <c r="A87" s="1586" t="s">
        <v>1905</v>
      </c>
      <c r="AZ87" s="1632" t="s">
        <v>1906</v>
      </c>
      <c r="BH87" s="1580" t="s">
        <v>1907</v>
      </c>
      <c r="BJ87" s="1580" t="s">
        <v>1908</v>
      </c>
      <c r="BL87" s="1580" t="s">
        <v>1909</v>
      </c>
    </row>
    <row customHeight="1" ht="11.25">
      <c r="A88" s="1586" t="s">
        <v>1910</v>
      </c>
      <c r="AZ88" s="2118"/>
      <c r="BH88" s="1580" t="s">
        <v>1911</v>
      </c>
      <c r="BJ88" s="1580" t="s">
        <v>1912</v>
      </c>
      <c r="BL88" s="1580" t="s">
        <v>1913</v>
      </c>
    </row>
    <row customHeight="1" ht="11.25">
      <c r="A89" s="1586" t="s">
        <v>1914</v>
      </c>
      <c r="AZ89" s="1579" t="s">
        <v>1915</v>
      </c>
    </row>
    <row customHeight="1" ht="11.25">
      <c r="A90" s="1586" t="s">
        <v>1916</v>
      </c>
      <c r="AZ90" s="1632" t="s">
        <v>1135</v>
      </c>
    </row>
    <row customHeight="1" ht="11.25">
      <c r="A91" s="1586" t="s">
        <v>1917</v>
      </c>
      <c r="AZ91" s="1632" t="s">
        <v>1171</v>
      </c>
      <c r="BH91" s="1579" t="s">
        <v>1918</v>
      </c>
      <c r="BJ91" s="1579" t="s">
        <v>1919</v>
      </c>
      <c r="BL91" s="1579" t="s">
        <v>1920</v>
      </c>
    </row>
    <row customHeight="1" ht="11.25">
      <c r="AZ92" s="1632" t="s">
        <v>1921</v>
      </c>
      <c r="BH92" s="1580" t="s">
        <v>1922</v>
      </c>
      <c r="BJ92" s="1580" t="s">
        <v>1923</v>
      </c>
      <c r="BL92" s="1580" t="s">
        <v>1924</v>
      </c>
    </row>
    <row customHeight="1" ht="11.25">
      <c r="AZ93" s="1632" t="s">
        <v>1925</v>
      </c>
      <c r="BH93" s="1580" t="s">
        <v>1926</v>
      </c>
      <c r="BJ93" s="1580" t="s">
        <v>1927</v>
      </c>
      <c r="BL93" s="1580" t="s">
        <v>1928</v>
      </c>
    </row>
    <row customHeight="1" ht="11.25">
      <c r="AZ94" s="1632" t="s">
        <v>1929</v>
      </c>
    </row>
    <row r="96" customHeight="1" ht="11.25">
      <c r="AZ96" s="1579" t="s">
        <v>1930</v>
      </c>
      <c r="BH96" s="1579" t="s">
        <v>1931</v>
      </c>
      <c r="BJ96" s="1579" t="s">
        <v>1932</v>
      </c>
      <c r="BL96" s="1579" t="s">
        <v>1933</v>
      </c>
      <c r="BN96" s="1579" t="s">
        <v>1934</v>
      </c>
    </row>
    <row customHeight="1" ht="11.25">
      <c r="AZ97" s="2413" t="s">
        <v>1935</v>
      </c>
      <c r="BA97" s="2414" t="s">
        <v>1936</v>
      </c>
      <c r="BH97" s="1580" t="s">
        <v>1937</v>
      </c>
      <c r="BJ97" s="1580" t="s">
        <v>1938</v>
      </c>
      <c r="BL97" s="1580" t="s">
        <v>1939</v>
      </c>
      <c r="BN97" s="1580" t="s">
        <v>1940</v>
      </c>
    </row>
    <row customHeight="1" ht="11.25">
      <c r="AZ98" s="2413" t="s">
        <v>1941</v>
      </c>
      <c r="BA98" s="2414" t="s">
        <v>1942</v>
      </c>
      <c r="BH98" s="1580" t="s">
        <v>1943</v>
      </c>
      <c r="BJ98" s="1580" t="s">
        <v>1944</v>
      </c>
      <c r="BL98" s="1580" t="s">
        <v>1945</v>
      </c>
      <c r="BN98" s="1580" t="s">
        <v>1946</v>
      </c>
    </row>
    <row customHeight="1" ht="22.5">
      <c r="AZ99" s="2413" t="s">
        <v>1947</v>
      </c>
      <c r="BA99" s="2414" t="str">
        <f>"не позднее чем за "&amp;IF(TEMPLATE_SPHERE="TKO","3","10")&amp;" дней до дня проведения заседания правления"</f>
        <v>не позднее чем за 10 дней до дня проведения заседания правления</v>
      </c>
      <c r="BH99" s="1580" t="s">
        <v>1948</v>
      </c>
      <c r="BJ99" s="1580" t="s">
        <v>1949</v>
      </c>
      <c r="BL99" s="1580" t="s">
        <v>1950</v>
      </c>
      <c r="BN99" s="1580" t="s">
        <v>1951</v>
      </c>
    </row>
    <row customHeight="1" ht="22.5">
      <c r="AZ100" s="2413" t="s">
        <v>1952</v>
      </c>
      <c r="BA100" s="2414"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1580" t="s">
        <v>1541</v>
      </c>
      <c r="BL100" s="1580" t="s">
        <v>1541</v>
      </c>
      <c r="BN100" s="1580" t="s">
        <v>1953</v>
      </c>
    </row>
    <row customHeight="1" ht="22.5">
      <c r="AZ101" s="2413" t="s">
        <v>1954</v>
      </c>
      <c r="BA101" s="2414" t="s">
        <v>1955</v>
      </c>
      <c r="BN101" s="1580" t="s">
        <v>1956</v>
      </c>
    </row>
    <row customHeight="1" ht="22.5">
      <c r="AZ102" s="2413" t="s">
        <v>1957</v>
      </c>
      <c r="BA102" s="2414"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1580" t="s">
        <v>1958</v>
      </c>
    </row>
    <row customHeight="1" ht="11.25">
      <c r="AZ103" s="2413" t="s">
        <v>1959</v>
      </c>
      <c r="BA103" s="2414" t="s">
        <v>1960</v>
      </c>
      <c r="BN103" s="1580" t="s">
        <v>1961</v>
      </c>
    </row>
    <row customHeight="1" ht="11.25">
      <c r="BN104" s="1580" t="s">
        <v>1962</v>
      </c>
    </row>
    <row customHeight="1" ht="11.25">
      <c r="AZ105" s="2204" t="s">
        <v>1963</v>
      </c>
    </row>
    <row customHeight="1" ht="11.25">
      <c r="AZ106" s="1632" t="s">
        <v>1964</v>
      </c>
    </row>
    <row customHeight="1" ht="11.25">
      <c r="AZ107" s="1632" t="s">
        <v>1965</v>
      </c>
      <c r="BH107" s="1579" t="s">
        <v>1966</v>
      </c>
      <c r="BJ107" s="1579" t="s">
        <v>1967</v>
      </c>
      <c r="BL107" s="1579" t="s">
        <v>1968</v>
      </c>
      <c r="BN107" s="1579" t="s">
        <v>1969</v>
      </c>
    </row>
    <row customHeight="1" ht="11.25">
      <c r="AZ108" s="1632" t="s">
        <v>688</v>
      </c>
      <c r="BH108" s="1580" t="s">
        <v>1970</v>
      </c>
      <c r="BJ108" s="1580" t="s">
        <v>1971</v>
      </c>
      <c r="BL108" s="1580" t="s">
        <v>1626</v>
      </c>
      <c r="BN108" s="1580" t="s">
        <v>1972</v>
      </c>
    </row>
    <row customHeight="1" ht="11.25">
      <c r="BH109" s="1580" t="s">
        <v>1973</v>
      </c>
    </row>
    <row customHeight="1" ht="11.25">
      <c r="AZ110" s="2204" t="s">
        <v>1974</v>
      </c>
      <c r="BH110" s="1580" t="s">
        <v>1973</v>
      </c>
    </row>
    <row customHeight="1" ht="11.25">
      <c r="AZ111" s="2413" t="s">
        <v>1935</v>
      </c>
      <c r="BA111" s="2414" t="s">
        <v>1936</v>
      </c>
    </row>
    <row customHeight="1" ht="11.25">
      <c r="AZ112" s="2413" t="s">
        <v>1941</v>
      </c>
      <c r="BA112" s="2414" t="s">
        <v>1942</v>
      </c>
    </row>
    <row customHeight="1" ht="22.5">
      <c r="AZ113" s="2413" t="s">
        <v>1947</v>
      </c>
      <c r="BA113" s="2414" t="str">
        <f>"не позднее чем за "&amp;IF(TEMPLATE_SPHERE="TKO","3","10")&amp;" дней до дня проведения заседания правления"</f>
        <v>не позднее чем за 10 дней до дня проведения заседания правления</v>
      </c>
    </row>
    <row customHeight="1" ht="22.5">
      <c r="AZ114" s="2413" t="s">
        <v>1952</v>
      </c>
      <c r="BA114" s="2414"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1579" t="s">
        <v>1975</v>
      </c>
    </row>
    <row customHeight="1" ht="22.5">
      <c r="AZ115" s="2413" t="s">
        <v>1957</v>
      </c>
      <c r="BA115" s="2414"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1580" t="s">
        <v>1339</v>
      </c>
    </row>
    <row customHeight="1" ht="11.25">
      <c r="AZ116" s="2413" t="s">
        <v>1959</v>
      </c>
      <c r="BA116" s="2414" t="s">
        <v>1960</v>
      </c>
      <c r="BH116" s="1580" t="s">
        <v>1366</v>
      </c>
    </row>
    <row customHeight="1" ht="11.25">
      <c r="BH117" s="1580" t="s">
        <v>1401</v>
      </c>
    </row>
    <row customHeight="1" ht="11.25">
      <c r="BH118" s="1580" t="s">
        <v>1434</v>
      </c>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5819062-FC9E-C0BF-CAF8-AEEE921EF10A}" mc:Ignorable="x14ac xr xr2 xr3">
  <dimension ref="A1:J25"/>
  <sheetViews>
    <sheetView topLeftCell="A1" showGridLines="0" zoomScale="90" workbookViewId="0">
      <selection activeCell="A1" sqref="A1"/>
    </sheetView>
  </sheetViews>
  <sheetFormatPr defaultColWidth="9.140625" customHeight="1" defaultRowHeight="11.25"/>
  <cols>
    <col min="1" max="2" style="47408" width="15.00390625" hidden="1" customWidth="1"/>
    <col min="3" max="3" style="47452" width="3.00390625" customWidth="1"/>
    <col min="4" max="4" style="47453" width="6.00390625" customWidth="1"/>
    <col min="5" max="5" style="47452" width="52.00390625" customWidth="1"/>
    <col min="6" max="6" style="47452" width="48.00390625" customWidth="1"/>
    <col min="7" max="7" style="47452" width="93.00390625" customWidth="1"/>
    <col min="8" max="8" style="47452" width="8.00390625" customWidth="1"/>
    <col min="9" max="9" style="47452" width="64.00390625" customWidth="1"/>
    <col min="10" max="10" style="47452" width="9.140625" hidden="1"/>
  </cols>
  <sheetData>
    <row customHeight="1" ht="11.25" hidden="1">
      <c r="A1" s="1013" t="s">
        <v>417</v>
      </c>
      <c r="J1" s="967" t="s">
        <v>14</v>
      </c>
    </row>
    <row customHeight="1" ht="22.5" hidden="1">
      <c r="A2" s="1014"/>
      <c r="B2" s="1014"/>
      <c r="C2" s="2242" t="s">
        <v>106</v>
      </c>
      <c r="D2" s="2032"/>
      <c r="E2" s="2038"/>
      <c r="F2" s="2061"/>
      <c r="H2" s="987"/>
      <c r="J2" s="967">
        <v>0</v>
      </c>
    </row>
    <row customHeight="1" ht="11.25" hidden="1">
      <c r="J3" s="967">
        <v>0</v>
      </c>
    </row>
    <row customHeight="1" ht="11.549999999999999">
      <c r="A4" s="2062"/>
      <c r="B4" s="2062"/>
      <c r="J4" s="967">
        <v>11</v>
      </c>
    </row>
    <row customHeight="1" ht="27.299999999999997">
      <c r="D5" s="2750"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751"/>
      <c r="F5" s="2752"/>
      <c r="I5" s="1227"/>
      <c r="J5" s="967">
        <v>26</v>
      </c>
    </row>
    <row customHeight="1" ht="18">
      <c r="D6" s="2688" t="str">
        <f>IF(region_name=0,"Не определено",region_name)</f>
        <v>Приморский край</v>
      </c>
      <c r="E6" s="2688"/>
      <c r="F6" s="2688"/>
      <c r="I6" s="1227"/>
      <c r="J6" s="967">
        <v>17</v>
      </c>
    </row>
    <row s="47366" customFormat="1" customHeight="1" ht="11.549999999999999">
      <c r="A7" s="1013"/>
      <c r="B7" s="1013"/>
      <c r="D7" s="1226"/>
      <c r="E7" s="1226"/>
      <c r="F7" s="1264"/>
      <c r="G7" s="1226"/>
      <c r="J7" s="989">
        <v>11</v>
      </c>
    </row>
    <row customHeight="1" ht="11.25" hidden="1">
      <c r="A8" s="1014"/>
      <c r="B8" s="1014"/>
      <c r="C8" s="969"/>
      <c r="D8" s="975"/>
      <c r="E8" s="2719"/>
      <c r="F8" s="2719"/>
      <c r="J8" s="967">
        <v>0</v>
      </c>
    </row>
    <row customHeight="1" ht="11.549999999999999">
      <c r="A9" s="1014"/>
      <c r="B9" s="1014"/>
      <c r="C9" s="969"/>
      <c r="D9" s="2716" t="s">
        <v>418</v>
      </c>
      <c r="E9" s="2717"/>
      <c r="F9" s="2717"/>
      <c r="G9" s="2720" t="s">
        <v>419</v>
      </c>
      <c r="J9" s="967">
        <v>11</v>
      </c>
    </row>
    <row customHeight="1" ht="11.549999999999999">
      <c r="A10" s="1014"/>
      <c r="B10" s="1014"/>
      <c r="C10" s="969"/>
      <c r="D10" s="1986" t="s">
        <v>90</v>
      </c>
      <c r="E10" s="1988" t="s">
        <v>420</v>
      </c>
      <c r="F10" s="1988" t="s">
        <v>421</v>
      </c>
      <c r="G10" s="2721"/>
      <c r="J10" s="967">
        <v>11</v>
      </c>
    </row>
    <row customHeight="1" ht="1.05">
      <c r="A11" s="1014"/>
      <c r="B11" s="1014"/>
      <c r="C11" s="969"/>
      <c r="D11" s="976"/>
      <c r="E11" s="976"/>
      <c r="F11" s="976"/>
      <c r="G11" s="976"/>
      <c r="J11" s="967">
        <v>1</v>
      </c>
    </row>
    <row customHeight="1" ht="24">
      <c r="A12" s="1014"/>
      <c r="B12" s="1014"/>
      <c r="C12" s="969"/>
      <c r="D12" s="2032">
        <v>1</v>
      </c>
      <c r="E12" s="986"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2420" t="str">
        <f>IF(org="","",org)</f>
        <v>КГУП "Примтеплоэнерго"</v>
      </c>
      <c r="G12" s="986"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2045"/>
      <c r="J12" s="967">
        <v>23</v>
      </c>
    </row>
    <row customHeight="1" ht="19.95">
      <c r="A13" s="1014"/>
      <c r="B13" s="1014"/>
      <c r="C13" s="969"/>
      <c r="D13" s="2032">
        <v>2</v>
      </c>
      <c r="E13" s="2039" t="s">
        <v>1976</v>
      </c>
      <c r="F13" s="2033" t="s">
        <v>424</v>
      </c>
      <c r="G13" s="986"/>
      <c r="H13" s="2045"/>
      <c r="J13" s="967">
        <v>19</v>
      </c>
    </row>
    <row customHeight="1" ht="19.95">
      <c r="A14" s="1014"/>
      <c r="B14" s="1014"/>
      <c r="C14" s="969"/>
      <c r="D14" s="2035" t="s">
        <v>825</v>
      </c>
      <c r="E14" s="2036" t="s">
        <v>1977</v>
      </c>
      <c r="F14" s="2038"/>
      <c r="G14" s="2037" t="s">
        <v>1978</v>
      </c>
      <c r="H14" s="2045"/>
      <c r="J14" s="967">
        <v>19</v>
      </c>
    </row>
    <row customHeight="1" ht="19.95">
      <c r="A15" s="1014"/>
      <c r="B15" s="1014"/>
      <c r="C15" s="969"/>
      <c r="D15" s="2035" t="s">
        <v>425</v>
      </c>
      <c r="E15" s="2036" t="s">
        <v>1979</v>
      </c>
      <c r="F15" s="2038"/>
      <c r="G15" s="2037" t="s">
        <v>1980</v>
      </c>
      <c r="H15" s="2045"/>
      <c r="J15" s="967">
        <v>19</v>
      </c>
    </row>
    <row customHeight="1" ht="24">
      <c r="A16" s="1014"/>
      <c r="B16" s="1014"/>
      <c r="C16" s="969"/>
      <c r="D16" s="2035" t="s">
        <v>428</v>
      </c>
      <c r="E16" s="2034" t="s">
        <v>1981</v>
      </c>
      <c r="F16" s="2043"/>
      <c r="G16" s="986" t="s">
        <v>1982</v>
      </c>
      <c r="H16" s="2045"/>
      <c r="J16" s="967">
        <v>23</v>
      </c>
    </row>
    <row customHeight="1" ht="48.29999999999999">
      <c r="A17" s="1014"/>
      <c r="B17" s="1014"/>
      <c r="C17" s="969"/>
      <c r="D17" s="2032">
        <v>3</v>
      </c>
      <c r="E17" s="2039" t="s">
        <v>1983</v>
      </c>
      <c r="F17" s="2038"/>
      <c r="G17" s="986" t="s">
        <v>1984</v>
      </c>
      <c r="H17" s="2045"/>
      <c r="J17" s="967">
        <v>46</v>
      </c>
    </row>
    <row customHeight="1" ht="48.29999999999999">
      <c r="A18" s="1987">
        <v>1</v>
      </c>
      <c r="B18" s="1014"/>
      <c r="C18" s="1989"/>
      <c r="D18" s="2032" t="s">
        <v>93</v>
      </c>
      <c r="E18" s="2039" t="s">
        <v>1985</v>
      </c>
      <c r="F18" s="2038"/>
      <c r="G18" s="986" t="s">
        <v>1984</v>
      </c>
      <c r="H18" s="2045"/>
      <c r="I18" s="1364"/>
      <c r="J18" s="967">
        <v>46</v>
      </c>
    </row>
    <row customHeight="1" ht="23.25">
      <c r="A19" s="1014"/>
      <c r="B19" s="1014"/>
      <c r="C19" s="969"/>
      <c r="D19" s="2032" t="s">
        <v>120</v>
      </c>
      <c r="E19" s="2039" t="s">
        <v>1986</v>
      </c>
      <c r="F19" s="2033" t="s">
        <v>424</v>
      </c>
      <c r="G19" s="2983" t="s">
        <v>1987</v>
      </c>
      <c r="H19" s="987"/>
      <c r="J19" s="967">
        <v>22</v>
      </c>
    </row>
    <row s="55371" customFormat="1" customHeight="1" ht="5.25" hidden="1">
      <c r="A20" s="1014"/>
      <c r="B20" s="1014"/>
      <c r="C20" s="2041"/>
      <c r="D20" s="2040" t="s">
        <v>1232</v>
      </c>
      <c r="E20" s="1526"/>
      <c r="F20" s="1525"/>
      <c r="G20" s="2984"/>
      <c r="J20" s="2042">
        <v>0</v>
      </c>
    </row>
    <row customHeight="1" ht="15.75">
      <c r="A21" s="1014"/>
      <c r="B21" s="1014"/>
      <c r="C21" s="969"/>
      <c r="D21" s="979"/>
      <c r="E21" s="927" t="s">
        <v>457</v>
      </c>
      <c r="F21" s="981"/>
      <c r="G21" s="2985"/>
      <c r="H21" s="2045"/>
      <c r="J21" s="967">
        <v>15</v>
      </c>
    </row>
    <row s="47408" customFormat="1" customHeight="1" ht="26.25">
      <c r="A22" s="1014"/>
      <c r="B22" s="1014"/>
      <c r="C22" s="1014"/>
      <c r="D22" s="2032" t="s">
        <v>94</v>
      </c>
      <c r="E22" s="986" t="s">
        <v>1988</v>
      </c>
      <c r="F22" s="2038"/>
      <c r="G22" s="986" t="s">
        <v>1989</v>
      </c>
      <c r="H22" s="2044"/>
      <c r="J22" s="1013">
        <v>25</v>
      </c>
    </row>
    <row s="47408" customFormat="1" customHeight="1" ht="19.95">
      <c r="A23" s="1014"/>
      <c r="B23" s="1014"/>
      <c r="C23" s="1014"/>
      <c r="D23" s="2032" t="s">
        <v>95</v>
      </c>
      <c r="E23" s="2039" t="s">
        <v>1990</v>
      </c>
      <c r="F23" s="2043"/>
      <c r="G23" s="986" t="s">
        <v>1991</v>
      </c>
      <c r="H23" s="2044"/>
      <c r="J23" s="1013">
        <v>19</v>
      </c>
    </row>
    <row s="47408" customFormat="1" customHeight="1" ht="144" hidden="1">
      <c r="A24" s="1014"/>
      <c r="B24" s="1014"/>
      <c r="C24" s="1014"/>
      <c r="D24" s="2032" t="s">
        <v>134</v>
      </c>
      <c r="E24" s="2409"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2410"/>
      <c r="G24" s="2408"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2044"/>
      <c r="J24" s="1013">
        <v>0</v>
      </c>
    </row>
    <row customHeight="1" ht="11.25" hidden="1">
      <c r="A25" s="1013" t="s">
        <v>84</v>
      </c>
      <c r="B25" s="1013">
        <v>0</v>
      </c>
      <c r="C25" s="967">
        <v>3</v>
      </c>
      <c r="D25" s="968">
        <v>6</v>
      </c>
      <c r="E25" s="967">
        <v>52</v>
      </c>
      <c r="F25" s="967">
        <v>48</v>
      </c>
      <c r="G25" s="967">
        <v>93</v>
      </c>
      <c r="H25" s="967">
        <v>8</v>
      </c>
      <c r="I25" s="967">
        <v>64</v>
      </c>
      <c r="J25" s="967">
        <v>11</v>
      </c>
    </row>
  </sheetData>
  <sheetProtection formatColumns="0" formatRows="0" autoFilter="0" sort="0" insertRows="0" insertColumns="1" deleteRows="0" deleteColumns="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5D93B29-0D48-8B53-B6F6-12E07E00D203}" mc:Ignorable="x14ac xr xr2 xr3">
  <dimension ref="A1:IU24"/>
  <sheetViews>
    <sheetView topLeftCell="A1" showGridLines="0" zoomScale="90" workbookViewId="0">
      <selection activeCell="A1" sqref="A1"/>
    </sheetView>
  </sheetViews>
  <sheetFormatPr defaultColWidth="9.140625" customHeight="1" defaultRowHeight="14.25"/>
  <cols>
    <col min="1" max="1" style="46808" width="9.140625" hidden="1"/>
    <col min="2" max="2" style="46889" width="9.140625" hidden="1"/>
    <col min="3" max="3" style="46808" width="3.7109375" hidden="1" customWidth="1"/>
    <col min="4" max="4" style="46988" width="3.00390625" customWidth="1"/>
    <col min="5" max="5" style="46808" width="6.00390625" customWidth="1"/>
    <col min="6" max="6" style="46808" width="46.00390625" customWidth="1"/>
    <col min="7" max="8" style="46808" width="16.00390625" customWidth="1"/>
    <col min="9" max="9" style="46808" width="35.00390625" customWidth="1"/>
    <col min="10" max="10" style="46808" width="89.00390625" customWidth="1"/>
    <col min="11" max="11" style="46989" width="3.00390625" customWidth="1"/>
    <col min="12" max="14" style="46989" width="8.00390625" customWidth="1"/>
    <col min="15" max="15" style="46989" width="25.00390625" customWidth="1"/>
    <col min="16" max="16" style="46989" width="14.00390625" customWidth="1"/>
    <col min="17" max="20" style="46990" width="8.00390625" customWidth="1"/>
    <col min="21" max="254" style="46808" width="8.00390625" customWidth="1"/>
    <col min="255" max="255" style="46808" width="9.140625" hidden="1"/>
  </cols>
  <sheetData>
    <row customHeight="1" ht="22.5" hidden="1">
      <c r="F1" s="2143" t="s">
        <v>1992</v>
      </c>
      <c r="G1" s="2143" t="s">
        <v>51</v>
      </c>
      <c r="H1" s="2143" t="s">
        <v>53</v>
      </c>
      <c r="IU1" s="1667" t="s">
        <v>14</v>
      </c>
    </row>
    <row s="46950" customFormat="1" customHeight="1" ht="22.5" hidden="1">
      <c r="A2" s="1343"/>
      <c r="B2" s="1672">
        <v>1</v>
      </c>
      <c r="C2" s="1672"/>
      <c r="D2" s="2440" t="s">
        <v>106</v>
      </c>
      <c r="E2" s="1996"/>
      <c r="F2" s="2003"/>
      <c r="G2" s="2003"/>
      <c r="H2" s="2003"/>
      <c r="I2" s="2496"/>
      <c r="J2" s="2497"/>
      <c r="K2" s="2047"/>
      <c r="L2" s="1023"/>
      <c r="M2" s="1023"/>
      <c r="N2" s="1012" t="str">
        <f t="array" ref="N2:N2">IF(ISERROR(MATCH(MID(O2,1,250),MID(note_ter,1,250),0)),"n","y")</f>
        <v>n</v>
      </c>
      <c r="O2" s="1023"/>
      <c r="P2" s="1012" t="str">
        <f>G2&amp;"("&amp;J2&amp;")"</f>
        <v>()</v>
      </c>
      <c r="Q2" s="1672"/>
      <c r="R2" s="1672"/>
      <c r="S2" s="932"/>
      <c r="T2" s="1672"/>
      <c r="U2" s="1672"/>
      <c r="V2" s="1672"/>
      <c r="W2" s="934"/>
      <c r="X2" s="934"/>
      <c r="Y2" s="931"/>
      <c r="Z2" s="931"/>
      <c r="AA2" s="931"/>
      <c r="AB2" s="931"/>
      <c r="AC2" s="931"/>
      <c r="AD2" s="931"/>
      <c r="AE2" s="931"/>
      <c r="AF2" s="931"/>
      <c r="AG2" s="931"/>
      <c r="AH2" s="931"/>
      <c r="AI2" s="931"/>
      <c r="AJ2" s="931"/>
      <c r="AK2" s="931"/>
      <c r="AL2" s="931"/>
      <c r="AM2" s="931"/>
      <c r="AN2" s="931"/>
      <c r="AO2" s="931"/>
      <c r="AP2" s="931"/>
      <c r="AQ2" s="931"/>
      <c r="AR2" s="931"/>
      <c r="AS2" s="931"/>
      <c r="AT2" s="931"/>
      <c r="AU2" s="931"/>
      <c r="AV2" s="931"/>
      <c r="AW2" s="931"/>
      <c r="AX2" s="931"/>
      <c r="AY2" s="931"/>
      <c r="AZ2" s="931"/>
      <c r="BA2" s="931"/>
      <c r="BB2" s="931"/>
      <c r="BC2" s="931"/>
      <c r="BD2" s="931"/>
      <c r="BE2" s="931"/>
      <c r="BF2" s="931"/>
      <c r="BG2" s="931"/>
      <c r="BH2" s="931"/>
      <c r="BI2" s="931"/>
      <c r="BJ2" s="931"/>
      <c r="BK2" s="931"/>
      <c r="BL2" s="931"/>
      <c r="BM2" s="931"/>
      <c r="BN2" s="931"/>
      <c r="BO2" s="931"/>
      <c r="BP2" s="931"/>
      <c r="BQ2" s="931"/>
      <c r="BR2" s="931"/>
      <c r="BS2" s="931"/>
      <c r="BT2" s="934"/>
      <c r="BU2" s="934"/>
      <c r="BV2" s="934"/>
      <c r="BW2" s="934"/>
      <c r="BX2" s="934"/>
      <c r="BY2" s="934"/>
      <c r="BZ2" s="934"/>
      <c r="CA2" s="934"/>
      <c r="CB2" s="934"/>
      <c r="CC2" s="934"/>
      <c r="IU2" s="935">
        <v>0</v>
      </c>
    </row>
    <row s="46890" customFormat="1" customHeight="1" ht="4.2">
      <c r="A3" s="1008"/>
      <c r="D3" s="1006"/>
      <c r="F3" s="759" t="s">
        <v>85</v>
      </c>
      <c r="G3" s="1006" t="s">
        <v>86</v>
      </c>
      <c r="H3" s="1006"/>
      <c r="I3" s="1006"/>
      <c r="J3" s="739" t="s">
        <v>87</v>
      </c>
      <c r="K3" s="759" t="s">
        <v>85</v>
      </c>
      <c r="L3" s="759"/>
      <c r="M3" s="759"/>
      <c r="N3" s="759"/>
      <c r="O3" s="760"/>
      <c r="P3" s="759"/>
      <c r="Q3" s="759"/>
      <c r="R3" s="759"/>
      <c r="S3" s="759"/>
      <c r="T3" s="759"/>
      <c r="U3" s="739"/>
      <c r="V3" s="739"/>
      <c r="W3" s="739"/>
      <c r="X3" s="739"/>
      <c r="Y3" s="739"/>
      <c r="Z3" s="739"/>
      <c r="AA3" s="739"/>
      <c r="AB3" s="739"/>
      <c r="AC3" s="739"/>
      <c r="AD3" s="739"/>
      <c r="AE3" s="739"/>
      <c r="AF3" s="739"/>
      <c r="AG3" s="739"/>
      <c r="AH3" s="739"/>
      <c r="AI3" s="739"/>
      <c r="AJ3" s="739"/>
      <c r="AK3" s="739"/>
      <c r="AL3" s="739"/>
      <c r="AM3" s="739"/>
      <c r="AN3" s="739"/>
      <c r="AO3" s="739"/>
      <c r="AP3" s="739"/>
      <c r="AQ3" s="739"/>
      <c r="AR3" s="739"/>
      <c r="AS3" s="739"/>
      <c r="AT3" s="739"/>
      <c r="AU3" s="739"/>
      <c r="AV3" s="739"/>
      <c r="AW3" s="739"/>
      <c r="AX3" s="739"/>
      <c r="AY3" s="739"/>
      <c r="AZ3" s="739"/>
      <c r="BA3" s="739"/>
      <c r="BB3" s="739"/>
      <c r="BC3" s="739"/>
      <c r="BD3" s="739"/>
      <c r="BE3" s="739"/>
      <c r="BF3" s="739"/>
      <c r="BG3" s="739"/>
      <c r="BH3" s="739"/>
      <c r="BI3" s="739"/>
      <c r="BJ3" s="739"/>
      <c r="BK3" s="739"/>
      <c r="BL3" s="739"/>
      <c r="BM3" s="739"/>
      <c r="BN3" s="739"/>
      <c r="BO3" s="739"/>
      <c r="BP3" s="739"/>
      <c r="BQ3" s="739"/>
      <c r="BR3" s="739"/>
      <c r="BS3" s="739"/>
      <c r="BT3" s="739"/>
      <c r="BU3" s="739"/>
      <c r="BV3" s="739"/>
      <c r="BW3" s="739"/>
      <c r="BX3" s="739"/>
      <c r="BY3" s="739"/>
      <c r="BZ3" s="739"/>
      <c r="CA3" s="739"/>
      <c r="CB3" s="739"/>
      <c r="CC3" s="739"/>
      <c r="CD3" s="739"/>
      <c r="CE3" s="739"/>
      <c r="CF3" s="739"/>
      <c r="CG3" s="739"/>
      <c r="CH3" s="739"/>
      <c r="CI3" s="739"/>
      <c r="CJ3" s="739"/>
      <c r="CK3" s="739"/>
      <c r="CL3" s="739"/>
      <c r="CM3" s="739"/>
      <c r="CN3" s="739"/>
      <c r="CO3" s="739"/>
      <c r="CP3" s="739"/>
      <c r="CQ3" s="739"/>
      <c r="CR3" s="739"/>
      <c r="CS3" s="739"/>
      <c r="CT3" s="739"/>
      <c r="CU3" s="739"/>
      <c r="CV3" s="739"/>
      <c r="CW3" s="739"/>
      <c r="CX3" s="739"/>
      <c r="CY3" s="739"/>
      <c r="CZ3" s="739"/>
      <c r="DA3" s="739"/>
      <c r="DB3" s="739"/>
      <c r="DC3" s="739"/>
      <c r="DD3" s="739"/>
      <c r="DE3" s="739"/>
      <c r="DF3" s="739"/>
      <c r="DG3" s="739"/>
      <c r="DH3" s="739"/>
      <c r="DI3" s="739"/>
      <c r="DJ3" s="739"/>
      <c r="DK3" s="739"/>
      <c r="DL3" s="739"/>
      <c r="DM3" s="739"/>
      <c r="DN3" s="739"/>
      <c r="DO3" s="739"/>
      <c r="DP3" s="739"/>
      <c r="DQ3" s="739"/>
      <c r="DR3" s="739"/>
      <c r="DS3" s="739"/>
      <c r="DT3" s="739"/>
      <c r="DU3" s="739"/>
      <c r="DV3" s="739"/>
      <c r="DW3" s="739"/>
      <c r="DX3" s="739"/>
      <c r="DY3" s="739"/>
      <c r="DZ3" s="739"/>
      <c r="EA3" s="739"/>
      <c r="EB3" s="739"/>
      <c r="EC3" s="739"/>
      <c r="ED3" s="739"/>
      <c r="EE3" s="739"/>
      <c r="EF3" s="739"/>
      <c r="EG3" s="739"/>
      <c r="EH3" s="739"/>
      <c r="EI3" s="739"/>
      <c r="EJ3" s="739"/>
      <c r="EK3" s="739"/>
      <c r="EL3" s="739"/>
      <c r="EM3" s="739"/>
      <c r="EN3" s="739"/>
      <c r="EO3" s="739"/>
      <c r="EP3" s="739"/>
      <c r="EQ3" s="739"/>
      <c r="ER3" s="739"/>
      <c r="ES3" s="739"/>
      <c r="ET3" s="739"/>
      <c r="EU3" s="739"/>
      <c r="EV3" s="739"/>
      <c r="EW3" s="739"/>
      <c r="EX3" s="739"/>
      <c r="EY3" s="739"/>
      <c r="EZ3" s="739"/>
      <c r="FA3" s="739"/>
      <c r="FB3" s="739"/>
      <c r="FC3" s="739"/>
      <c r="FD3" s="739"/>
      <c r="FE3" s="739"/>
      <c r="FF3" s="739"/>
      <c r="FG3" s="739"/>
      <c r="FH3" s="739"/>
      <c r="FI3" s="739"/>
      <c r="FJ3" s="739"/>
      <c r="FK3" s="739"/>
      <c r="FL3" s="739"/>
      <c r="FM3" s="739"/>
      <c r="FN3" s="739"/>
      <c r="FO3" s="739"/>
      <c r="FP3" s="739"/>
      <c r="FQ3" s="739"/>
      <c r="FR3" s="739"/>
      <c r="FS3" s="739"/>
      <c r="FT3" s="739"/>
      <c r="FU3" s="739"/>
      <c r="FV3" s="739"/>
      <c r="FW3" s="739"/>
      <c r="FX3" s="739"/>
      <c r="FY3" s="739"/>
      <c r="FZ3" s="739"/>
      <c r="GA3" s="739"/>
      <c r="GB3" s="739"/>
      <c r="GC3" s="739"/>
      <c r="GD3" s="739"/>
      <c r="GE3" s="739"/>
      <c r="GF3" s="739"/>
      <c r="GG3" s="739"/>
      <c r="GH3" s="739"/>
      <c r="GI3" s="739"/>
      <c r="GJ3" s="739"/>
      <c r="GK3" s="739"/>
      <c r="GL3" s="739"/>
      <c r="GM3" s="739"/>
      <c r="GN3" s="739"/>
      <c r="GO3" s="739"/>
      <c r="GP3" s="739"/>
      <c r="GQ3" s="739"/>
      <c r="GR3" s="739"/>
      <c r="GS3" s="739"/>
      <c r="GT3" s="739"/>
      <c r="GU3" s="739"/>
      <c r="GV3" s="739"/>
      <c r="GW3" s="739"/>
      <c r="GX3" s="739"/>
      <c r="GY3" s="739"/>
      <c r="GZ3" s="739"/>
      <c r="HA3" s="739"/>
      <c r="HB3" s="739"/>
      <c r="HC3" s="739"/>
      <c r="HD3" s="739"/>
      <c r="HE3" s="739"/>
      <c r="HF3" s="739"/>
      <c r="HG3" s="739"/>
      <c r="HH3" s="739"/>
      <c r="HI3" s="739"/>
      <c r="HJ3" s="739"/>
      <c r="HK3" s="739"/>
      <c r="HL3" s="739"/>
      <c r="HM3" s="739"/>
      <c r="HN3" s="739"/>
      <c r="HO3" s="739"/>
      <c r="HP3" s="739"/>
      <c r="HQ3" s="739"/>
      <c r="HR3" s="739"/>
      <c r="HS3" s="739"/>
      <c r="HT3" s="739"/>
      <c r="HU3" s="739"/>
      <c r="HV3" s="739"/>
      <c r="HW3" s="739"/>
      <c r="HX3" s="739"/>
      <c r="HY3" s="739"/>
      <c r="HZ3" s="739"/>
      <c r="IA3" s="739"/>
      <c r="IB3" s="739"/>
      <c r="IC3" s="739"/>
      <c r="ID3" s="739"/>
      <c r="IE3" s="739"/>
      <c r="IF3" s="739"/>
      <c r="IG3" s="739"/>
      <c r="IH3" s="739"/>
      <c r="II3" s="739"/>
      <c r="IJ3" s="739"/>
      <c r="IK3" s="739"/>
      <c r="IL3" s="739"/>
      <c r="IM3" s="739"/>
      <c r="IN3" s="739"/>
      <c r="IO3" s="739"/>
      <c r="IP3" s="739"/>
      <c r="IQ3" s="739"/>
      <c r="IR3" s="739"/>
      <c r="IS3" s="739"/>
      <c r="IT3" s="739"/>
      <c r="IU3" s="1023">
        <v>4</v>
      </c>
    </row>
    <row s="46905" customFormat="1" customHeight="1" ht="14.699999999999998">
      <c r="A4" s="1667"/>
      <c r="B4" s="1672"/>
      <c r="C4" s="1667"/>
      <c r="D4" s="2007"/>
      <c r="E4" s="1021"/>
      <c r="F4" s="2154"/>
      <c r="G4" s="1021"/>
      <c r="H4" s="1021"/>
      <c r="I4" s="1021"/>
      <c r="J4" s="678"/>
      <c r="K4" s="759"/>
      <c r="L4" s="1012"/>
      <c r="M4" s="1012"/>
      <c r="N4" s="1012"/>
      <c r="O4" s="738"/>
      <c r="P4" s="1012"/>
      <c r="Q4" s="737"/>
      <c r="R4" s="737"/>
      <c r="S4" s="737"/>
      <c r="T4" s="737"/>
      <c r="IU4" s="1019">
        <v>14</v>
      </c>
    </row>
    <row s="46905" customFormat="1" customHeight="1" ht="27.299999999999997">
      <c r="A5" s="1667"/>
      <c r="B5" s="1672"/>
      <c r="C5" s="1667"/>
      <c r="D5" s="2007"/>
      <c r="E5" s="2612"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612"/>
      <c r="G5" s="2612"/>
      <c r="H5" s="2612"/>
      <c r="I5" s="2612"/>
      <c r="J5" s="2612"/>
      <c r="K5" s="759"/>
      <c r="L5" s="1012"/>
      <c r="M5" s="1012"/>
      <c r="N5" s="1012"/>
      <c r="O5" s="738"/>
      <c r="P5" s="1012"/>
      <c r="Q5" s="737"/>
      <c r="R5" s="737"/>
      <c r="S5" s="737"/>
      <c r="T5" s="737"/>
      <c r="IU5" s="1019">
        <v>26</v>
      </c>
    </row>
    <row s="46905" customFormat="1" customHeight="1" ht="14.699999999999998">
      <c r="A6" s="1667"/>
      <c r="B6" s="1672"/>
      <c r="C6" s="1667"/>
      <c r="D6" s="2007"/>
      <c r="E6" s="1021"/>
      <c r="F6" s="679"/>
      <c r="G6" s="679"/>
      <c r="H6" s="679"/>
      <c r="I6" s="679"/>
      <c r="J6" s="680"/>
      <c r="K6" s="1012"/>
      <c r="L6" s="1012"/>
      <c r="M6" s="1012"/>
      <c r="N6" s="1012"/>
      <c r="O6" s="738"/>
      <c r="P6" s="1012"/>
      <c r="Q6" s="737"/>
      <c r="R6" s="737"/>
      <c r="S6" s="737"/>
      <c r="T6" s="737"/>
      <c r="IU6" s="1019">
        <v>14</v>
      </c>
    </row>
    <row s="46905" customFormat="1" customHeight="1" ht="14.699999999999998">
      <c r="A7" s="1667"/>
      <c r="B7" s="1672"/>
      <c r="C7" s="1667"/>
      <c r="D7" s="2007"/>
      <c r="E7" s="2613" t="s">
        <v>418</v>
      </c>
      <c r="F7" s="2614"/>
      <c r="G7" s="2614"/>
      <c r="H7" s="2614"/>
      <c r="I7" s="2614"/>
      <c r="J7" s="2986" t="s">
        <v>419</v>
      </c>
      <c r="K7" s="1012"/>
      <c r="L7" s="1012"/>
      <c r="M7" s="1012"/>
      <c r="N7" s="1012"/>
      <c r="O7" s="738"/>
      <c r="P7" s="1012"/>
      <c r="Q7" s="737"/>
      <c r="R7" s="737"/>
      <c r="S7" s="737"/>
      <c r="T7" s="737"/>
      <c r="IU7" s="1019">
        <v>14</v>
      </c>
    </row>
    <row s="46905" customFormat="1" customHeight="1" ht="21">
      <c r="A8" s="1667"/>
      <c r="B8" s="1672"/>
      <c r="C8" s="1667"/>
      <c r="D8" s="2007"/>
      <c r="E8" s="2060" t="s">
        <v>90</v>
      </c>
      <c r="F8" s="2052" t="s">
        <v>1992</v>
      </c>
      <c r="G8" s="2052" t="s">
        <v>51</v>
      </c>
      <c r="H8" s="2052" t="s">
        <v>53</v>
      </c>
      <c r="I8" s="2052" t="s">
        <v>1993</v>
      </c>
      <c r="J8" s="2987"/>
      <c r="K8" s="1012"/>
      <c r="L8" s="1012"/>
      <c r="M8" s="1012"/>
      <c r="N8" s="1012"/>
      <c r="O8" s="738"/>
      <c r="P8" s="1012"/>
      <c r="Q8" s="737"/>
      <c r="R8" s="737"/>
      <c r="S8" s="737"/>
      <c r="T8" s="737"/>
      <c r="IU8" s="1019">
        <v>20</v>
      </c>
    </row>
    <row s="46950" customFormat="1" customHeight="1" ht="23.25">
      <c r="A9" s="2143"/>
      <c r="B9" s="1672">
        <v>1</v>
      </c>
      <c r="C9" s="1672"/>
      <c r="D9" s="1313"/>
      <c r="E9" s="1996">
        <v>1</v>
      </c>
      <c r="F9" s="2059"/>
      <c r="G9" s="2003"/>
      <c r="H9" s="2003"/>
      <c r="I9" s="2050"/>
      <c r="J9" s="2681"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2047"/>
      <c r="L9" s="1023"/>
      <c r="M9" s="1023"/>
      <c r="N9" s="1012" t="str">
        <f t="array" ref="N9:N9">IF(ISERROR(MATCH(MID(O9,1,250),MID(note_ter,1,250),0)),"n","y")</f>
        <v>n</v>
      </c>
      <c r="O9" s="1023"/>
      <c r="P9" s="1012"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672"/>
      <c r="R9" s="1672"/>
      <c r="S9" s="932"/>
      <c r="T9" s="1672"/>
      <c r="U9" s="1672"/>
      <c r="V9" s="1672"/>
      <c r="W9" s="934"/>
      <c r="X9" s="934"/>
      <c r="Y9" s="931"/>
      <c r="Z9" s="931"/>
      <c r="AA9" s="931"/>
      <c r="AB9" s="931"/>
      <c r="AC9" s="931"/>
      <c r="AD9" s="931"/>
      <c r="AE9" s="931"/>
      <c r="AF9" s="931"/>
      <c r="AG9" s="931"/>
      <c r="AH9" s="931"/>
      <c r="AI9" s="931"/>
      <c r="AJ9" s="931"/>
      <c r="AK9" s="931"/>
      <c r="AL9" s="931"/>
      <c r="AM9" s="931"/>
      <c r="AN9" s="931"/>
      <c r="AO9" s="931"/>
      <c r="AP9" s="931"/>
      <c r="AQ9" s="931"/>
      <c r="AR9" s="931"/>
      <c r="AS9" s="931"/>
      <c r="AT9" s="931"/>
      <c r="AU9" s="931"/>
      <c r="AV9" s="931"/>
      <c r="AW9" s="931"/>
      <c r="AX9" s="931"/>
      <c r="AY9" s="931"/>
      <c r="AZ9" s="931"/>
      <c r="BA9" s="931"/>
      <c r="BB9" s="931"/>
      <c r="BC9" s="931"/>
      <c r="BD9" s="931"/>
      <c r="BE9" s="931"/>
      <c r="BF9" s="931"/>
      <c r="BG9" s="931"/>
      <c r="BH9" s="931"/>
      <c r="BI9" s="931"/>
      <c r="BJ9" s="931"/>
      <c r="BK9" s="931"/>
      <c r="BL9" s="931"/>
      <c r="BM9" s="931"/>
      <c r="BN9" s="931"/>
      <c r="BO9" s="931"/>
      <c r="BP9" s="931"/>
      <c r="BQ9" s="931"/>
      <c r="BR9" s="931"/>
      <c r="BS9" s="931"/>
      <c r="BT9" s="934"/>
      <c r="BU9" s="934"/>
      <c r="BV9" s="934"/>
      <c r="BW9" s="934"/>
      <c r="BX9" s="934"/>
      <c r="BY9" s="934"/>
      <c r="BZ9" s="934"/>
      <c r="CA9" s="934"/>
      <c r="CB9" s="934"/>
      <c r="CC9" s="934"/>
      <c r="IU9" s="935">
        <v>22</v>
      </c>
    </row>
    <row s="46950" customFormat="1" customHeight="1" ht="15.75">
      <c r="A10" s="2143"/>
      <c r="B10" s="1672"/>
      <c r="C10" s="924"/>
      <c r="D10" s="1313"/>
      <c r="E10" s="2053"/>
      <c r="F10" s="2012" t="s">
        <v>1994</v>
      </c>
      <c r="G10" s="2054"/>
      <c r="H10" s="2054"/>
      <c r="I10" s="2411"/>
      <c r="J10" s="2683"/>
      <c r="K10" s="2048"/>
      <c r="L10" s="1023"/>
      <c r="M10" s="1023"/>
      <c r="N10" s="1023"/>
      <c r="O10" s="1012"/>
      <c r="P10" s="1023"/>
      <c r="Q10" s="1672"/>
      <c r="R10" s="1672"/>
      <c r="S10" s="932"/>
      <c r="T10" s="1672"/>
      <c r="U10" s="1672"/>
      <c r="V10" s="1672"/>
      <c r="W10" s="934"/>
      <c r="X10" s="934"/>
      <c r="Y10" s="931"/>
      <c r="Z10" s="931"/>
      <c r="AA10" s="931"/>
      <c r="AB10" s="931"/>
      <c r="AC10" s="931"/>
      <c r="AD10" s="931"/>
      <c r="AE10" s="931"/>
      <c r="AF10" s="931"/>
      <c r="AG10" s="931"/>
      <c r="AH10" s="931"/>
      <c r="AI10" s="931"/>
      <c r="AJ10" s="931"/>
      <c r="AK10" s="931"/>
      <c r="AL10" s="931"/>
      <c r="AM10" s="931"/>
      <c r="AN10" s="931"/>
      <c r="AO10" s="931"/>
      <c r="AP10" s="931"/>
      <c r="AQ10" s="931"/>
      <c r="AR10" s="931"/>
      <c r="AS10" s="931"/>
      <c r="AT10" s="931"/>
      <c r="AU10" s="931"/>
      <c r="AV10" s="931"/>
      <c r="AW10" s="931"/>
      <c r="AX10" s="931"/>
      <c r="AY10" s="931"/>
      <c r="AZ10" s="931"/>
      <c r="BA10" s="931"/>
      <c r="BB10" s="931"/>
      <c r="BC10" s="931"/>
      <c r="BD10" s="931"/>
      <c r="BE10" s="931"/>
      <c r="BF10" s="931"/>
      <c r="BG10" s="931"/>
      <c r="BH10" s="931"/>
      <c r="BI10" s="931"/>
      <c r="BJ10" s="931"/>
      <c r="BK10" s="931"/>
      <c r="BL10" s="931"/>
      <c r="BM10" s="931"/>
      <c r="BN10" s="931"/>
      <c r="BO10" s="931"/>
      <c r="BP10" s="931"/>
      <c r="BQ10" s="931"/>
      <c r="BR10" s="931"/>
      <c r="BS10" s="931"/>
      <c r="BT10" s="934"/>
      <c r="BU10" s="934"/>
      <c r="BV10" s="934"/>
      <c r="BW10" s="934"/>
      <c r="BX10" s="934"/>
      <c r="BY10" s="934"/>
      <c r="BZ10" s="934"/>
      <c r="CA10" s="934"/>
      <c r="CB10" s="934"/>
      <c r="CC10" s="934"/>
      <c r="IU10" s="935">
        <v>15</v>
      </c>
    </row>
    <row s="46905" customFormat="1" customHeight="1" ht="22.049999999999997">
      <c r="A11" s="1667"/>
      <c r="B11" s="1672"/>
      <c r="C11" s="1667"/>
      <c r="D11" s="963"/>
      <c r="E11" s="692"/>
      <c r="F11" s="692"/>
      <c r="G11" s="692"/>
      <c r="H11" s="692"/>
      <c r="I11" s="692"/>
      <c r="J11" s="692"/>
      <c r="K11" s="1012"/>
      <c r="L11" s="1012"/>
      <c r="M11" s="1012"/>
      <c r="N11" s="1012"/>
      <c r="O11" s="738"/>
      <c r="P11" s="1012"/>
      <c r="Q11" s="737"/>
      <c r="R11" s="737"/>
      <c r="S11" s="737"/>
      <c r="T11" s="737"/>
      <c r="IU11" s="1019">
        <v>21</v>
      </c>
    </row>
    <row s="46905" customFormat="1" customHeight="1" ht="14.699999999999998">
      <c r="A12" s="1667"/>
      <c r="B12" s="1672"/>
      <c r="C12" s="1667"/>
      <c r="D12" s="963"/>
      <c r="E12" s="1667"/>
      <c r="F12" s="1667"/>
      <c r="G12" s="1667"/>
      <c r="H12" s="1667"/>
      <c r="I12" s="1667"/>
      <c r="J12" s="1667"/>
      <c r="K12" s="1012"/>
      <c r="L12" s="1012"/>
      <c r="M12" s="1012"/>
      <c r="N12" s="1012"/>
      <c r="O12" s="738"/>
      <c r="P12" s="1012"/>
      <c r="Q12" s="737"/>
      <c r="R12" s="737"/>
      <c r="S12" s="737"/>
      <c r="T12" s="737"/>
      <c r="IU12" s="1019">
        <v>14</v>
      </c>
    </row>
    <row s="46905" customFormat="1" customHeight="1" ht="1.05">
      <c r="A13" s="1667"/>
      <c r="B13" s="1672"/>
      <c r="C13" s="1667"/>
      <c r="D13" s="963"/>
      <c r="E13" s="1667"/>
      <c r="F13" s="1667"/>
      <c r="G13" s="1667"/>
      <c r="H13" s="1667"/>
      <c r="I13" s="1667"/>
      <c r="J13" s="1667"/>
      <c r="K13" s="1012"/>
      <c r="L13" s="1012"/>
      <c r="M13" s="1012"/>
      <c r="N13" s="1012"/>
      <c r="O13" s="738"/>
      <c r="P13" s="1012"/>
      <c r="Q13" s="737"/>
      <c r="R13" s="737"/>
      <c r="S13" s="737"/>
      <c r="T13" s="737"/>
      <c r="IU13" s="1019">
        <v>1</v>
      </c>
    </row>
    <row s="46983" customFormat="1" customHeight="1" ht="10.5">
      <c r="B14" s="1346"/>
      <c r="D14" s="694"/>
      <c r="K14" s="1012"/>
      <c r="L14" s="1012"/>
      <c r="M14" s="1012"/>
      <c r="N14" s="1012"/>
      <c r="O14" s="738"/>
      <c r="P14" s="1012"/>
      <c r="Q14" s="737"/>
      <c r="R14" s="737"/>
      <c r="S14" s="737"/>
      <c r="T14" s="737"/>
      <c r="IU14" s="693">
        <v>10</v>
      </c>
    </row>
    <row s="46983" customFormat="1" customHeight="1" ht="10.5">
      <c r="B15" s="1346"/>
      <c r="D15" s="694"/>
      <c r="K15" s="1012"/>
      <c r="L15" s="1012"/>
      <c r="M15" s="1012"/>
      <c r="N15" s="1012"/>
      <c r="O15" s="738"/>
      <c r="P15" s="1012"/>
      <c r="Q15" s="737"/>
      <c r="R15" s="737"/>
      <c r="S15" s="737"/>
      <c r="T15" s="737"/>
      <c r="IU15" s="693">
        <v>10</v>
      </c>
    </row>
    <row customHeight="1" ht="14.699999999999998">
      <c r="IU16" s="1667">
        <v>14</v>
      </c>
    </row>
    <row customHeight="1" ht="14.699999999999998">
      <c r="IU17" s="1667">
        <v>14</v>
      </c>
    </row>
    <row customHeight="1" ht="14.699999999999998">
      <c r="IU18" s="1667">
        <v>14</v>
      </c>
    </row>
    <row customHeight="1" ht="14.699999999999998">
      <c r="G19" s="885"/>
      <c r="H19" s="885"/>
      <c r="I19" s="885"/>
      <c r="IU19" s="1667">
        <v>14</v>
      </c>
    </row>
    <row customHeight="1" ht="14.699999999999998">
      <c r="IU20" s="1667">
        <v>14</v>
      </c>
    </row>
    <row customHeight="1" ht="14.699999999999998">
      <c r="IU21" s="1667">
        <v>14</v>
      </c>
    </row>
    <row customHeight="1" ht="14.699999999999998">
      <c r="IU22" s="1667">
        <v>14</v>
      </c>
    </row>
    <row customHeight="1" ht="14.699999999999998">
      <c r="K23" s="1667"/>
      <c r="L23" s="1667"/>
      <c r="M23" s="1667"/>
      <c r="IU23" s="1667">
        <v>14</v>
      </c>
    </row>
    <row customHeight="1" ht="22.5" hidden="1">
      <c r="A24" s="1667" t="s">
        <v>84</v>
      </c>
      <c r="B24" s="1672">
        <v>0</v>
      </c>
      <c r="C24" s="1667">
        <v>0</v>
      </c>
      <c r="D24" s="963">
        <v>3</v>
      </c>
      <c r="E24" s="1667">
        <v>6</v>
      </c>
      <c r="F24" s="1667">
        <v>46</v>
      </c>
      <c r="G24" s="1667">
        <v>16</v>
      </c>
      <c r="H24" s="1667">
        <v>16</v>
      </c>
      <c r="I24" s="1667">
        <v>35</v>
      </c>
      <c r="J24" s="1667">
        <v>89</v>
      </c>
      <c r="K24" s="1012">
        <v>3</v>
      </c>
      <c r="L24" s="1012">
        <v>8</v>
      </c>
      <c r="M24" s="1012">
        <v>8</v>
      </c>
      <c r="N24" s="1012">
        <v>8</v>
      </c>
      <c r="O24" s="738">
        <v>25</v>
      </c>
      <c r="P24" s="1012">
        <v>14</v>
      </c>
      <c r="Q24" s="737">
        <v>8</v>
      </c>
      <c r="R24" s="737">
        <v>8</v>
      </c>
      <c r="S24" s="737">
        <v>8</v>
      </c>
      <c r="T24" s="737">
        <v>8</v>
      </c>
      <c r="U24" s="1667">
        <v>8</v>
      </c>
      <c r="V24" s="1667">
        <v>8</v>
      </c>
      <c r="W24" s="1667">
        <v>8</v>
      </c>
      <c r="X24" s="1667">
        <v>8</v>
      </c>
      <c r="Y24" s="1667">
        <v>8</v>
      </c>
      <c r="Z24" s="1667">
        <v>8</v>
      </c>
      <c r="AA24" s="1667">
        <v>8</v>
      </c>
      <c r="AB24" s="1667">
        <v>8</v>
      </c>
      <c r="AC24" s="1667">
        <v>8</v>
      </c>
      <c r="AD24" s="1667">
        <v>8</v>
      </c>
      <c r="AE24" s="1667">
        <v>8</v>
      </c>
      <c r="AF24" s="1667">
        <v>8</v>
      </c>
      <c r="AG24" s="1667">
        <v>8</v>
      </c>
      <c r="AH24" s="1667">
        <v>8</v>
      </c>
      <c r="AI24" s="1667">
        <v>8</v>
      </c>
      <c r="AJ24" s="1667">
        <v>8</v>
      </c>
      <c r="AK24" s="1667">
        <v>8</v>
      </c>
      <c r="AL24" s="1667">
        <v>8</v>
      </c>
      <c r="AM24" s="1667">
        <v>8</v>
      </c>
      <c r="AN24" s="1667">
        <v>8</v>
      </c>
      <c r="AO24" s="1667">
        <v>8</v>
      </c>
      <c r="AP24" s="1667">
        <v>8</v>
      </c>
      <c r="AQ24" s="1667">
        <v>8</v>
      </c>
      <c r="AR24" s="1667">
        <v>8</v>
      </c>
      <c r="AS24" s="1667">
        <v>8</v>
      </c>
      <c r="AT24" s="1667">
        <v>8</v>
      </c>
      <c r="AU24" s="1667">
        <v>8</v>
      </c>
      <c r="AV24" s="1667">
        <v>8</v>
      </c>
      <c r="AW24" s="1667">
        <v>8</v>
      </c>
      <c r="AX24" s="1667">
        <v>8</v>
      </c>
      <c r="AY24" s="1667">
        <v>8</v>
      </c>
      <c r="AZ24" s="1667">
        <v>8</v>
      </c>
      <c r="BA24" s="1667">
        <v>8</v>
      </c>
      <c r="BB24" s="1667">
        <v>8</v>
      </c>
      <c r="BC24" s="1667">
        <v>8</v>
      </c>
      <c r="BD24" s="1667">
        <v>8</v>
      </c>
      <c r="BE24" s="1667">
        <v>8</v>
      </c>
      <c r="BF24" s="1667">
        <v>8</v>
      </c>
      <c r="BG24" s="1667">
        <v>8</v>
      </c>
      <c r="BH24" s="1667">
        <v>8</v>
      </c>
      <c r="BI24" s="1667">
        <v>8</v>
      </c>
      <c r="BJ24" s="1667">
        <v>8</v>
      </c>
      <c r="BK24" s="1667">
        <v>8</v>
      </c>
      <c r="BL24" s="1667">
        <v>8</v>
      </c>
      <c r="BM24" s="1667">
        <v>8</v>
      </c>
      <c r="BN24" s="1667">
        <v>8</v>
      </c>
      <c r="BO24" s="1667">
        <v>8</v>
      </c>
      <c r="BP24" s="1667">
        <v>8</v>
      </c>
      <c r="BQ24" s="1667">
        <v>8</v>
      </c>
      <c r="BR24" s="1667">
        <v>8</v>
      </c>
      <c r="BS24" s="1667">
        <v>8</v>
      </c>
      <c r="BT24" s="1667">
        <v>8</v>
      </c>
      <c r="BU24" s="1667">
        <v>8</v>
      </c>
      <c r="BV24" s="1667">
        <v>8</v>
      </c>
      <c r="BW24" s="1667">
        <v>8</v>
      </c>
      <c r="BX24" s="1667">
        <v>8</v>
      </c>
      <c r="BY24" s="1667">
        <v>8</v>
      </c>
      <c r="BZ24" s="1667">
        <v>8</v>
      </c>
      <c r="CA24" s="1667">
        <v>8</v>
      </c>
      <c r="CB24" s="1667">
        <v>8</v>
      </c>
      <c r="CC24" s="1667">
        <v>8</v>
      </c>
      <c r="CD24" s="1667">
        <v>8</v>
      </c>
      <c r="CE24" s="1667">
        <v>8</v>
      </c>
      <c r="CF24" s="1667">
        <v>8</v>
      </c>
      <c r="CG24" s="1667">
        <v>8</v>
      </c>
      <c r="CH24" s="1667">
        <v>8</v>
      </c>
      <c r="CI24" s="1667">
        <v>8</v>
      </c>
      <c r="CJ24" s="1667">
        <v>8</v>
      </c>
      <c r="CK24" s="1667">
        <v>8</v>
      </c>
      <c r="CL24" s="1667">
        <v>8</v>
      </c>
      <c r="CM24" s="1667">
        <v>8</v>
      </c>
      <c r="CN24" s="1667">
        <v>8</v>
      </c>
      <c r="CO24" s="1667">
        <v>8</v>
      </c>
      <c r="CP24" s="1667">
        <v>8</v>
      </c>
      <c r="CQ24" s="1667">
        <v>8</v>
      </c>
      <c r="CR24" s="1667">
        <v>8</v>
      </c>
      <c r="CS24" s="1667">
        <v>8</v>
      </c>
      <c r="CT24" s="1667">
        <v>8</v>
      </c>
      <c r="CU24" s="1667">
        <v>8</v>
      </c>
      <c r="CV24" s="1667">
        <v>8</v>
      </c>
      <c r="CW24" s="1667">
        <v>8</v>
      </c>
      <c r="CX24" s="1667">
        <v>8</v>
      </c>
      <c r="CY24" s="1667">
        <v>8</v>
      </c>
      <c r="CZ24" s="1667">
        <v>8</v>
      </c>
      <c r="DA24" s="1667">
        <v>8</v>
      </c>
      <c r="DB24" s="1667">
        <v>8</v>
      </c>
      <c r="DC24" s="1667">
        <v>8</v>
      </c>
      <c r="DD24" s="1667">
        <v>8</v>
      </c>
      <c r="DE24" s="1667">
        <v>8</v>
      </c>
      <c r="DF24" s="1667">
        <v>8</v>
      </c>
      <c r="DG24" s="1667">
        <v>8</v>
      </c>
      <c r="DH24" s="1667">
        <v>8</v>
      </c>
      <c r="DI24" s="1667">
        <v>8</v>
      </c>
      <c r="DJ24" s="1667">
        <v>8</v>
      </c>
      <c r="DK24" s="1667">
        <v>8</v>
      </c>
      <c r="DL24" s="1667">
        <v>8</v>
      </c>
      <c r="DM24" s="1667">
        <v>8</v>
      </c>
      <c r="DN24" s="1667">
        <v>8</v>
      </c>
      <c r="DO24" s="1667">
        <v>8</v>
      </c>
      <c r="DP24" s="1667">
        <v>8</v>
      </c>
      <c r="DQ24" s="1667">
        <v>8</v>
      </c>
      <c r="DR24" s="1667">
        <v>8</v>
      </c>
      <c r="DS24" s="1667">
        <v>8</v>
      </c>
      <c r="DT24" s="1667">
        <v>8</v>
      </c>
      <c r="DU24" s="1667">
        <v>8</v>
      </c>
      <c r="DV24" s="1667">
        <v>8</v>
      </c>
      <c r="DW24" s="1667">
        <v>8</v>
      </c>
      <c r="DX24" s="1667">
        <v>8</v>
      </c>
      <c r="DY24" s="1667">
        <v>8</v>
      </c>
      <c r="DZ24" s="1667">
        <v>8</v>
      </c>
      <c r="EA24" s="1667">
        <v>8</v>
      </c>
      <c r="EB24" s="1667">
        <v>8</v>
      </c>
      <c r="EC24" s="1667">
        <v>8</v>
      </c>
      <c r="ED24" s="1667">
        <v>8</v>
      </c>
      <c r="EE24" s="1667">
        <v>8</v>
      </c>
      <c r="EF24" s="1667">
        <v>8</v>
      </c>
      <c r="EG24" s="1667">
        <v>8</v>
      </c>
      <c r="EH24" s="1667">
        <v>8</v>
      </c>
      <c r="EI24" s="1667">
        <v>8</v>
      </c>
      <c r="EJ24" s="1667">
        <v>8</v>
      </c>
      <c r="EK24" s="1667">
        <v>8</v>
      </c>
      <c r="EL24" s="1667">
        <v>8</v>
      </c>
      <c r="EM24" s="1667">
        <v>8</v>
      </c>
      <c r="EN24" s="1667">
        <v>8</v>
      </c>
      <c r="EO24" s="1667">
        <v>8</v>
      </c>
      <c r="EP24" s="1667">
        <v>8</v>
      </c>
      <c r="EQ24" s="1667">
        <v>8</v>
      </c>
      <c r="ER24" s="1667">
        <v>8</v>
      </c>
      <c r="ES24" s="1667">
        <v>8</v>
      </c>
      <c r="ET24" s="1667">
        <v>8</v>
      </c>
      <c r="EU24" s="1667">
        <v>8</v>
      </c>
      <c r="EV24" s="1667">
        <v>8</v>
      </c>
      <c r="EW24" s="1667">
        <v>8</v>
      </c>
      <c r="EX24" s="1667">
        <v>8</v>
      </c>
      <c r="EY24" s="1667">
        <v>8</v>
      </c>
      <c r="EZ24" s="1667">
        <v>8</v>
      </c>
      <c r="FA24" s="1667">
        <v>8</v>
      </c>
      <c r="FB24" s="1667">
        <v>8</v>
      </c>
      <c r="FC24" s="1667">
        <v>8</v>
      </c>
      <c r="FD24" s="1667">
        <v>8</v>
      </c>
      <c r="FE24" s="1667">
        <v>8</v>
      </c>
      <c r="FF24" s="1667">
        <v>8</v>
      </c>
      <c r="FG24" s="1667">
        <v>8</v>
      </c>
      <c r="FH24" s="1667">
        <v>8</v>
      </c>
      <c r="FI24" s="1667">
        <v>8</v>
      </c>
      <c r="FJ24" s="1667">
        <v>8</v>
      </c>
      <c r="FK24" s="1667">
        <v>8</v>
      </c>
      <c r="FL24" s="1667">
        <v>8</v>
      </c>
      <c r="FM24" s="1667">
        <v>8</v>
      </c>
      <c r="FN24" s="1667">
        <v>8</v>
      </c>
      <c r="FO24" s="1667">
        <v>8</v>
      </c>
      <c r="FP24" s="1667">
        <v>8</v>
      </c>
      <c r="FQ24" s="1667">
        <v>8</v>
      </c>
      <c r="FR24" s="1667">
        <v>8</v>
      </c>
      <c r="FS24" s="1667">
        <v>8</v>
      </c>
      <c r="FT24" s="1667">
        <v>8</v>
      </c>
      <c r="FU24" s="1667">
        <v>8</v>
      </c>
      <c r="FV24" s="1667">
        <v>8</v>
      </c>
      <c r="FW24" s="1667">
        <v>8</v>
      </c>
      <c r="FX24" s="1667">
        <v>8</v>
      </c>
      <c r="FY24" s="1667">
        <v>8</v>
      </c>
      <c r="FZ24" s="1667">
        <v>8</v>
      </c>
      <c r="GA24" s="1667">
        <v>8</v>
      </c>
      <c r="GB24" s="1667">
        <v>8</v>
      </c>
      <c r="GC24" s="1667">
        <v>8</v>
      </c>
      <c r="GD24" s="1667">
        <v>8</v>
      </c>
      <c r="GE24" s="1667">
        <v>8</v>
      </c>
      <c r="GF24" s="1667">
        <v>8</v>
      </c>
      <c r="GG24" s="1667">
        <v>8</v>
      </c>
      <c r="GH24" s="1667">
        <v>8</v>
      </c>
      <c r="GI24" s="1667">
        <v>8</v>
      </c>
      <c r="GJ24" s="1667">
        <v>8</v>
      </c>
      <c r="GK24" s="1667">
        <v>8</v>
      </c>
      <c r="GL24" s="1667">
        <v>8</v>
      </c>
      <c r="GM24" s="1667">
        <v>8</v>
      </c>
      <c r="GN24" s="1667">
        <v>8</v>
      </c>
      <c r="GO24" s="1667">
        <v>8</v>
      </c>
      <c r="GP24" s="1667">
        <v>8</v>
      </c>
      <c r="GQ24" s="1667">
        <v>8</v>
      </c>
      <c r="GR24" s="1667">
        <v>8</v>
      </c>
      <c r="GS24" s="1667">
        <v>8</v>
      </c>
      <c r="GT24" s="1667">
        <v>8</v>
      </c>
      <c r="GU24" s="1667">
        <v>8</v>
      </c>
      <c r="GV24" s="1667">
        <v>8</v>
      </c>
      <c r="GW24" s="1667">
        <v>8</v>
      </c>
      <c r="GX24" s="1667">
        <v>8</v>
      </c>
      <c r="GY24" s="1667">
        <v>8</v>
      </c>
      <c r="GZ24" s="1667">
        <v>8</v>
      </c>
      <c r="HA24" s="1667">
        <v>8</v>
      </c>
      <c r="HB24" s="1667">
        <v>8</v>
      </c>
      <c r="HC24" s="1667">
        <v>8</v>
      </c>
      <c r="HD24" s="1667">
        <v>8</v>
      </c>
      <c r="HE24" s="1667">
        <v>8</v>
      </c>
      <c r="HF24" s="1667">
        <v>8</v>
      </c>
      <c r="HG24" s="1667">
        <v>8</v>
      </c>
      <c r="HH24" s="1667">
        <v>8</v>
      </c>
      <c r="HI24" s="1667">
        <v>8</v>
      </c>
      <c r="HJ24" s="1667">
        <v>8</v>
      </c>
      <c r="HK24" s="1667">
        <v>8</v>
      </c>
      <c r="HL24" s="1667">
        <v>8</v>
      </c>
      <c r="HM24" s="1667">
        <v>8</v>
      </c>
      <c r="HN24" s="1667">
        <v>8</v>
      </c>
      <c r="HO24" s="1667">
        <v>8</v>
      </c>
      <c r="HP24" s="1667">
        <v>8</v>
      </c>
      <c r="HQ24" s="1667">
        <v>8</v>
      </c>
      <c r="HR24" s="1667">
        <v>8</v>
      </c>
      <c r="HS24" s="1667">
        <v>8</v>
      </c>
      <c r="HT24" s="1667">
        <v>8</v>
      </c>
      <c r="HU24" s="1667">
        <v>8</v>
      </c>
      <c r="HV24" s="1667">
        <v>8</v>
      </c>
      <c r="HW24" s="1667">
        <v>8</v>
      </c>
      <c r="HX24" s="1667">
        <v>8</v>
      </c>
      <c r="HY24" s="1667">
        <v>8</v>
      </c>
      <c r="HZ24" s="1667">
        <v>8</v>
      </c>
      <c r="IA24" s="1667">
        <v>8</v>
      </c>
      <c r="IB24" s="1667">
        <v>8</v>
      </c>
      <c r="IC24" s="1667">
        <v>8</v>
      </c>
      <c r="ID24" s="1667">
        <v>8</v>
      </c>
      <c r="IE24" s="1667">
        <v>8</v>
      </c>
      <c r="IF24" s="1667">
        <v>8</v>
      </c>
      <c r="IG24" s="1667">
        <v>8</v>
      </c>
      <c r="IH24" s="1667">
        <v>8</v>
      </c>
      <c r="II24" s="1667">
        <v>8</v>
      </c>
      <c r="IJ24" s="1667">
        <v>8</v>
      </c>
      <c r="IK24" s="1667">
        <v>8</v>
      </c>
      <c r="IL24" s="1667">
        <v>8</v>
      </c>
      <c r="IM24" s="1667">
        <v>8</v>
      </c>
      <c r="IN24" s="1667">
        <v>8</v>
      </c>
      <c r="IO24" s="1667">
        <v>8</v>
      </c>
      <c r="IP24" s="1667">
        <v>8</v>
      </c>
      <c r="IQ24" s="1667">
        <v>8</v>
      </c>
      <c r="IR24" s="1667">
        <v>8</v>
      </c>
      <c r="IS24" s="1667">
        <v>8</v>
      </c>
      <c r="IT24" s="1667">
        <v>8</v>
      </c>
      <c r="IU24" s="1667">
        <v>23</v>
      </c>
    </row>
  </sheetData>
  <sheetProtection formatColumns="0" formatRows="0" autoFilter="0" sort="0" insertRows="0" insertColumns="1" deleteRows="0" deleteColumns="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FC8880C-03A3-C0DF-5051-5798CBECAEB7}" mc:Ignorable="x14ac xr xr2 xr3">
  <dimension ref="A1:IW15"/>
  <sheetViews>
    <sheetView topLeftCell="A1" showGridLines="0" zoomScale="90" workbookViewId="0">
      <selection activeCell="A1" sqref="A1"/>
    </sheetView>
  </sheetViews>
  <sheetFormatPr defaultColWidth="9.140625" customHeight="1" defaultRowHeight="14.25"/>
  <cols>
    <col min="1" max="1" style="46808" width="9.140625" hidden="1"/>
    <col min="2" max="2" style="46889" width="9.140625" hidden="1"/>
    <col min="3" max="3" style="46808" width="3.7109375" hidden="1" customWidth="1"/>
    <col min="4" max="4" style="46988" width="3.00390625" customWidth="1"/>
    <col min="5" max="5" style="46808" width="6.00390625" customWidth="1"/>
    <col min="6" max="6" style="46808" width="27.00390625" customWidth="1"/>
    <col min="7" max="7" style="46808" width="16.00390625" customWidth="1"/>
    <col min="8" max="8" style="46808" width="12.00390625" customWidth="1"/>
    <col min="9" max="9" style="46808" width="32.00390625" customWidth="1"/>
    <col min="10" max="11" style="46808" width="41.00390625" customWidth="1"/>
    <col min="12" max="12" style="46808" width="89.00390625" customWidth="1"/>
    <col min="13" max="13" style="46989" width="3.00390625" customWidth="1"/>
    <col min="14" max="16" style="46989" width="8.00390625" customWidth="1"/>
    <col min="17" max="17" style="46989" width="25.00390625" customWidth="1"/>
    <col min="18" max="18" style="46989" width="14.00390625" customWidth="1"/>
    <col min="19" max="22" style="46990" width="8.00390625" customWidth="1"/>
    <col min="23" max="256" style="46808" width="8.00390625" customWidth="1"/>
    <col min="257" max="257" style="46808" width="9.140625" hidden="1"/>
  </cols>
  <sheetData>
    <row customHeight="1" ht="22.5" hidden="1">
      <c r="IW1" s="1667" t="s">
        <v>14</v>
      </c>
    </row>
    <row s="46950" customFormat="1" customHeight="1" ht="22.5" hidden="1">
      <c r="A2" s="1343"/>
      <c r="B2" s="1672">
        <v>1</v>
      </c>
      <c r="C2" s="1672"/>
      <c r="D2" s="2440" t="s">
        <v>106</v>
      </c>
      <c r="E2" s="2401"/>
      <c r="F2" s="2404" t="str">
        <f>IF(ROIV_INFO_NAME="","",ROIV_INFO_NAME)</f>
        <v>КГУП "Примтеплоэнерго"</v>
      </c>
      <c r="G2" s="2429" t="s">
        <v>28</v>
      </c>
      <c r="H2" s="2428"/>
      <c r="I2" s="2050"/>
      <c r="J2" s="1330"/>
      <c r="K2" s="1330"/>
      <c r="L2" s="740"/>
      <c r="M2" s="2047">
        <f>MERGEVALUE(F2)</f>
      </c>
      <c r="N2" s="1023"/>
      <c r="O2" s="1023"/>
      <c r="P2" s="1012" t="str">
        <f t="array" ref="P2:P2">IF(ISERROR(MATCH(MID(Q2,1,250),MID(note_ter,1,250),0)),"n","y")</f>
        <v>n</v>
      </c>
      <c r="Q2" s="1023"/>
      <c r="R2" s="1012" t="str">
        <f>G2&amp;"("&amp;L2&amp;")"</f>
        <v>()</v>
      </c>
      <c r="S2" s="1672"/>
      <c r="T2" s="1672"/>
      <c r="U2" s="932"/>
      <c r="V2" s="1672"/>
      <c r="W2" s="1672"/>
      <c r="X2" s="1672"/>
      <c r="Y2" s="934"/>
      <c r="Z2" s="934"/>
      <c r="AA2" s="931"/>
      <c r="AB2" s="931"/>
      <c r="AC2" s="931"/>
      <c r="AD2" s="931"/>
      <c r="AE2" s="931"/>
      <c r="AF2" s="931"/>
      <c r="AG2" s="931"/>
      <c r="AH2" s="931"/>
      <c r="AI2" s="931"/>
      <c r="AJ2" s="931"/>
      <c r="AK2" s="931"/>
      <c r="AL2" s="931"/>
      <c r="AM2" s="931"/>
      <c r="AN2" s="931"/>
      <c r="AO2" s="931"/>
      <c r="AP2" s="931"/>
      <c r="AQ2" s="931"/>
      <c r="AR2" s="931"/>
      <c r="AS2" s="931"/>
      <c r="AT2" s="931"/>
      <c r="AU2" s="931"/>
      <c r="AV2" s="931"/>
      <c r="AW2" s="931"/>
      <c r="AX2" s="931"/>
      <c r="AY2" s="931"/>
      <c r="AZ2" s="931"/>
      <c r="BA2" s="931"/>
      <c r="BB2" s="931"/>
      <c r="BC2" s="931"/>
      <c r="BD2" s="931"/>
      <c r="BE2" s="931"/>
      <c r="BF2" s="931"/>
      <c r="BG2" s="931"/>
      <c r="BH2" s="931"/>
      <c r="BI2" s="931"/>
      <c r="BJ2" s="931"/>
      <c r="BK2" s="931"/>
      <c r="BL2" s="931"/>
      <c r="BM2" s="931"/>
      <c r="BN2" s="931"/>
      <c r="BO2" s="931"/>
      <c r="BP2" s="931"/>
      <c r="BQ2" s="931"/>
      <c r="BR2" s="931"/>
      <c r="BS2" s="931"/>
      <c r="BT2" s="931"/>
      <c r="BU2" s="931"/>
      <c r="BV2" s="934"/>
      <c r="BW2" s="934"/>
      <c r="BX2" s="934"/>
      <c r="BY2" s="934"/>
      <c r="BZ2" s="934"/>
      <c r="CA2" s="934"/>
      <c r="CB2" s="934"/>
      <c r="CC2" s="934"/>
      <c r="CD2" s="934"/>
      <c r="CE2" s="934"/>
      <c r="IW2" s="935">
        <v>0</v>
      </c>
    </row>
    <row s="46890" customFormat="1" customHeight="1" ht="5.25" hidden="1">
      <c r="A3" s="1008"/>
      <c r="D3" s="1006"/>
      <c r="F3" s="759" t="s">
        <v>85</v>
      </c>
      <c r="G3" s="2247" t="s">
        <v>86</v>
      </c>
      <c r="H3" s="1006"/>
      <c r="I3" s="1006"/>
      <c r="J3" s="1006"/>
      <c r="K3" s="1006"/>
      <c r="L3" s="739" t="s">
        <v>87</v>
      </c>
      <c r="M3" s="759" t="s">
        <v>85</v>
      </c>
      <c r="N3" s="759"/>
      <c r="O3" s="759"/>
      <c r="P3" s="759"/>
      <c r="Q3" s="760"/>
      <c r="R3" s="759"/>
      <c r="S3" s="759"/>
      <c r="T3" s="759"/>
      <c r="U3" s="759"/>
      <c r="V3" s="759"/>
      <c r="W3" s="739"/>
      <c r="X3" s="739"/>
      <c r="Y3" s="739"/>
      <c r="Z3" s="739"/>
      <c r="AA3" s="739"/>
      <c r="AB3" s="739"/>
      <c r="AC3" s="739"/>
      <c r="AD3" s="739"/>
      <c r="AE3" s="739"/>
      <c r="AF3" s="739"/>
      <c r="AG3" s="739"/>
      <c r="AH3" s="739"/>
      <c r="AI3" s="739"/>
      <c r="AJ3" s="739"/>
      <c r="AK3" s="739"/>
      <c r="AL3" s="739"/>
      <c r="AM3" s="739"/>
      <c r="AN3" s="739"/>
      <c r="AO3" s="739"/>
      <c r="AP3" s="739"/>
      <c r="AQ3" s="739"/>
      <c r="AR3" s="739"/>
      <c r="AS3" s="739"/>
      <c r="AT3" s="739"/>
      <c r="AU3" s="739"/>
      <c r="AV3" s="739"/>
      <c r="AW3" s="739"/>
      <c r="AX3" s="739"/>
      <c r="AY3" s="739"/>
      <c r="AZ3" s="739"/>
      <c r="BA3" s="739"/>
      <c r="BB3" s="739"/>
      <c r="BC3" s="739"/>
      <c r="BD3" s="739"/>
      <c r="BE3" s="739"/>
      <c r="BF3" s="739"/>
      <c r="BG3" s="739"/>
      <c r="BH3" s="739"/>
      <c r="BI3" s="739"/>
      <c r="BJ3" s="739"/>
      <c r="BK3" s="739"/>
      <c r="BL3" s="739"/>
      <c r="BM3" s="739"/>
      <c r="BN3" s="739"/>
      <c r="BO3" s="739"/>
      <c r="BP3" s="739"/>
      <c r="BQ3" s="739"/>
      <c r="BR3" s="739"/>
      <c r="BS3" s="739"/>
      <c r="BT3" s="739"/>
      <c r="BU3" s="739"/>
      <c r="BV3" s="739"/>
      <c r="BW3" s="739"/>
      <c r="BX3" s="739"/>
      <c r="BY3" s="739"/>
      <c r="BZ3" s="739"/>
      <c r="CA3" s="739"/>
      <c r="CB3" s="739"/>
      <c r="CC3" s="739"/>
      <c r="CD3" s="739"/>
      <c r="CE3" s="739"/>
      <c r="CF3" s="739"/>
      <c r="CG3" s="739"/>
      <c r="CH3" s="739"/>
      <c r="CI3" s="739"/>
      <c r="CJ3" s="739"/>
      <c r="CK3" s="739"/>
      <c r="CL3" s="739"/>
      <c r="CM3" s="739"/>
      <c r="CN3" s="739"/>
      <c r="CO3" s="739"/>
      <c r="CP3" s="739"/>
      <c r="CQ3" s="739"/>
      <c r="CR3" s="739"/>
      <c r="CS3" s="739"/>
      <c r="CT3" s="739"/>
      <c r="CU3" s="739"/>
      <c r="CV3" s="739"/>
      <c r="CW3" s="739"/>
      <c r="CX3" s="739"/>
      <c r="CY3" s="739"/>
      <c r="CZ3" s="739"/>
      <c r="DA3" s="739"/>
      <c r="DB3" s="739"/>
      <c r="DC3" s="739"/>
      <c r="DD3" s="739"/>
      <c r="DE3" s="739"/>
      <c r="DF3" s="739"/>
      <c r="DG3" s="739"/>
      <c r="DH3" s="739"/>
      <c r="DI3" s="739"/>
      <c r="DJ3" s="739"/>
      <c r="DK3" s="739"/>
      <c r="DL3" s="739"/>
      <c r="DM3" s="739"/>
      <c r="DN3" s="739"/>
      <c r="DO3" s="739"/>
      <c r="DP3" s="739"/>
      <c r="DQ3" s="739"/>
      <c r="DR3" s="739"/>
      <c r="DS3" s="739"/>
      <c r="DT3" s="739"/>
      <c r="DU3" s="739"/>
      <c r="DV3" s="739"/>
      <c r="DW3" s="739"/>
      <c r="DX3" s="739"/>
      <c r="DY3" s="739"/>
      <c r="DZ3" s="739"/>
      <c r="EA3" s="739"/>
      <c r="EB3" s="739"/>
      <c r="EC3" s="739"/>
      <c r="ED3" s="739"/>
      <c r="EE3" s="739"/>
      <c r="EF3" s="739"/>
      <c r="EG3" s="739"/>
      <c r="EH3" s="739"/>
      <c r="EI3" s="739"/>
      <c r="EJ3" s="739"/>
      <c r="EK3" s="739"/>
      <c r="EL3" s="739"/>
      <c r="EM3" s="739"/>
      <c r="EN3" s="739"/>
      <c r="EO3" s="739"/>
      <c r="EP3" s="739"/>
      <c r="EQ3" s="739"/>
      <c r="ER3" s="739"/>
      <c r="ES3" s="739"/>
      <c r="ET3" s="739"/>
      <c r="EU3" s="739"/>
      <c r="EV3" s="739"/>
      <c r="EW3" s="739"/>
      <c r="EX3" s="739"/>
      <c r="EY3" s="739"/>
      <c r="EZ3" s="739"/>
      <c r="FA3" s="739"/>
      <c r="FB3" s="739"/>
      <c r="FC3" s="739"/>
      <c r="FD3" s="739"/>
      <c r="FE3" s="739"/>
      <c r="FF3" s="739"/>
      <c r="FG3" s="739"/>
      <c r="FH3" s="739"/>
      <c r="FI3" s="739"/>
      <c r="FJ3" s="739"/>
      <c r="FK3" s="739"/>
      <c r="FL3" s="739"/>
      <c r="FM3" s="739"/>
      <c r="FN3" s="739"/>
      <c r="FO3" s="739"/>
      <c r="FP3" s="739"/>
      <c r="FQ3" s="739"/>
      <c r="FR3" s="739"/>
      <c r="FS3" s="739"/>
      <c r="FT3" s="739"/>
      <c r="FU3" s="739"/>
      <c r="FV3" s="739"/>
      <c r="FW3" s="739"/>
      <c r="FX3" s="739"/>
      <c r="FY3" s="739"/>
      <c r="FZ3" s="739"/>
      <c r="GA3" s="739"/>
      <c r="GB3" s="739"/>
      <c r="GC3" s="739"/>
      <c r="GD3" s="739"/>
      <c r="GE3" s="739"/>
      <c r="GF3" s="739"/>
      <c r="GG3" s="739"/>
      <c r="GH3" s="739"/>
      <c r="GI3" s="739"/>
      <c r="GJ3" s="739"/>
      <c r="GK3" s="739"/>
      <c r="GL3" s="739"/>
      <c r="GM3" s="739"/>
      <c r="GN3" s="739"/>
      <c r="GO3" s="739"/>
      <c r="GP3" s="739"/>
      <c r="GQ3" s="739"/>
      <c r="GR3" s="739"/>
      <c r="GS3" s="739"/>
      <c r="GT3" s="739"/>
      <c r="GU3" s="739"/>
      <c r="GV3" s="739"/>
      <c r="GW3" s="739"/>
      <c r="GX3" s="739"/>
      <c r="GY3" s="739"/>
      <c r="GZ3" s="739"/>
      <c r="HA3" s="739"/>
      <c r="HB3" s="739"/>
      <c r="HC3" s="739"/>
      <c r="HD3" s="739"/>
      <c r="HE3" s="739"/>
      <c r="HF3" s="739"/>
      <c r="HG3" s="739"/>
      <c r="HH3" s="739"/>
      <c r="HI3" s="739"/>
      <c r="HJ3" s="739"/>
      <c r="HK3" s="739"/>
      <c r="HL3" s="739"/>
      <c r="HM3" s="739"/>
      <c r="HN3" s="739"/>
      <c r="HO3" s="739"/>
      <c r="HP3" s="739"/>
      <c r="HQ3" s="739"/>
      <c r="HR3" s="739"/>
      <c r="HS3" s="739"/>
      <c r="HT3" s="739"/>
      <c r="HU3" s="739"/>
      <c r="HV3" s="739"/>
      <c r="HW3" s="739"/>
      <c r="HX3" s="739"/>
      <c r="HY3" s="739"/>
      <c r="HZ3" s="739"/>
      <c r="IA3" s="739"/>
      <c r="IB3" s="739"/>
      <c r="IC3" s="739"/>
      <c r="ID3" s="739"/>
      <c r="IE3" s="739"/>
      <c r="IF3" s="739"/>
      <c r="IG3" s="739"/>
      <c r="IH3" s="739"/>
      <c r="II3" s="739"/>
      <c r="IJ3" s="739"/>
      <c r="IK3" s="739"/>
      <c r="IL3" s="739"/>
      <c r="IM3" s="739"/>
      <c r="IN3" s="739"/>
      <c r="IO3" s="739"/>
      <c r="IP3" s="739"/>
      <c r="IQ3" s="739"/>
      <c r="IR3" s="739"/>
      <c r="IS3" s="739"/>
      <c r="IT3" s="739"/>
      <c r="IU3" s="739"/>
      <c r="IV3" s="739"/>
      <c r="IW3" s="1023">
        <v>0</v>
      </c>
    </row>
    <row s="46905" customFormat="1" customHeight="1" ht="14.699999999999998">
      <c r="A4" s="1667"/>
      <c r="B4" s="1672"/>
      <c r="C4" s="1667"/>
      <c r="D4" s="2007"/>
      <c r="E4" s="1021"/>
      <c r="F4" s="1021"/>
      <c r="G4" s="1021"/>
      <c r="H4" s="1021"/>
      <c r="I4" s="1021"/>
      <c r="J4" s="1021"/>
      <c r="K4" s="1021"/>
      <c r="L4" s="678"/>
      <c r="M4" s="759"/>
      <c r="N4" s="1012"/>
      <c r="O4" s="1012"/>
      <c r="P4" s="1012"/>
      <c r="Q4" s="738"/>
      <c r="R4" s="1012"/>
      <c r="S4" s="737"/>
      <c r="T4" s="737"/>
      <c r="U4" s="737"/>
      <c r="V4" s="737"/>
      <c r="IW4" s="1019">
        <v>14</v>
      </c>
    </row>
    <row s="46905" customFormat="1" customHeight="1" ht="27.299999999999997">
      <c r="A5" s="1667"/>
      <c r="B5" s="1672"/>
      <c r="C5" s="1667"/>
      <c r="D5" s="2007"/>
      <c r="E5" s="2612"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612"/>
      <c r="G5" s="2612"/>
      <c r="H5" s="2612"/>
      <c r="I5" s="2612"/>
      <c r="J5" s="2612"/>
      <c r="K5" s="2612"/>
      <c r="L5" s="1100"/>
      <c r="M5" s="759"/>
      <c r="N5" s="1012"/>
      <c r="O5" s="1012"/>
      <c r="P5" s="1012"/>
      <c r="Q5" s="738"/>
      <c r="R5" s="1012"/>
      <c r="S5" s="737"/>
      <c r="T5" s="737"/>
      <c r="U5" s="737"/>
      <c r="V5" s="737"/>
      <c r="IW5" s="1019">
        <v>26</v>
      </c>
    </row>
    <row s="46905" customFormat="1" customHeight="1" ht="14.699999999999998">
      <c r="A6" s="1667"/>
      <c r="B6" s="1672"/>
      <c r="C6" s="1667"/>
      <c r="D6" s="2007"/>
      <c r="E6" s="1021"/>
      <c r="F6" s="679"/>
      <c r="G6" s="679"/>
      <c r="H6" s="679"/>
      <c r="I6" s="679"/>
      <c r="J6" s="679"/>
      <c r="K6" s="679"/>
      <c r="L6" s="680"/>
      <c r="M6" s="1012"/>
      <c r="N6" s="1012"/>
      <c r="O6" s="1012"/>
      <c r="P6" s="1012"/>
      <c r="Q6" s="738"/>
      <c r="R6" s="1012"/>
      <c r="S6" s="737"/>
      <c r="T6" s="737"/>
      <c r="U6" s="737"/>
      <c r="V6" s="737"/>
      <c r="IW6" s="1019">
        <v>14</v>
      </c>
    </row>
    <row s="46905" customFormat="1" customHeight="1" ht="14.699999999999998">
      <c r="A7" s="1667"/>
      <c r="B7" s="1672"/>
      <c r="C7" s="1667"/>
      <c r="D7" s="2007"/>
      <c r="E7" s="2613" t="s">
        <v>418</v>
      </c>
      <c r="F7" s="2614"/>
      <c r="G7" s="2614"/>
      <c r="H7" s="2614"/>
      <c r="I7" s="2614"/>
      <c r="J7" s="2614"/>
      <c r="K7" s="2614"/>
      <c r="L7" s="2986" t="s">
        <v>419</v>
      </c>
      <c r="M7" s="1012"/>
      <c r="N7" s="1012"/>
      <c r="O7" s="1012"/>
      <c r="P7" s="1012"/>
      <c r="Q7" s="738"/>
      <c r="R7" s="1012"/>
      <c r="S7" s="737"/>
      <c r="T7" s="737"/>
      <c r="U7" s="737"/>
      <c r="V7" s="737"/>
      <c r="IW7" s="1019">
        <v>14</v>
      </c>
    </row>
    <row s="46905" customFormat="1" customHeight="1" ht="67.2">
      <c r="A8" s="1667"/>
      <c r="B8" s="1672"/>
      <c r="C8" s="1667"/>
      <c r="D8" s="2007"/>
      <c r="E8" s="2990" t="s">
        <v>90</v>
      </c>
      <c r="F8" s="2990"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992"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993"/>
      <c r="I8" s="2994"/>
      <c r="J8" s="2990"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99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988"/>
      <c r="M8" s="1012"/>
      <c r="N8" s="1012"/>
      <c r="O8" s="1012"/>
      <c r="P8" s="1012"/>
      <c r="Q8" s="738"/>
      <c r="R8" s="1012"/>
      <c r="S8" s="737"/>
      <c r="T8" s="737"/>
      <c r="U8" s="737"/>
      <c r="V8" s="737"/>
      <c r="IW8" s="1019">
        <v>64</v>
      </c>
    </row>
    <row s="46905" customFormat="1" customHeight="1" ht="29.25">
      <c r="A9" s="1667"/>
      <c r="B9" s="1672"/>
      <c r="C9" s="1667"/>
      <c r="D9" s="2007"/>
      <c r="E9" s="2991"/>
      <c r="F9" s="2991"/>
      <c r="G9" s="2049" t="s">
        <v>1995</v>
      </c>
      <c r="H9" s="2049" t="s">
        <v>1996</v>
      </c>
      <c r="I9" s="2049" t="s">
        <v>1997</v>
      </c>
      <c r="J9" s="2991"/>
      <c r="K9" s="2991"/>
      <c r="L9" s="2987"/>
      <c r="M9" s="1012"/>
      <c r="N9" s="1012"/>
      <c r="O9" s="1012"/>
      <c r="P9" s="1012"/>
      <c r="Q9" s="738"/>
      <c r="R9" s="1012"/>
      <c r="S9" s="737"/>
      <c r="T9" s="737"/>
      <c r="U9" s="737"/>
      <c r="V9" s="737"/>
      <c r="IW9" s="1019">
        <v>28</v>
      </c>
    </row>
    <row s="46950" customFormat="1" customHeight="1" ht="23.25">
      <c r="A10" s="2611"/>
      <c r="B10" s="1672">
        <v>1</v>
      </c>
      <c r="C10" s="1672"/>
      <c r="D10" s="1312"/>
      <c r="E10" s="1310">
        <v>1</v>
      </c>
      <c r="F10" s="2051" t="str">
        <f>IF(ROIV_INFO_NAME="","",ROIV_INFO_NAME)</f>
        <v>КГУП "Примтеплоэнерго"</v>
      </c>
      <c r="G10" s="2244" t="s">
        <v>28</v>
      </c>
      <c r="H10" s="2428"/>
      <c r="I10" s="2046"/>
      <c r="J10" s="1330"/>
      <c r="K10" s="1330"/>
      <c r="L10" s="294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2047">
        <f>MERGEVALUE(F10)</f>
      </c>
      <c r="N10" s="1023"/>
      <c r="O10" s="1023"/>
      <c r="P10" s="1012" t="str">
        <f t="array" ref="P10:P10">IF(ISERROR(MATCH(MID(Q10,1,250),MID(note_ter,1,250),0)),"n","y")</f>
        <v>n</v>
      </c>
      <c r="Q10" s="1023"/>
      <c r="R10" s="1012"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672"/>
      <c r="T10" s="1672"/>
      <c r="U10" s="932"/>
      <c r="V10" s="1672"/>
      <c r="W10" s="1672"/>
      <c r="X10" s="1672"/>
      <c r="Y10" s="934"/>
      <c r="Z10" s="934"/>
      <c r="AA10" s="931"/>
      <c r="AB10" s="931"/>
      <c r="AC10" s="931"/>
      <c r="AD10" s="931"/>
      <c r="AE10" s="931"/>
      <c r="AF10" s="931"/>
      <c r="AG10" s="931"/>
      <c r="AH10" s="931"/>
      <c r="AI10" s="931"/>
      <c r="AJ10" s="931"/>
      <c r="AK10" s="931"/>
      <c r="AL10" s="931"/>
      <c r="AM10" s="931"/>
      <c r="AN10" s="931"/>
      <c r="AO10" s="931"/>
      <c r="AP10" s="931"/>
      <c r="AQ10" s="931"/>
      <c r="AR10" s="931"/>
      <c r="AS10" s="931"/>
      <c r="AT10" s="931"/>
      <c r="AU10" s="931"/>
      <c r="AV10" s="931"/>
      <c r="AW10" s="931"/>
      <c r="AX10" s="931"/>
      <c r="AY10" s="931"/>
      <c r="AZ10" s="931"/>
      <c r="BA10" s="931"/>
      <c r="BB10" s="931"/>
      <c r="BC10" s="931"/>
      <c r="BD10" s="931"/>
      <c r="BE10" s="931"/>
      <c r="BF10" s="931"/>
      <c r="BG10" s="931"/>
      <c r="BH10" s="931"/>
      <c r="BI10" s="931"/>
      <c r="BJ10" s="931"/>
      <c r="BK10" s="931"/>
      <c r="BL10" s="931"/>
      <c r="BM10" s="931"/>
      <c r="BN10" s="931"/>
      <c r="BO10" s="931"/>
      <c r="BP10" s="931"/>
      <c r="BQ10" s="931"/>
      <c r="BR10" s="931"/>
      <c r="BS10" s="931"/>
      <c r="BT10" s="931"/>
      <c r="BU10" s="931"/>
      <c r="BV10" s="934"/>
      <c r="BW10" s="934"/>
      <c r="BX10" s="934"/>
      <c r="BY10" s="934"/>
      <c r="BZ10" s="934"/>
      <c r="CA10" s="934"/>
      <c r="CB10" s="934"/>
      <c r="CC10" s="934"/>
      <c r="CD10" s="934"/>
      <c r="CE10" s="934"/>
      <c r="IW10" s="935">
        <v>22</v>
      </c>
    </row>
    <row s="46950" customFormat="1" customHeight="1" ht="15.75">
      <c r="A11" s="2611"/>
      <c r="B11" s="1672"/>
      <c r="C11" s="924"/>
      <c r="D11" s="1313"/>
      <c r="E11" s="933"/>
      <c r="F11" s="928" t="s">
        <v>1998</v>
      </c>
      <c r="G11" s="699"/>
      <c r="H11" s="699"/>
      <c r="I11" s="699"/>
      <c r="J11" s="699"/>
      <c r="K11" s="936"/>
      <c r="L11" s="2989"/>
      <c r="M11" s="2048"/>
      <c r="N11" s="1023"/>
      <c r="O11" s="1023"/>
      <c r="P11" s="1023"/>
      <c r="Q11" s="1012"/>
      <c r="R11" s="1023"/>
      <c r="S11" s="1672"/>
      <c r="T11" s="1672"/>
      <c r="U11" s="932"/>
      <c r="V11" s="1672"/>
      <c r="W11" s="1672"/>
      <c r="X11" s="1672"/>
      <c r="Y11" s="934"/>
      <c r="Z11" s="934"/>
      <c r="AA11" s="931"/>
      <c r="AB11" s="931"/>
      <c r="AC11" s="931"/>
      <c r="AD11" s="931"/>
      <c r="AE11" s="931"/>
      <c r="AF11" s="931"/>
      <c r="AG11" s="931"/>
      <c r="AH11" s="931"/>
      <c r="AI11" s="931"/>
      <c r="AJ11" s="931"/>
      <c r="AK11" s="931"/>
      <c r="AL11" s="931"/>
      <c r="AM11" s="931"/>
      <c r="AN11" s="931"/>
      <c r="AO11" s="931"/>
      <c r="AP11" s="931"/>
      <c r="AQ11" s="931"/>
      <c r="AR11" s="931"/>
      <c r="AS11" s="931"/>
      <c r="AT11" s="931"/>
      <c r="AU11" s="931"/>
      <c r="AV11" s="931"/>
      <c r="AW11" s="931"/>
      <c r="AX11" s="931"/>
      <c r="AY11" s="931"/>
      <c r="AZ11" s="931"/>
      <c r="BA11" s="931"/>
      <c r="BB11" s="931"/>
      <c r="BC11" s="931"/>
      <c r="BD11" s="931"/>
      <c r="BE11" s="931"/>
      <c r="BF11" s="931"/>
      <c r="BG11" s="931"/>
      <c r="BH11" s="931"/>
      <c r="BI11" s="931"/>
      <c r="BJ11" s="931"/>
      <c r="BK11" s="931"/>
      <c r="BL11" s="931"/>
      <c r="BM11" s="931"/>
      <c r="BN11" s="931"/>
      <c r="BO11" s="931"/>
      <c r="BP11" s="931"/>
      <c r="BQ11" s="931"/>
      <c r="BR11" s="931"/>
      <c r="BS11" s="931"/>
      <c r="BT11" s="931"/>
      <c r="BU11" s="931"/>
      <c r="BV11" s="934"/>
      <c r="BW11" s="934"/>
      <c r="BX11" s="934"/>
      <c r="BY11" s="934"/>
      <c r="BZ11" s="934"/>
      <c r="CA11" s="934"/>
      <c r="CB11" s="934"/>
      <c r="CC11" s="934"/>
      <c r="CD11" s="934"/>
      <c r="CE11" s="934"/>
      <c r="IW11" s="935">
        <v>15</v>
      </c>
    </row>
    <row s="46905" customFormat="1" customHeight="1" ht="22.049999999999997">
      <c r="A12" s="1667"/>
      <c r="B12" s="1672"/>
      <c r="C12" s="1667"/>
      <c r="D12" s="963"/>
      <c r="E12" s="692"/>
      <c r="F12" s="692"/>
      <c r="G12" s="692"/>
      <c r="H12" s="692"/>
      <c r="I12" s="692"/>
      <c r="J12" s="692"/>
      <c r="K12" s="692"/>
      <c r="L12" s="692"/>
      <c r="M12" s="1012"/>
      <c r="N12" s="1012"/>
      <c r="O12" s="1012"/>
      <c r="P12" s="1012"/>
      <c r="Q12" s="738"/>
      <c r="R12" s="1012"/>
      <c r="S12" s="737"/>
      <c r="T12" s="737"/>
      <c r="U12" s="737"/>
      <c r="V12" s="737"/>
      <c r="IW12" s="1019">
        <v>21</v>
      </c>
    </row>
    <row s="46905" customFormat="1" customHeight="1" ht="14.699999999999998">
      <c r="A13" s="1667"/>
      <c r="B13" s="1672"/>
      <c r="C13" s="1667"/>
      <c r="D13" s="963"/>
      <c r="E13" s="1667"/>
      <c r="F13" s="1667"/>
      <c r="G13" s="1667"/>
      <c r="H13" s="1667"/>
      <c r="I13" s="1667"/>
      <c r="J13" s="1667"/>
      <c r="K13" s="1667"/>
      <c r="L13" s="1667"/>
      <c r="M13" s="1012"/>
      <c r="N13" s="1012"/>
      <c r="O13" s="1012"/>
      <c r="P13" s="1012"/>
      <c r="Q13" s="738"/>
      <c r="R13" s="1012"/>
      <c r="S13" s="737"/>
      <c r="T13" s="737"/>
      <c r="U13" s="737"/>
      <c r="V13" s="737"/>
      <c r="IW13" s="1019">
        <v>14</v>
      </c>
    </row>
    <row s="46905" customFormat="1" customHeight="1" ht="1.05">
      <c r="A14" s="1667"/>
      <c r="B14" s="1672"/>
      <c r="C14" s="1667"/>
      <c r="D14" s="963"/>
      <c r="E14" s="1667"/>
      <c r="F14" s="1667"/>
      <c r="G14" s="1667"/>
      <c r="H14" s="1667"/>
      <c r="I14" s="1667"/>
      <c r="J14" s="1667"/>
      <c r="K14" s="1667"/>
      <c r="L14" s="1667"/>
      <c r="M14" s="1012"/>
      <c r="N14" s="1012"/>
      <c r="O14" s="1012"/>
      <c r="P14" s="1012"/>
      <c r="Q14" s="738"/>
      <c r="R14" s="1012"/>
      <c r="S14" s="737"/>
      <c r="T14" s="737"/>
      <c r="U14" s="737"/>
      <c r="V14" s="737"/>
      <c r="IW14" s="1019">
        <v>1</v>
      </c>
    </row>
    <row customHeight="1" ht="22.5" hidden="1">
      <c r="A15" s="1667" t="s">
        <v>84</v>
      </c>
      <c r="B15" s="1672">
        <v>0</v>
      </c>
      <c r="C15" s="1667">
        <v>0</v>
      </c>
      <c r="D15" s="963">
        <v>3</v>
      </c>
      <c r="E15" s="1667">
        <v>6</v>
      </c>
      <c r="F15" s="1667">
        <v>27</v>
      </c>
      <c r="G15" s="1667">
        <v>16</v>
      </c>
      <c r="H15" s="1667">
        <v>12</v>
      </c>
      <c r="I15" s="1667">
        <v>32</v>
      </c>
      <c r="J15" s="1667">
        <v>41</v>
      </c>
      <c r="K15" s="1667">
        <v>41</v>
      </c>
      <c r="L15" s="1667">
        <v>89</v>
      </c>
      <c r="M15" s="1012">
        <v>3</v>
      </c>
      <c r="N15" s="1012">
        <v>8</v>
      </c>
      <c r="O15" s="1012">
        <v>8</v>
      </c>
      <c r="P15" s="1012">
        <v>8</v>
      </c>
      <c r="Q15" s="738">
        <v>25</v>
      </c>
      <c r="R15" s="1012">
        <v>14</v>
      </c>
      <c r="S15" s="737">
        <v>8</v>
      </c>
      <c r="T15" s="737">
        <v>8</v>
      </c>
      <c r="U15" s="737">
        <v>8</v>
      </c>
      <c r="V15" s="737">
        <v>8</v>
      </c>
      <c r="W15" s="1667">
        <v>8</v>
      </c>
      <c r="X15" s="1667">
        <v>8</v>
      </c>
      <c r="Y15" s="1667">
        <v>8</v>
      </c>
      <c r="Z15" s="1667">
        <v>8</v>
      </c>
      <c r="AA15" s="1667">
        <v>8</v>
      </c>
      <c r="AB15" s="1667">
        <v>8</v>
      </c>
      <c r="AC15" s="1667">
        <v>8</v>
      </c>
      <c r="AD15" s="1667">
        <v>8</v>
      </c>
      <c r="AE15" s="1667">
        <v>8</v>
      </c>
      <c r="AF15" s="1667">
        <v>8</v>
      </c>
      <c r="AG15" s="1667">
        <v>8</v>
      </c>
      <c r="AH15" s="1667">
        <v>8</v>
      </c>
      <c r="AI15" s="1667">
        <v>8</v>
      </c>
      <c r="AJ15" s="1667">
        <v>8</v>
      </c>
      <c r="AK15" s="1667">
        <v>8</v>
      </c>
      <c r="AL15" s="1667">
        <v>8</v>
      </c>
      <c r="AM15" s="1667">
        <v>8</v>
      </c>
      <c r="AN15" s="1667">
        <v>8</v>
      </c>
      <c r="AO15" s="1667">
        <v>8</v>
      </c>
      <c r="AP15" s="1667">
        <v>8</v>
      </c>
      <c r="AQ15" s="1667">
        <v>8</v>
      </c>
      <c r="AR15" s="1667">
        <v>8</v>
      </c>
      <c r="AS15" s="1667">
        <v>8</v>
      </c>
      <c r="AT15" s="1667">
        <v>8</v>
      </c>
      <c r="AU15" s="1667">
        <v>8</v>
      </c>
      <c r="AV15" s="1667">
        <v>8</v>
      </c>
      <c r="AW15" s="1667">
        <v>8</v>
      </c>
      <c r="AX15" s="1667">
        <v>8</v>
      </c>
      <c r="AY15" s="1667">
        <v>8</v>
      </c>
      <c r="AZ15" s="1667">
        <v>8</v>
      </c>
      <c r="BA15" s="1667">
        <v>8</v>
      </c>
      <c r="BB15" s="1667">
        <v>8</v>
      </c>
      <c r="BC15" s="1667">
        <v>8</v>
      </c>
      <c r="BD15" s="1667">
        <v>8</v>
      </c>
      <c r="BE15" s="1667">
        <v>8</v>
      </c>
      <c r="BF15" s="1667">
        <v>8</v>
      </c>
      <c r="BG15" s="1667">
        <v>8</v>
      </c>
      <c r="BH15" s="1667">
        <v>8</v>
      </c>
      <c r="BI15" s="1667">
        <v>8</v>
      </c>
      <c r="BJ15" s="1667">
        <v>8</v>
      </c>
      <c r="BK15" s="1667">
        <v>8</v>
      </c>
      <c r="BL15" s="1667">
        <v>8</v>
      </c>
      <c r="BM15" s="1667">
        <v>8</v>
      </c>
      <c r="BN15" s="1667">
        <v>8</v>
      </c>
      <c r="BO15" s="1667">
        <v>8</v>
      </c>
      <c r="BP15" s="1667">
        <v>8</v>
      </c>
      <c r="BQ15" s="1667">
        <v>8</v>
      </c>
      <c r="BR15" s="1667">
        <v>8</v>
      </c>
      <c r="BS15" s="1667">
        <v>8</v>
      </c>
      <c r="BT15" s="1667">
        <v>8</v>
      </c>
      <c r="BU15" s="1667">
        <v>8</v>
      </c>
      <c r="BV15" s="1667">
        <v>8</v>
      </c>
      <c r="BW15" s="1667">
        <v>8</v>
      </c>
      <c r="BX15" s="1667">
        <v>8</v>
      </c>
      <c r="BY15" s="1667">
        <v>8</v>
      </c>
      <c r="BZ15" s="1667">
        <v>8</v>
      </c>
      <c r="CA15" s="1667">
        <v>8</v>
      </c>
      <c r="CB15" s="1667">
        <v>8</v>
      </c>
      <c r="CC15" s="1667">
        <v>8</v>
      </c>
      <c r="CD15" s="1667">
        <v>8</v>
      </c>
      <c r="CE15" s="1667">
        <v>8</v>
      </c>
      <c r="CF15" s="1667">
        <v>8</v>
      </c>
      <c r="CG15" s="1667">
        <v>8</v>
      </c>
      <c r="CH15" s="1667">
        <v>8</v>
      </c>
      <c r="CI15" s="1667">
        <v>8</v>
      </c>
      <c r="CJ15" s="1667">
        <v>8</v>
      </c>
      <c r="CK15" s="1667">
        <v>8</v>
      </c>
      <c r="CL15" s="1667">
        <v>8</v>
      </c>
      <c r="CM15" s="1667">
        <v>8</v>
      </c>
      <c r="CN15" s="1667">
        <v>8</v>
      </c>
      <c r="CO15" s="1667">
        <v>8</v>
      </c>
      <c r="CP15" s="1667">
        <v>8</v>
      </c>
      <c r="CQ15" s="1667">
        <v>8</v>
      </c>
      <c r="CR15" s="1667">
        <v>8</v>
      </c>
      <c r="CS15" s="1667">
        <v>8</v>
      </c>
      <c r="CT15" s="1667">
        <v>8</v>
      </c>
      <c r="CU15" s="1667">
        <v>8</v>
      </c>
      <c r="CV15" s="1667">
        <v>8</v>
      </c>
      <c r="CW15" s="1667">
        <v>8</v>
      </c>
      <c r="CX15" s="1667">
        <v>8</v>
      </c>
      <c r="CY15" s="1667">
        <v>8</v>
      </c>
      <c r="CZ15" s="1667">
        <v>8</v>
      </c>
      <c r="DA15" s="1667">
        <v>8</v>
      </c>
      <c r="DB15" s="1667">
        <v>8</v>
      </c>
      <c r="DC15" s="1667">
        <v>8</v>
      </c>
      <c r="DD15" s="1667">
        <v>8</v>
      </c>
      <c r="DE15" s="1667">
        <v>8</v>
      </c>
      <c r="DF15" s="1667">
        <v>8</v>
      </c>
      <c r="DG15" s="1667">
        <v>8</v>
      </c>
      <c r="DH15" s="1667">
        <v>8</v>
      </c>
      <c r="DI15" s="1667">
        <v>8</v>
      </c>
      <c r="DJ15" s="1667">
        <v>8</v>
      </c>
      <c r="DK15" s="1667">
        <v>8</v>
      </c>
      <c r="DL15" s="1667">
        <v>8</v>
      </c>
      <c r="DM15" s="1667">
        <v>8</v>
      </c>
      <c r="DN15" s="1667">
        <v>8</v>
      </c>
      <c r="DO15" s="1667">
        <v>8</v>
      </c>
      <c r="DP15" s="1667">
        <v>8</v>
      </c>
      <c r="DQ15" s="1667">
        <v>8</v>
      </c>
      <c r="DR15" s="1667">
        <v>8</v>
      </c>
      <c r="DS15" s="1667">
        <v>8</v>
      </c>
      <c r="DT15" s="1667">
        <v>8</v>
      </c>
      <c r="DU15" s="1667">
        <v>8</v>
      </c>
      <c r="DV15" s="1667">
        <v>8</v>
      </c>
      <c r="DW15" s="1667">
        <v>8</v>
      </c>
      <c r="DX15" s="1667">
        <v>8</v>
      </c>
      <c r="DY15" s="1667">
        <v>8</v>
      </c>
      <c r="DZ15" s="1667">
        <v>8</v>
      </c>
      <c r="EA15" s="1667">
        <v>8</v>
      </c>
      <c r="EB15" s="1667">
        <v>8</v>
      </c>
      <c r="EC15" s="1667">
        <v>8</v>
      </c>
      <c r="ED15" s="1667">
        <v>8</v>
      </c>
      <c r="EE15" s="1667">
        <v>8</v>
      </c>
      <c r="EF15" s="1667">
        <v>8</v>
      </c>
      <c r="EG15" s="1667">
        <v>8</v>
      </c>
      <c r="EH15" s="1667">
        <v>8</v>
      </c>
      <c r="EI15" s="1667">
        <v>8</v>
      </c>
      <c r="EJ15" s="1667">
        <v>8</v>
      </c>
      <c r="EK15" s="1667">
        <v>8</v>
      </c>
      <c r="EL15" s="1667">
        <v>8</v>
      </c>
      <c r="EM15" s="1667">
        <v>8</v>
      </c>
      <c r="EN15" s="1667">
        <v>8</v>
      </c>
      <c r="EO15" s="1667">
        <v>8</v>
      </c>
      <c r="EP15" s="1667">
        <v>8</v>
      </c>
      <c r="EQ15" s="1667">
        <v>8</v>
      </c>
      <c r="ER15" s="1667">
        <v>8</v>
      </c>
      <c r="ES15" s="1667">
        <v>8</v>
      </c>
      <c r="ET15" s="1667">
        <v>8</v>
      </c>
      <c r="EU15" s="1667">
        <v>8</v>
      </c>
      <c r="EV15" s="1667">
        <v>8</v>
      </c>
      <c r="EW15" s="1667">
        <v>8</v>
      </c>
      <c r="EX15" s="1667">
        <v>8</v>
      </c>
      <c r="EY15" s="1667">
        <v>8</v>
      </c>
      <c r="EZ15" s="1667">
        <v>8</v>
      </c>
      <c r="FA15" s="1667">
        <v>8</v>
      </c>
      <c r="FB15" s="1667">
        <v>8</v>
      </c>
      <c r="FC15" s="1667">
        <v>8</v>
      </c>
      <c r="FD15" s="1667">
        <v>8</v>
      </c>
      <c r="FE15" s="1667">
        <v>8</v>
      </c>
      <c r="FF15" s="1667">
        <v>8</v>
      </c>
      <c r="FG15" s="1667">
        <v>8</v>
      </c>
      <c r="FH15" s="1667">
        <v>8</v>
      </c>
      <c r="FI15" s="1667">
        <v>8</v>
      </c>
      <c r="FJ15" s="1667">
        <v>8</v>
      </c>
      <c r="FK15" s="1667">
        <v>8</v>
      </c>
      <c r="FL15" s="1667">
        <v>8</v>
      </c>
      <c r="FM15" s="1667">
        <v>8</v>
      </c>
      <c r="FN15" s="1667">
        <v>8</v>
      </c>
      <c r="FO15" s="1667">
        <v>8</v>
      </c>
      <c r="FP15" s="1667">
        <v>8</v>
      </c>
      <c r="FQ15" s="1667">
        <v>8</v>
      </c>
      <c r="FR15" s="1667">
        <v>8</v>
      </c>
      <c r="FS15" s="1667">
        <v>8</v>
      </c>
      <c r="FT15" s="1667">
        <v>8</v>
      </c>
      <c r="FU15" s="1667">
        <v>8</v>
      </c>
      <c r="FV15" s="1667">
        <v>8</v>
      </c>
      <c r="FW15" s="1667">
        <v>8</v>
      </c>
      <c r="FX15" s="1667">
        <v>8</v>
      </c>
      <c r="FY15" s="1667">
        <v>8</v>
      </c>
      <c r="FZ15" s="1667">
        <v>8</v>
      </c>
      <c r="GA15" s="1667">
        <v>8</v>
      </c>
      <c r="GB15" s="1667">
        <v>8</v>
      </c>
      <c r="GC15" s="1667">
        <v>8</v>
      </c>
      <c r="GD15" s="1667">
        <v>8</v>
      </c>
      <c r="GE15" s="1667">
        <v>8</v>
      </c>
      <c r="GF15" s="1667">
        <v>8</v>
      </c>
      <c r="GG15" s="1667">
        <v>8</v>
      </c>
      <c r="GH15" s="1667">
        <v>8</v>
      </c>
      <c r="GI15" s="1667">
        <v>8</v>
      </c>
      <c r="GJ15" s="1667">
        <v>8</v>
      </c>
      <c r="GK15" s="1667">
        <v>8</v>
      </c>
      <c r="GL15" s="1667">
        <v>8</v>
      </c>
      <c r="GM15" s="1667">
        <v>8</v>
      </c>
      <c r="GN15" s="1667">
        <v>8</v>
      </c>
      <c r="GO15" s="1667">
        <v>8</v>
      </c>
      <c r="GP15" s="1667">
        <v>8</v>
      </c>
      <c r="GQ15" s="1667">
        <v>8</v>
      </c>
      <c r="GR15" s="1667">
        <v>8</v>
      </c>
      <c r="GS15" s="1667">
        <v>8</v>
      </c>
      <c r="GT15" s="1667">
        <v>8</v>
      </c>
      <c r="GU15" s="1667">
        <v>8</v>
      </c>
      <c r="GV15" s="1667">
        <v>8</v>
      </c>
      <c r="GW15" s="1667">
        <v>8</v>
      </c>
      <c r="GX15" s="1667">
        <v>8</v>
      </c>
      <c r="GY15" s="1667">
        <v>8</v>
      </c>
      <c r="GZ15" s="1667">
        <v>8</v>
      </c>
      <c r="HA15" s="1667">
        <v>8</v>
      </c>
      <c r="HB15" s="1667">
        <v>8</v>
      </c>
      <c r="HC15" s="1667">
        <v>8</v>
      </c>
      <c r="HD15" s="1667">
        <v>8</v>
      </c>
      <c r="HE15" s="1667">
        <v>8</v>
      </c>
      <c r="HF15" s="1667">
        <v>8</v>
      </c>
      <c r="HG15" s="1667">
        <v>8</v>
      </c>
      <c r="HH15" s="1667">
        <v>8</v>
      </c>
      <c r="HI15" s="1667">
        <v>8</v>
      </c>
      <c r="HJ15" s="1667">
        <v>8</v>
      </c>
      <c r="HK15" s="1667">
        <v>8</v>
      </c>
      <c r="HL15" s="1667">
        <v>8</v>
      </c>
      <c r="HM15" s="1667">
        <v>8</v>
      </c>
      <c r="HN15" s="1667">
        <v>8</v>
      </c>
      <c r="HO15" s="1667">
        <v>8</v>
      </c>
      <c r="HP15" s="1667">
        <v>8</v>
      </c>
      <c r="HQ15" s="1667">
        <v>8</v>
      </c>
      <c r="HR15" s="1667">
        <v>8</v>
      </c>
      <c r="HS15" s="1667">
        <v>8</v>
      </c>
      <c r="HT15" s="1667">
        <v>8</v>
      </c>
      <c r="HU15" s="1667">
        <v>8</v>
      </c>
      <c r="HV15" s="1667">
        <v>8</v>
      </c>
      <c r="HW15" s="1667">
        <v>8</v>
      </c>
      <c r="HX15" s="1667">
        <v>8</v>
      </c>
      <c r="HY15" s="1667">
        <v>8</v>
      </c>
      <c r="HZ15" s="1667">
        <v>8</v>
      </c>
      <c r="IA15" s="1667">
        <v>8</v>
      </c>
      <c r="IB15" s="1667">
        <v>8</v>
      </c>
      <c r="IC15" s="1667">
        <v>8</v>
      </c>
      <c r="ID15" s="1667">
        <v>8</v>
      </c>
      <c r="IE15" s="1667">
        <v>8</v>
      </c>
      <c r="IF15" s="1667">
        <v>8</v>
      </c>
      <c r="IG15" s="1667">
        <v>8</v>
      </c>
      <c r="IH15" s="1667">
        <v>8</v>
      </c>
      <c r="II15" s="1667">
        <v>8</v>
      </c>
      <c r="IJ15" s="1667">
        <v>8</v>
      </c>
      <c r="IK15" s="1667">
        <v>8</v>
      </c>
      <c r="IL15" s="1667">
        <v>8</v>
      </c>
      <c r="IM15" s="1667">
        <v>8</v>
      </c>
      <c r="IN15" s="1667">
        <v>8</v>
      </c>
      <c r="IO15" s="1667">
        <v>8</v>
      </c>
      <c r="IP15" s="1667">
        <v>8</v>
      </c>
      <c r="IQ15" s="1667">
        <v>8</v>
      </c>
      <c r="IR15" s="1667">
        <v>8</v>
      </c>
      <c r="IS15" s="1667">
        <v>8</v>
      </c>
      <c r="IT15" s="1667">
        <v>8</v>
      </c>
      <c r="IU15" s="1667">
        <v>8</v>
      </c>
      <c r="IV15" s="1667">
        <v>8</v>
      </c>
      <c r="IW15" s="1667">
        <v>23</v>
      </c>
    </row>
  </sheetData>
  <sheetProtection formatColumns="0" formatRows="0" autoFilter="0" sort="0" insertRows="0" insertColumns="1" deleteRows="0" deleteColumns="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0.9993055555555556</formula2>
    </dataValidation>
    <dataValidation type="textLength" operator="lessThanOrEqual" allowBlank="1" showInputMessage="1" showErrorMessage="1" sqref="I10 I2">
      <formula1>990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DEB2396-03BE-A8C9-4B0E-0F808208381D}" mc:Ignorable="x14ac xr xr2 xr3">
  <dimension ref="A1:IW15"/>
  <sheetViews>
    <sheetView topLeftCell="A1" showGridLines="0" zoomScale="90" workbookViewId="0">
      <selection activeCell="A1" sqref="A1"/>
    </sheetView>
  </sheetViews>
  <sheetFormatPr defaultColWidth="9.140625" customHeight="1" defaultRowHeight="14.25"/>
  <cols>
    <col min="1" max="1" style="46808" width="9.140625" hidden="1"/>
    <col min="2" max="2" style="46889" width="9.140625" hidden="1"/>
    <col min="3" max="3" style="46808" width="3.7109375" hidden="1" customWidth="1"/>
    <col min="4" max="4" style="46988" width="3.00390625" customWidth="1"/>
    <col min="5" max="5" style="46808" width="6.00390625" customWidth="1"/>
    <col min="6" max="6" style="46808" width="27.00390625" customWidth="1"/>
    <col min="7" max="7" style="46808" width="16.00390625" customWidth="1"/>
    <col min="8" max="8" style="46808" width="12.00390625" customWidth="1"/>
    <col min="9" max="9" style="46808" width="32.00390625" customWidth="1"/>
    <col min="10" max="11" style="46808" width="41.00390625" customWidth="1"/>
    <col min="12" max="12" style="46808" width="89.00390625" customWidth="1"/>
    <col min="13" max="13" style="46989" width="3.00390625" customWidth="1"/>
    <col min="14" max="16" style="46989" width="8.00390625" customWidth="1"/>
    <col min="17" max="17" style="46989" width="25.00390625" customWidth="1"/>
    <col min="18" max="18" style="46989" width="14.00390625" customWidth="1"/>
    <col min="19" max="22" style="46990" width="8.00390625" customWidth="1"/>
    <col min="23" max="256" style="46808" width="8.00390625" customWidth="1"/>
    <col min="257" max="257" style="46808" width="9.140625" hidden="1"/>
  </cols>
  <sheetData>
    <row customHeight="1" ht="22.5" hidden="1">
      <c r="IW1" s="2143" t="s">
        <v>14</v>
      </c>
    </row>
    <row s="46950" customFormat="1" customHeight="1" ht="22.5" hidden="1">
      <c r="A2" s="1343"/>
      <c r="B2" s="1878">
        <v>1</v>
      </c>
      <c r="C2" s="1878"/>
      <c r="D2" s="2440" t="s">
        <v>106</v>
      </c>
      <c r="E2" s="2416"/>
      <c r="F2" s="2418" t="str">
        <f>IF(ROIV_INFO_NAME="","",ROIV_INFO_NAME)</f>
        <v>КГУП "Примтеплоэнерго"</v>
      </c>
      <c r="G2" s="2244" t="s">
        <v>28</v>
      </c>
      <c r="H2" s="2428"/>
      <c r="I2" s="2050"/>
      <c r="J2" s="1330"/>
      <c r="K2" s="1330"/>
      <c r="L2" s="740"/>
      <c r="M2" s="2047">
        <f>MERGEVALUE(F2)</f>
      </c>
      <c r="N2" s="2148"/>
      <c r="O2" s="2148"/>
      <c r="P2" s="2136" t="str">
        <f t="array" ref="P2:P2">IF(ISERROR(MATCH(MID(Q2,1,250),MID(note_ter,1,250),0)),"n","y")</f>
        <v>n</v>
      </c>
      <c r="Q2" s="2148"/>
      <c r="R2" s="2136" t="str">
        <f>G2&amp;"("&amp;L2&amp;")"</f>
        <v>()</v>
      </c>
      <c r="S2" s="1878"/>
      <c r="T2" s="1878"/>
      <c r="U2" s="932"/>
      <c r="V2" s="1878"/>
      <c r="W2" s="1878"/>
      <c r="X2" s="1878"/>
      <c r="Y2" s="1345"/>
      <c r="Z2" s="1345"/>
      <c r="AA2" s="1139"/>
      <c r="AB2" s="1139"/>
      <c r="AC2" s="1139"/>
      <c r="AD2" s="1139"/>
      <c r="AE2" s="1139"/>
      <c r="AF2" s="1139"/>
      <c r="AG2" s="1139"/>
      <c r="AH2" s="1139"/>
      <c r="AI2" s="1139"/>
      <c r="AJ2" s="1139"/>
      <c r="AK2" s="1139"/>
      <c r="AL2" s="1139"/>
      <c r="AM2" s="1139"/>
      <c r="AN2" s="1139"/>
      <c r="AO2" s="1139"/>
      <c r="AP2" s="1139"/>
      <c r="AQ2" s="1139"/>
      <c r="AR2" s="1139"/>
      <c r="AS2" s="1139"/>
      <c r="AT2" s="1139"/>
      <c r="AU2" s="1139"/>
      <c r="AV2" s="1139"/>
      <c r="AW2" s="1139"/>
      <c r="AX2" s="1139"/>
      <c r="AY2" s="1139"/>
      <c r="AZ2" s="1139"/>
      <c r="BA2" s="1139"/>
      <c r="BB2" s="1139"/>
      <c r="BC2" s="1139"/>
      <c r="BD2" s="1139"/>
      <c r="BE2" s="1139"/>
      <c r="BF2" s="1139"/>
      <c r="BG2" s="1139"/>
      <c r="BH2" s="1139"/>
      <c r="BI2" s="1139"/>
      <c r="BJ2" s="1139"/>
      <c r="BK2" s="1139"/>
      <c r="BL2" s="1139"/>
      <c r="BM2" s="1139"/>
      <c r="BN2" s="1139"/>
      <c r="BO2" s="1139"/>
      <c r="BP2" s="1139"/>
      <c r="BQ2" s="1139"/>
      <c r="BR2" s="1139"/>
      <c r="BS2" s="1139"/>
      <c r="BT2" s="1139"/>
      <c r="BU2" s="1139"/>
      <c r="BV2" s="1345"/>
      <c r="BW2" s="1345"/>
      <c r="BX2" s="1345"/>
      <c r="BY2" s="1345"/>
      <c r="BZ2" s="1345"/>
      <c r="CA2" s="1345"/>
      <c r="CB2" s="1345"/>
      <c r="CC2" s="1345"/>
      <c r="CD2" s="1345"/>
      <c r="CE2" s="1345"/>
      <c r="IW2" s="1136">
        <v>0</v>
      </c>
    </row>
    <row s="46890" customFormat="1" customHeight="1" ht="5.25" hidden="1">
      <c r="A3" s="2153"/>
      <c r="D3" s="2405"/>
      <c r="F3" s="760" t="s">
        <v>85</v>
      </c>
      <c r="G3" s="2247" t="s">
        <v>86</v>
      </c>
      <c r="H3" s="2405"/>
      <c r="I3" s="2405"/>
      <c r="J3" s="2405"/>
      <c r="K3" s="2405"/>
      <c r="L3" s="739" t="s">
        <v>87</v>
      </c>
      <c r="M3" s="760" t="s">
        <v>85</v>
      </c>
      <c r="N3" s="760"/>
      <c r="O3" s="760"/>
      <c r="P3" s="760"/>
      <c r="Q3" s="760"/>
      <c r="R3" s="760"/>
      <c r="S3" s="760"/>
      <c r="T3" s="760"/>
      <c r="U3" s="760"/>
      <c r="V3" s="760"/>
      <c r="W3" s="739"/>
      <c r="X3" s="739"/>
      <c r="Y3" s="739"/>
      <c r="Z3" s="739"/>
      <c r="AA3" s="739"/>
      <c r="AB3" s="739"/>
      <c r="AC3" s="739"/>
      <c r="AD3" s="739"/>
      <c r="AE3" s="739"/>
      <c r="AF3" s="739"/>
      <c r="AG3" s="739"/>
      <c r="AH3" s="739"/>
      <c r="AI3" s="739"/>
      <c r="AJ3" s="739"/>
      <c r="AK3" s="739"/>
      <c r="AL3" s="739"/>
      <c r="AM3" s="739"/>
      <c r="AN3" s="739"/>
      <c r="AO3" s="739"/>
      <c r="AP3" s="739"/>
      <c r="AQ3" s="739"/>
      <c r="AR3" s="739"/>
      <c r="AS3" s="739"/>
      <c r="AT3" s="739"/>
      <c r="AU3" s="739"/>
      <c r="AV3" s="739"/>
      <c r="AW3" s="739"/>
      <c r="AX3" s="739"/>
      <c r="AY3" s="739"/>
      <c r="AZ3" s="739"/>
      <c r="BA3" s="739"/>
      <c r="BB3" s="739"/>
      <c r="BC3" s="739"/>
      <c r="BD3" s="739"/>
      <c r="BE3" s="739"/>
      <c r="BF3" s="739"/>
      <c r="BG3" s="739"/>
      <c r="BH3" s="739"/>
      <c r="BI3" s="739"/>
      <c r="BJ3" s="739"/>
      <c r="BK3" s="739"/>
      <c r="BL3" s="739"/>
      <c r="BM3" s="739"/>
      <c r="BN3" s="739"/>
      <c r="BO3" s="739"/>
      <c r="BP3" s="739"/>
      <c r="BQ3" s="739"/>
      <c r="BR3" s="739"/>
      <c r="BS3" s="739"/>
      <c r="BT3" s="739"/>
      <c r="BU3" s="739"/>
      <c r="BV3" s="739"/>
      <c r="BW3" s="739"/>
      <c r="BX3" s="739"/>
      <c r="BY3" s="739"/>
      <c r="BZ3" s="739"/>
      <c r="CA3" s="739"/>
      <c r="CB3" s="739"/>
      <c r="CC3" s="739"/>
      <c r="CD3" s="739"/>
      <c r="CE3" s="739"/>
      <c r="CF3" s="739"/>
      <c r="CG3" s="739"/>
      <c r="CH3" s="739"/>
      <c r="CI3" s="739"/>
      <c r="CJ3" s="739"/>
      <c r="CK3" s="739"/>
      <c r="CL3" s="739"/>
      <c r="CM3" s="739"/>
      <c r="CN3" s="739"/>
      <c r="CO3" s="739"/>
      <c r="CP3" s="739"/>
      <c r="CQ3" s="739"/>
      <c r="CR3" s="739"/>
      <c r="CS3" s="739"/>
      <c r="CT3" s="739"/>
      <c r="CU3" s="739"/>
      <c r="CV3" s="739"/>
      <c r="CW3" s="739"/>
      <c r="CX3" s="739"/>
      <c r="CY3" s="739"/>
      <c r="CZ3" s="739"/>
      <c r="DA3" s="739"/>
      <c r="DB3" s="739"/>
      <c r="DC3" s="739"/>
      <c r="DD3" s="739"/>
      <c r="DE3" s="739"/>
      <c r="DF3" s="739"/>
      <c r="DG3" s="739"/>
      <c r="DH3" s="739"/>
      <c r="DI3" s="739"/>
      <c r="DJ3" s="739"/>
      <c r="DK3" s="739"/>
      <c r="DL3" s="739"/>
      <c r="DM3" s="739"/>
      <c r="DN3" s="739"/>
      <c r="DO3" s="739"/>
      <c r="DP3" s="739"/>
      <c r="DQ3" s="739"/>
      <c r="DR3" s="739"/>
      <c r="DS3" s="739"/>
      <c r="DT3" s="739"/>
      <c r="DU3" s="739"/>
      <c r="DV3" s="739"/>
      <c r="DW3" s="739"/>
      <c r="DX3" s="739"/>
      <c r="DY3" s="739"/>
      <c r="DZ3" s="739"/>
      <c r="EA3" s="739"/>
      <c r="EB3" s="739"/>
      <c r="EC3" s="739"/>
      <c r="ED3" s="739"/>
      <c r="EE3" s="739"/>
      <c r="EF3" s="739"/>
      <c r="EG3" s="739"/>
      <c r="EH3" s="739"/>
      <c r="EI3" s="739"/>
      <c r="EJ3" s="739"/>
      <c r="EK3" s="739"/>
      <c r="EL3" s="739"/>
      <c r="EM3" s="739"/>
      <c r="EN3" s="739"/>
      <c r="EO3" s="739"/>
      <c r="EP3" s="739"/>
      <c r="EQ3" s="739"/>
      <c r="ER3" s="739"/>
      <c r="ES3" s="739"/>
      <c r="ET3" s="739"/>
      <c r="EU3" s="739"/>
      <c r="EV3" s="739"/>
      <c r="EW3" s="739"/>
      <c r="EX3" s="739"/>
      <c r="EY3" s="739"/>
      <c r="EZ3" s="739"/>
      <c r="FA3" s="739"/>
      <c r="FB3" s="739"/>
      <c r="FC3" s="739"/>
      <c r="FD3" s="739"/>
      <c r="FE3" s="739"/>
      <c r="FF3" s="739"/>
      <c r="FG3" s="739"/>
      <c r="FH3" s="739"/>
      <c r="FI3" s="739"/>
      <c r="FJ3" s="739"/>
      <c r="FK3" s="739"/>
      <c r="FL3" s="739"/>
      <c r="FM3" s="739"/>
      <c r="FN3" s="739"/>
      <c r="FO3" s="739"/>
      <c r="FP3" s="739"/>
      <c r="FQ3" s="739"/>
      <c r="FR3" s="739"/>
      <c r="FS3" s="739"/>
      <c r="FT3" s="739"/>
      <c r="FU3" s="739"/>
      <c r="FV3" s="739"/>
      <c r="FW3" s="739"/>
      <c r="FX3" s="739"/>
      <c r="FY3" s="739"/>
      <c r="FZ3" s="739"/>
      <c r="GA3" s="739"/>
      <c r="GB3" s="739"/>
      <c r="GC3" s="739"/>
      <c r="GD3" s="739"/>
      <c r="GE3" s="739"/>
      <c r="GF3" s="739"/>
      <c r="GG3" s="739"/>
      <c r="GH3" s="739"/>
      <c r="GI3" s="739"/>
      <c r="GJ3" s="739"/>
      <c r="GK3" s="739"/>
      <c r="GL3" s="739"/>
      <c r="GM3" s="739"/>
      <c r="GN3" s="739"/>
      <c r="GO3" s="739"/>
      <c r="GP3" s="739"/>
      <c r="GQ3" s="739"/>
      <c r="GR3" s="739"/>
      <c r="GS3" s="739"/>
      <c r="GT3" s="739"/>
      <c r="GU3" s="739"/>
      <c r="GV3" s="739"/>
      <c r="GW3" s="739"/>
      <c r="GX3" s="739"/>
      <c r="GY3" s="739"/>
      <c r="GZ3" s="739"/>
      <c r="HA3" s="739"/>
      <c r="HB3" s="739"/>
      <c r="HC3" s="739"/>
      <c r="HD3" s="739"/>
      <c r="HE3" s="739"/>
      <c r="HF3" s="739"/>
      <c r="HG3" s="739"/>
      <c r="HH3" s="739"/>
      <c r="HI3" s="739"/>
      <c r="HJ3" s="739"/>
      <c r="HK3" s="739"/>
      <c r="HL3" s="739"/>
      <c r="HM3" s="739"/>
      <c r="HN3" s="739"/>
      <c r="HO3" s="739"/>
      <c r="HP3" s="739"/>
      <c r="HQ3" s="739"/>
      <c r="HR3" s="739"/>
      <c r="HS3" s="739"/>
      <c r="HT3" s="739"/>
      <c r="HU3" s="739"/>
      <c r="HV3" s="739"/>
      <c r="HW3" s="739"/>
      <c r="HX3" s="739"/>
      <c r="HY3" s="739"/>
      <c r="HZ3" s="739"/>
      <c r="IA3" s="739"/>
      <c r="IB3" s="739"/>
      <c r="IC3" s="739"/>
      <c r="ID3" s="739"/>
      <c r="IE3" s="739"/>
      <c r="IF3" s="739"/>
      <c r="IG3" s="739"/>
      <c r="IH3" s="739"/>
      <c r="II3" s="739"/>
      <c r="IJ3" s="739"/>
      <c r="IK3" s="739"/>
      <c r="IL3" s="739"/>
      <c r="IM3" s="739"/>
      <c r="IN3" s="739"/>
      <c r="IO3" s="739"/>
      <c r="IP3" s="739"/>
      <c r="IQ3" s="739"/>
      <c r="IR3" s="739"/>
      <c r="IS3" s="739"/>
      <c r="IT3" s="739"/>
      <c r="IU3" s="739"/>
      <c r="IV3" s="739"/>
      <c r="IW3" s="2148">
        <v>0</v>
      </c>
    </row>
    <row s="46905" customFormat="1" customHeight="1" ht="14.699999999999998">
      <c r="A4" s="2143"/>
      <c r="B4" s="1878"/>
      <c r="C4" s="2143"/>
      <c r="D4" s="2027"/>
      <c r="E4" s="2147"/>
      <c r="F4" s="2147"/>
      <c r="G4" s="2147"/>
      <c r="H4" s="2147"/>
      <c r="I4" s="2147"/>
      <c r="J4" s="2147"/>
      <c r="K4" s="2147"/>
      <c r="L4" s="2407"/>
      <c r="M4" s="760"/>
      <c r="N4" s="2136"/>
      <c r="O4" s="2136"/>
      <c r="P4" s="2136"/>
      <c r="Q4" s="2136"/>
      <c r="R4" s="2136"/>
      <c r="S4" s="737"/>
      <c r="T4" s="737"/>
      <c r="U4" s="737"/>
      <c r="V4" s="737"/>
      <c r="IW4" s="2121">
        <v>14</v>
      </c>
    </row>
    <row s="46905" customFormat="1" customHeight="1" ht="27.299999999999997">
      <c r="A5" s="2143"/>
      <c r="B5" s="1878"/>
      <c r="C5" s="2143"/>
      <c r="D5" s="2027"/>
      <c r="E5" s="2612"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612"/>
      <c r="G5" s="2612"/>
      <c r="H5" s="2612"/>
      <c r="I5" s="2612"/>
      <c r="J5" s="2612"/>
      <c r="K5" s="2612"/>
      <c r="L5" s="2147"/>
      <c r="M5" s="760"/>
      <c r="N5" s="2136"/>
      <c r="O5" s="2136"/>
      <c r="P5" s="2136"/>
      <c r="Q5" s="2136"/>
      <c r="R5" s="2136"/>
      <c r="S5" s="737"/>
      <c r="T5" s="737"/>
      <c r="U5" s="737"/>
      <c r="V5" s="737"/>
      <c r="IW5" s="2121">
        <v>26</v>
      </c>
    </row>
    <row s="46905" customFormat="1" customHeight="1" ht="14.699999999999998">
      <c r="A6" s="2143"/>
      <c r="B6" s="1878"/>
      <c r="C6" s="2143"/>
      <c r="D6" s="2027"/>
      <c r="E6" s="2147"/>
      <c r="F6" s="1128"/>
      <c r="G6" s="1128"/>
      <c r="H6" s="1128"/>
      <c r="I6" s="1128"/>
      <c r="J6" s="1128"/>
      <c r="K6" s="1128"/>
      <c r="L6" s="1764"/>
      <c r="M6" s="2136"/>
      <c r="N6" s="2136"/>
      <c r="O6" s="2136"/>
      <c r="P6" s="2136"/>
      <c r="Q6" s="2136"/>
      <c r="R6" s="2136"/>
      <c r="S6" s="737"/>
      <c r="T6" s="737"/>
      <c r="U6" s="737"/>
      <c r="V6" s="737"/>
      <c r="IW6" s="2121">
        <v>14</v>
      </c>
    </row>
    <row s="46905" customFormat="1" customHeight="1" ht="14.699999999999998">
      <c r="A7" s="2143"/>
      <c r="B7" s="1878"/>
      <c r="C7" s="2143"/>
      <c r="D7" s="2027"/>
      <c r="E7" s="2613" t="s">
        <v>418</v>
      </c>
      <c r="F7" s="2614"/>
      <c r="G7" s="2614"/>
      <c r="H7" s="2614"/>
      <c r="I7" s="2614"/>
      <c r="J7" s="2614"/>
      <c r="K7" s="2614"/>
      <c r="L7" s="2986" t="s">
        <v>419</v>
      </c>
      <c r="M7" s="2136"/>
      <c r="N7" s="2136"/>
      <c r="O7" s="2136"/>
      <c r="P7" s="2136"/>
      <c r="Q7" s="2136"/>
      <c r="R7" s="2136"/>
      <c r="S7" s="737"/>
      <c r="T7" s="737"/>
      <c r="U7" s="737"/>
      <c r="V7" s="737"/>
      <c r="IW7" s="2121">
        <v>14</v>
      </c>
    </row>
    <row s="46905" customFormat="1" customHeight="1" ht="67.2">
      <c r="A8" s="2143"/>
      <c r="B8" s="1878"/>
      <c r="C8" s="2143"/>
      <c r="D8" s="2027"/>
      <c r="E8" s="2990" t="s">
        <v>90</v>
      </c>
      <c r="F8" s="2990" t="s">
        <v>1999</v>
      </c>
      <c r="G8" s="2992" t="s">
        <v>2000</v>
      </c>
      <c r="H8" s="2993"/>
      <c r="I8" s="2994"/>
      <c r="J8" s="2990" t="s">
        <v>2001</v>
      </c>
      <c r="K8" s="299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988"/>
      <c r="M8" s="2136"/>
      <c r="N8" s="2136"/>
      <c r="O8" s="2136"/>
      <c r="P8" s="2136"/>
      <c r="Q8" s="2136"/>
      <c r="R8" s="2136"/>
      <c r="S8" s="737"/>
      <c r="T8" s="737"/>
      <c r="U8" s="737"/>
      <c r="V8" s="737"/>
      <c r="IW8" s="2121">
        <v>64</v>
      </c>
    </row>
    <row s="46905" customFormat="1" customHeight="1" ht="29.25">
      <c r="A9" s="2143"/>
      <c r="B9" s="1878"/>
      <c r="C9" s="2143"/>
      <c r="D9" s="2027"/>
      <c r="E9" s="2991"/>
      <c r="F9" s="2991"/>
      <c r="G9" s="2406" t="s">
        <v>1995</v>
      </c>
      <c r="H9" s="2406" t="s">
        <v>1996</v>
      </c>
      <c r="I9" s="2406" t="s">
        <v>1997</v>
      </c>
      <c r="J9" s="2991"/>
      <c r="K9" s="2991"/>
      <c r="L9" s="2987"/>
      <c r="M9" s="2136"/>
      <c r="N9" s="2136"/>
      <c r="O9" s="2136"/>
      <c r="P9" s="2136"/>
      <c r="Q9" s="2136"/>
      <c r="R9" s="2136"/>
      <c r="S9" s="737"/>
      <c r="T9" s="737"/>
      <c r="U9" s="737"/>
      <c r="V9" s="737"/>
      <c r="IW9" s="2121">
        <v>28</v>
      </c>
    </row>
    <row s="46950" customFormat="1" customHeight="1" ht="1.05">
      <c r="A10" s="2611"/>
      <c r="B10" s="1878">
        <v>1</v>
      </c>
      <c r="C10" s="1878"/>
      <c r="D10" s="1312"/>
      <c r="E10" s="1307">
        <v>0</v>
      </c>
      <c r="F10" s="2403" t="str">
        <f>IF(ROIV_INFO_NAME="","",ROIV_INFO_NAME)</f>
        <v>КГУП "Примтеплоэнерго"</v>
      </c>
      <c r="G10" s="2245" t="s">
        <v>28</v>
      </c>
      <c r="H10" s="2415"/>
      <c r="I10" s="2415"/>
      <c r="J10" s="1031"/>
      <c r="K10" s="1031"/>
      <c r="L10" s="294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2047">
        <f>MERGEVALUE(F10)</f>
      </c>
      <c r="N10" s="2148"/>
      <c r="O10" s="2148"/>
      <c r="P10" s="2136" t="str">
        <f t="array" ref="P10:P10">IF(ISERROR(MATCH(MID(Q10,1,250),MID(note_ter,1,250),0)),"n","y")</f>
        <v>n</v>
      </c>
      <c r="Q10" s="2148"/>
      <c r="R10" s="21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878"/>
      <c r="T10" s="1878"/>
      <c r="U10" s="932"/>
      <c r="V10" s="1878"/>
      <c r="W10" s="1878"/>
      <c r="X10" s="1878"/>
      <c r="Y10" s="1345"/>
      <c r="Z10" s="1345"/>
      <c r="AA10" s="1139"/>
      <c r="AB10" s="1139"/>
      <c r="AC10" s="1139"/>
      <c r="AD10" s="1139"/>
      <c r="AE10" s="1139"/>
      <c r="AF10" s="1139"/>
      <c r="AG10" s="1139"/>
      <c r="AH10" s="1139"/>
      <c r="AI10" s="1139"/>
      <c r="AJ10" s="1139"/>
      <c r="AK10" s="1139"/>
      <c r="AL10" s="1139"/>
      <c r="AM10" s="1139"/>
      <c r="AN10" s="1139"/>
      <c r="AO10" s="1139"/>
      <c r="AP10" s="1139"/>
      <c r="AQ10" s="1139"/>
      <c r="AR10" s="1139"/>
      <c r="AS10" s="1139"/>
      <c r="AT10" s="1139"/>
      <c r="AU10" s="1139"/>
      <c r="AV10" s="1139"/>
      <c r="AW10" s="1139"/>
      <c r="AX10" s="1139"/>
      <c r="AY10" s="1139"/>
      <c r="AZ10" s="1139"/>
      <c r="BA10" s="1139"/>
      <c r="BB10" s="1139"/>
      <c r="BC10" s="1139"/>
      <c r="BD10" s="1139"/>
      <c r="BE10" s="1139"/>
      <c r="BF10" s="1139"/>
      <c r="BG10" s="1139"/>
      <c r="BH10" s="1139"/>
      <c r="BI10" s="1139"/>
      <c r="BJ10" s="1139"/>
      <c r="BK10" s="1139"/>
      <c r="BL10" s="1139"/>
      <c r="BM10" s="1139"/>
      <c r="BN10" s="1139"/>
      <c r="BO10" s="1139"/>
      <c r="BP10" s="1139"/>
      <c r="BQ10" s="1139"/>
      <c r="BR10" s="1139"/>
      <c r="BS10" s="1139"/>
      <c r="BT10" s="1139"/>
      <c r="BU10" s="1139"/>
      <c r="BV10" s="1345"/>
      <c r="BW10" s="1345"/>
      <c r="BX10" s="1345"/>
      <c r="BY10" s="1345"/>
      <c r="BZ10" s="1345"/>
      <c r="CA10" s="1345"/>
      <c r="CB10" s="1345"/>
      <c r="CC10" s="1345"/>
      <c r="CD10" s="1345"/>
      <c r="CE10" s="1345"/>
      <c r="IW10" s="1136">
        <v>1</v>
      </c>
    </row>
    <row s="46950" customFormat="1" customHeight="1" ht="15.75">
      <c r="A11" s="2611"/>
      <c r="B11" s="1878"/>
      <c r="C11" s="924"/>
      <c r="D11" s="1313"/>
      <c r="E11" s="933"/>
      <c r="F11" s="1163" t="s">
        <v>1998</v>
      </c>
      <c r="G11" s="699"/>
      <c r="H11" s="699"/>
      <c r="I11" s="699"/>
      <c r="J11" s="699"/>
      <c r="K11" s="936"/>
      <c r="L11" s="2989"/>
      <c r="M11" s="2048"/>
      <c r="N11" s="2148"/>
      <c r="O11" s="2148"/>
      <c r="P11" s="2148"/>
      <c r="Q11" s="2136"/>
      <c r="R11" s="2148"/>
      <c r="S11" s="1878"/>
      <c r="T11" s="1878"/>
      <c r="U11" s="932"/>
      <c r="V11" s="1878"/>
      <c r="W11" s="1878"/>
      <c r="X11" s="1878"/>
      <c r="Y11" s="1345"/>
      <c r="Z11" s="1345"/>
      <c r="AA11" s="1139"/>
      <c r="AB11" s="1139"/>
      <c r="AC11" s="1139"/>
      <c r="AD11" s="1139"/>
      <c r="AE11" s="1139"/>
      <c r="AF11" s="1139"/>
      <c r="AG11" s="1139"/>
      <c r="AH11" s="1139"/>
      <c r="AI11" s="1139"/>
      <c r="AJ11" s="1139"/>
      <c r="AK11" s="1139"/>
      <c r="AL11" s="1139"/>
      <c r="AM11" s="1139"/>
      <c r="AN11" s="1139"/>
      <c r="AO11" s="1139"/>
      <c r="AP11" s="1139"/>
      <c r="AQ11" s="1139"/>
      <c r="AR11" s="1139"/>
      <c r="AS11" s="1139"/>
      <c r="AT11" s="1139"/>
      <c r="AU11" s="1139"/>
      <c r="AV11" s="1139"/>
      <c r="AW11" s="1139"/>
      <c r="AX11" s="1139"/>
      <c r="AY11" s="1139"/>
      <c r="AZ11" s="1139"/>
      <c r="BA11" s="1139"/>
      <c r="BB11" s="1139"/>
      <c r="BC11" s="1139"/>
      <c r="BD11" s="1139"/>
      <c r="BE11" s="1139"/>
      <c r="BF11" s="1139"/>
      <c r="BG11" s="1139"/>
      <c r="BH11" s="1139"/>
      <c r="BI11" s="1139"/>
      <c r="BJ11" s="1139"/>
      <c r="BK11" s="1139"/>
      <c r="BL11" s="1139"/>
      <c r="BM11" s="1139"/>
      <c r="BN11" s="1139"/>
      <c r="BO11" s="1139"/>
      <c r="BP11" s="1139"/>
      <c r="BQ11" s="1139"/>
      <c r="BR11" s="1139"/>
      <c r="BS11" s="1139"/>
      <c r="BT11" s="1139"/>
      <c r="BU11" s="1139"/>
      <c r="BV11" s="1345"/>
      <c r="BW11" s="1345"/>
      <c r="BX11" s="1345"/>
      <c r="BY11" s="1345"/>
      <c r="BZ11" s="1345"/>
      <c r="CA11" s="1345"/>
      <c r="CB11" s="1345"/>
      <c r="CC11" s="1345"/>
      <c r="CD11" s="1345"/>
      <c r="CE11" s="1345"/>
      <c r="IW11" s="1136">
        <v>15</v>
      </c>
    </row>
    <row s="46905" customFormat="1" customHeight="1" ht="22.049999999999997">
      <c r="A12" s="2143"/>
      <c r="B12" s="1878"/>
      <c r="C12" s="2143"/>
      <c r="D12" s="2145"/>
      <c r="E12" s="692"/>
      <c r="F12" s="692"/>
      <c r="G12" s="692"/>
      <c r="H12" s="692"/>
      <c r="I12" s="692"/>
      <c r="J12" s="692"/>
      <c r="K12" s="692"/>
      <c r="L12" s="692"/>
      <c r="M12" s="2136"/>
      <c r="N12" s="2136"/>
      <c r="O12" s="2136"/>
      <c r="P12" s="2136"/>
      <c r="Q12" s="2136"/>
      <c r="R12" s="2136"/>
      <c r="S12" s="737"/>
      <c r="T12" s="737"/>
      <c r="U12" s="737"/>
      <c r="V12" s="737"/>
      <c r="IW12" s="2121">
        <v>21</v>
      </c>
    </row>
    <row s="46905" customFormat="1" customHeight="1" ht="14.699999999999998">
      <c r="A13" s="2143"/>
      <c r="B13" s="1878"/>
      <c r="C13" s="2143"/>
      <c r="D13" s="2145"/>
      <c r="E13" s="2143"/>
      <c r="F13" s="2143"/>
      <c r="G13" s="2143"/>
      <c r="H13" s="2143"/>
      <c r="I13" s="2143"/>
      <c r="J13" s="2143"/>
      <c r="K13" s="2143"/>
      <c r="L13" s="2143"/>
      <c r="M13" s="2136"/>
      <c r="N13" s="2136"/>
      <c r="O13" s="2136"/>
      <c r="P13" s="2136"/>
      <c r="Q13" s="2136"/>
      <c r="R13" s="2136"/>
      <c r="S13" s="737"/>
      <c r="T13" s="737"/>
      <c r="U13" s="737"/>
      <c r="V13" s="737"/>
      <c r="IW13" s="2121">
        <v>14</v>
      </c>
    </row>
    <row s="46905" customFormat="1" customHeight="1" ht="1.05">
      <c r="A14" s="2143"/>
      <c r="B14" s="1878"/>
      <c r="C14" s="2143"/>
      <c r="D14" s="2145"/>
      <c r="E14" s="2143"/>
      <c r="F14" s="2143"/>
      <c r="G14" s="2143"/>
      <c r="H14" s="2143"/>
      <c r="I14" s="2143"/>
      <c r="J14" s="2143"/>
      <c r="K14" s="2143"/>
      <c r="L14" s="2143"/>
      <c r="M14" s="2136"/>
      <c r="N14" s="2136"/>
      <c r="O14" s="2136"/>
      <c r="P14" s="2136"/>
      <c r="Q14" s="2136"/>
      <c r="R14" s="2136"/>
      <c r="S14" s="737"/>
      <c r="T14" s="737"/>
      <c r="U14" s="737"/>
      <c r="V14" s="737"/>
      <c r="IW14" s="2121">
        <v>1</v>
      </c>
    </row>
    <row customHeight="1" ht="22.5" hidden="1">
      <c r="A15" s="2143" t="s">
        <v>84</v>
      </c>
      <c r="B15" s="1878">
        <v>0</v>
      </c>
      <c r="C15" s="2143">
        <v>0</v>
      </c>
      <c r="D15" s="2145">
        <v>3</v>
      </c>
      <c r="E15" s="2143">
        <v>6</v>
      </c>
      <c r="F15" s="2143">
        <v>27</v>
      </c>
      <c r="G15" s="2143">
        <v>16</v>
      </c>
      <c r="H15" s="2143">
        <v>12</v>
      </c>
      <c r="I15" s="2143">
        <v>32</v>
      </c>
      <c r="J15" s="2143">
        <v>41</v>
      </c>
      <c r="K15" s="2143">
        <v>41</v>
      </c>
      <c r="L15" s="2143">
        <v>89</v>
      </c>
      <c r="M15" s="2136">
        <v>3</v>
      </c>
      <c r="N15" s="2136">
        <v>8</v>
      </c>
      <c r="O15" s="2136">
        <v>8</v>
      </c>
      <c r="P15" s="2136">
        <v>8</v>
      </c>
      <c r="Q15" s="2136">
        <v>25</v>
      </c>
      <c r="R15" s="2136">
        <v>14</v>
      </c>
      <c r="S15" s="737">
        <v>8</v>
      </c>
      <c r="T15" s="737">
        <v>8</v>
      </c>
      <c r="U15" s="737">
        <v>8</v>
      </c>
      <c r="V15" s="737">
        <v>8</v>
      </c>
      <c r="W15" s="2143">
        <v>8</v>
      </c>
      <c r="X15" s="2143">
        <v>8</v>
      </c>
      <c r="Y15" s="2143">
        <v>8</v>
      </c>
      <c r="Z15" s="2143">
        <v>8</v>
      </c>
      <c r="AA15" s="2143">
        <v>8</v>
      </c>
      <c r="AB15" s="2143">
        <v>8</v>
      </c>
      <c r="AC15" s="2143">
        <v>8</v>
      </c>
      <c r="AD15" s="2143">
        <v>8</v>
      </c>
      <c r="AE15" s="2143">
        <v>8</v>
      </c>
      <c r="AF15" s="2143">
        <v>8</v>
      </c>
      <c r="AG15" s="2143">
        <v>8</v>
      </c>
      <c r="AH15" s="2143">
        <v>8</v>
      </c>
      <c r="AI15" s="2143">
        <v>8</v>
      </c>
      <c r="AJ15" s="2143">
        <v>8</v>
      </c>
      <c r="AK15" s="2143">
        <v>8</v>
      </c>
      <c r="AL15" s="2143">
        <v>8</v>
      </c>
      <c r="AM15" s="2143">
        <v>8</v>
      </c>
      <c r="AN15" s="2143">
        <v>8</v>
      </c>
      <c r="AO15" s="2143">
        <v>8</v>
      </c>
      <c r="AP15" s="2143">
        <v>8</v>
      </c>
      <c r="AQ15" s="2143">
        <v>8</v>
      </c>
      <c r="AR15" s="2143">
        <v>8</v>
      </c>
      <c r="AS15" s="2143">
        <v>8</v>
      </c>
      <c r="AT15" s="2143">
        <v>8</v>
      </c>
      <c r="AU15" s="2143">
        <v>8</v>
      </c>
      <c r="AV15" s="2143">
        <v>8</v>
      </c>
      <c r="AW15" s="2143">
        <v>8</v>
      </c>
      <c r="AX15" s="2143">
        <v>8</v>
      </c>
      <c r="AY15" s="2143">
        <v>8</v>
      </c>
      <c r="AZ15" s="2143">
        <v>8</v>
      </c>
      <c r="BA15" s="2143">
        <v>8</v>
      </c>
      <c r="BB15" s="2143">
        <v>8</v>
      </c>
      <c r="BC15" s="2143">
        <v>8</v>
      </c>
      <c r="BD15" s="2143">
        <v>8</v>
      </c>
      <c r="BE15" s="2143">
        <v>8</v>
      </c>
      <c r="BF15" s="2143">
        <v>8</v>
      </c>
      <c r="BG15" s="2143">
        <v>8</v>
      </c>
      <c r="BH15" s="2143">
        <v>8</v>
      </c>
      <c r="BI15" s="2143">
        <v>8</v>
      </c>
      <c r="BJ15" s="2143">
        <v>8</v>
      </c>
      <c r="BK15" s="2143">
        <v>8</v>
      </c>
      <c r="BL15" s="2143">
        <v>8</v>
      </c>
      <c r="BM15" s="2143">
        <v>8</v>
      </c>
      <c r="BN15" s="2143">
        <v>8</v>
      </c>
      <c r="BO15" s="2143">
        <v>8</v>
      </c>
      <c r="BP15" s="2143">
        <v>8</v>
      </c>
      <c r="BQ15" s="2143">
        <v>8</v>
      </c>
      <c r="BR15" s="2143">
        <v>8</v>
      </c>
      <c r="BS15" s="2143">
        <v>8</v>
      </c>
      <c r="BT15" s="2143">
        <v>8</v>
      </c>
      <c r="BU15" s="2143">
        <v>8</v>
      </c>
      <c r="BV15" s="2143">
        <v>8</v>
      </c>
      <c r="BW15" s="2143">
        <v>8</v>
      </c>
      <c r="BX15" s="2143">
        <v>8</v>
      </c>
      <c r="BY15" s="2143">
        <v>8</v>
      </c>
      <c r="BZ15" s="2143">
        <v>8</v>
      </c>
      <c r="CA15" s="2143">
        <v>8</v>
      </c>
      <c r="CB15" s="2143">
        <v>8</v>
      </c>
      <c r="CC15" s="2143">
        <v>8</v>
      </c>
      <c r="CD15" s="2143">
        <v>8</v>
      </c>
      <c r="CE15" s="2143">
        <v>8</v>
      </c>
      <c r="CF15" s="2143">
        <v>8</v>
      </c>
      <c r="CG15" s="2143">
        <v>8</v>
      </c>
      <c r="CH15" s="2143">
        <v>8</v>
      </c>
      <c r="CI15" s="2143">
        <v>8</v>
      </c>
      <c r="CJ15" s="2143">
        <v>8</v>
      </c>
      <c r="CK15" s="2143">
        <v>8</v>
      </c>
      <c r="CL15" s="2143">
        <v>8</v>
      </c>
      <c r="CM15" s="2143">
        <v>8</v>
      </c>
      <c r="CN15" s="2143">
        <v>8</v>
      </c>
      <c r="CO15" s="2143">
        <v>8</v>
      </c>
      <c r="CP15" s="2143">
        <v>8</v>
      </c>
      <c r="CQ15" s="2143">
        <v>8</v>
      </c>
      <c r="CR15" s="2143">
        <v>8</v>
      </c>
      <c r="CS15" s="2143">
        <v>8</v>
      </c>
      <c r="CT15" s="2143">
        <v>8</v>
      </c>
      <c r="CU15" s="2143">
        <v>8</v>
      </c>
      <c r="CV15" s="2143">
        <v>8</v>
      </c>
      <c r="CW15" s="2143">
        <v>8</v>
      </c>
      <c r="CX15" s="2143">
        <v>8</v>
      </c>
      <c r="CY15" s="2143">
        <v>8</v>
      </c>
      <c r="CZ15" s="2143">
        <v>8</v>
      </c>
      <c r="DA15" s="2143">
        <v>8</v>
      </c>
      <c r="DB15" s="2143">
        <v>8</v>
      </c>
      <c r="DC15" s="2143">
        <v>8</v>
      </c>
      <c r="DD15" s="2143">
        <v>8</v>
      </c>
      <c r="DE15" s="2143">
        <v>8</v>
      </c>
      <c r="DF15" s="2143">
        <v>8</v>
      </c>
      <c r="DG15" s="2143">
        <v>8</v>
      </c>
      <c r="DH15" s="2143">
        <v>8</v>
      </c>
      <c r="DI15" s="2143">
        <v>8</v>
      </c>
      <c r="DJ15" s="2143">
        <v>8</v>
      </c>
      <c r="DK15" s="2143">
        <v>8</v>
      </c>
      <c r="DL15" s="2143">
        <v>8</v>
      </c>
      <c r="DM15" s="2143">
        <v>8</v>
      </c>
      <c r="DN15" s="2143">
        <v>8</v>
      </c>
      <c r="DO15" s="2143">
        <v>8</v>
      </c>
      <c r="DP15" s="2143">
        <v>8</v>
      </c>
      <c r="DQ15" s="2143">
        <v>8</v>
      </c>
      <c r="DR15" s="2143">
        <v>8</v>
      </c>
      <c r="DS15" s="2143">
        <v>8</v>
      </c>
      <c r="DT15" s="2143">
        <v>8</v>
      </c>
      <c r="DU15" s="2143">
        <v>8</v>
      </c>
      <c r="DV15" s="2143">
        <v>8</v>
      </c>
      <c r="DW15" s="2143">
        <v>8</v>
      </c>
      <c r="DX15" s="2143">
        <v>8</v>
      </c>
      <c r="DY15" s="2143">
        <v>8</v>
      </c>
      <c r="DZ15" s="2143">
        <v>8</v>
      </c>
      <c r="EA15" s="2143">
        <v>8</v>
      </c>
      <c r="EB15" s="2143">
        <v>8</v>
      </c>
      <c r="EC15" s="2143">
        <v>8</v>
      </c>
      <c r="ED15" s="2143">
        <v>8</v>
      </c>
      <c r="EE15" s="2143">
        <v>8</v>
      </c>
      <c r="EF15" s="2143">
        <v>8</v>
      </c>
      <c r="EG15" s="2143">
        <v>8</v>
      </c>
      <c r="EH15" s="2143">
        <v>8</v>
      </c>
      <c r="EI15" s="2143">
        <v>8</v>
      </c>
      <c r="EJ15" s="2143">
        <v>8</v>
      </c>
      <c r="EK15" s="2143">
        <v>8</v>
      </c>
      <c r="EL15" s="2143">
        <v>8</v>
      </c>
      <c r="EM15" s="2143">
        <v>8</v>
      </c>
      <c r="EN15" s="2143">
        <v>8</v>
      </c>
      <c r="EO15" s="2143">
        <v>8</v>
      </c>
      <c r="EP15" s="2143">
        <v>8</v>
      </c>
      <c r="EQ15" s="2143">
        <v>8</v>
      </c>
      <c r="ER15" s="2143">
        <v>8</v>
      </c>
      <c r="ES15" s="2143">
        <v>8</v>
      </c>
      <c r="ET15" s="2143">
        <v>8</v>
      </c>
      <c r="EU15" s="2143">
        <v>8</v>
      </c>
      <c r="EV15" s="2143">
        <v>8</v>
      </c>
      <c r="EW15" s="2143">
        <v>8</v>
      </c>
      <c r="EX15" s="2143">
        <v>8</v>
      </c>
      <c r="EY15" s="2143">
        <v>8</v>
      </c>
      <c r="EZ15" s="2143">
        <v>8</v>
      </c>
      <c r="FA15" s="2143">
        <v>8</v>
      </c>
      <c r="FB15" s="2143">
        <v>8</v>
      </c>
      <c r="FC15" s="2143">
        <v>8</v>
      </c>
      <c r="FD15" s="2143">
        <v>8</v>
      </c>
      <c r="FE15" s="2143">
        <v>8</v>
      </c>
      <c r="FF15" s="2143">
        <v>8</v>
      </c>
      <c r="FG15" s="2143">
        <v>8</v>
      </c>
      <c r="FH15" s="2143">
        <v>8</v>
      </c>
      <c r="FI15" s="2143">
        <v>8</v>
      </c>
      <c r="FJ15" s="2143">
        <v>8</v>
      </c>
      <c r="FK15" s="2143">
        <v>8</v>
      </c>
      <c r="FL15" s="2143">
        <v>8</v>
      </c>
      <c r="FM15" s="2143">
        <v>8</v>
      </c>
      <c r="FN15" s="2143">
        <v>8</v>
      </c>
      <c r="FO15" s="2143">
        <v>8</v>
      </c>
      <c r="FP15" s="2143">
        <v>8</v>
      </c>
      <c r="FQ15" s="2143">
        <v>8</v>
      </c>
      <c r="FR15" s="2143">
        <v>8</v>
      </c>
      <c r="FS15" s="2143">
        <v>8</v>
      </c>
      <c r="FT15" s="2143">
        <v>8</v>
      </c>
      <c r="FU15" s="2143">
        <v>8</v>
      </c>
      <c r="FV15" s="2143">
        <v>8</v>
      </c>
      <c r="FW15" s="2143">
        <v>8</v>
      </c>
      <c r="FX15" s="2143">
        <v>8</v>
      </c>
      <c r="FY15" s="2143">
        <v>8</v>
      </c>
      <c r="FZ15" s="2143">
        <v>8</v>
      </c>
      <c r="GA15" s="2143">
        <v>8</v>
      </c>
      <c r="GB15" s="2143">
        <v>8</v>
      </c>
      <c r="GC15" s="2143">
        <v>8</v>
      </c>
      <c r="GD15" s="2143">
        <v>8</v>
      </c>
      <c r="GE15" s="2143">
        <v>8</v>
      </c>
      <c r="GF15" s="2143">
        <v>8</v>
      </c>
      <c r="GG15" s="2143">
        <v>8</v>
      </c>
      <c r="GH15" s="2143">
        <v>8</v>
      </c>
      <c r="GI15" s="2143">
        <v>8</v>
      </c>
      <c r="GJ15" s="2143">
        <v>8</v>
      </c>
      <c r="GK15" s="2143">
        <v>8</v>
      </c>
      <c r="GL15" s="2143">
        <v>8</v>
      </c>
      <c r="GM15" s="2143">
        <v>8</v>
      </c>
      <c r="GN15" s="2143">
        <v>8</v>
      </c>
      <c r="GO15" s="2143">
        <v>8</v>
      </c>
      <c r="GP15" s="2143">
        <v>8</v>
      </c>
      <c r="GQ15" s="2143">
        <v>8</v>
      </c>
      <c r="GR15" s="2143">
        <v>8</v>
      </c>
      <c r="GS15" s="2143">
        <v>8</v>
      </c>
      <c r="GT15" s="2143">
        <v>8</v>
      </c>
      <c r="GU15" s="2143">
        <v>8</v>
      </c>
      <c r="GV15" s="2143">
        <v>8</v>
      </c>
      <c r="GW15" s="2143">
        <v>8</v>
      </c>
      <c r="GX15" s="2143">
        <v>8</v>
      </c>
      <c r="GY15" s="2143">
        <v>8</v>
      </c>
      <c r="GZ15" s="2143">
        <v>8</v>
      </c>
      <c r="HA15" s="2143">
        <v>8</v>
      </c>
      <c r="HB15" s="2143">
        <v>8</v>
      </c>
      <c r="HC15" s="2143">
        <v>8</v>
      </c>
      <c r="HD15" s="2143">
        <v>8</v>
      </c>
      <c r="HE15" s="2143">
        <v>8</v>
      </c>
      <c r="HF15" s="2143">
        <v>8</v>
      </c>
      <c r="HG15" s="2143">
        <v>8</v>
      </c>
      <c r="HH15" s="2143">
        <v>8</v>
      </c>
      <c r="HI15" s="2143">
        <v>8</v>
      </c>
      <c r="HJ15" s="2143">
        <v>8</v>
      </c>
      <c r="HK15" s="2143">
        <v>8</v>
      </c>
      <c r="HL15" s="2143">
        <v>8</v>
      </c>
      <c r="HM15" s="2143">
        <v>8</v>
      </c>
      <c r="HN15" s="2143">
        <v>8</v>
      </c>
      <c r="HO15" s="2143">
        <v>8</v>
      </c>
      <c r="HP15" s="2143">
        <v>8</v>
      </c>
      <c r="HQ15" s="2143">
        <v>8</v>
      </c>
      <c r="HR15" s="2143">
        <v>8</v>
      </c>
      <c r="HS15" s="2143">
        <v>8</v>
      </c>
      <c r="HT15" s="2143">
        <v>8</v>
      </c>
      <c r="HU15" s="2143">
        <v>8</v>
      </c>
      <c r="HV15" s="2143">
        <v>8</v>
      </c>
      <c r="HW15" s="2143">
        <v>8</v>
      </c>
      <c r="HX15" s="2143">
        <v>8</v>
      </c>
      <c r="HY15" s="2143">
        <v>8</v>
      </c>
      <c r="HZ15" s="2143">
        <v>8</v>
      </c>
      <c r="IA15" s="2143">
        <v>8</v>
      </c>
      <c r="IB15" s="2143">
        <v>8</v>
      </c>
      <c r="IC15" s="2143">
        <v>8</v>
      </c>
      <c r="ID15" s="2143">
        <v>8</v>
      </c>
      <c r="IE15" s="2143">
        <v>8</v>
      </c>
      <c r="IF15" s="2143">
        <v>8</v>
      </c>
      <c r="IG15" s="2143">
        <v>8</v>
      </c>
      <c r="IH15" s="2143">
        <v>8</v>
      </c>
      <c r="II15" s="2143">
        <v>8</v>
      </c>
      <c r="IJ15" s="2143">
        <v>8</v>
      </c>
      <c r="IK15" s="2143">
        <v>8</v>
      </c>
      <c r="IL15" s="2143">
        <v>8</v>
      </c>
      <c r="IM15" s="2143">
        <v>8</v>
      </c>
      <c r="IN15" s="2143">
        <v>8</v>
      </c>
      <c r="IO15" s="2143">
        <v>8</v>
      </c>
      <c r="IP15" s="2143">
        <v>8</v>
      </c>
      <c r="IQ15" s="2143">
        <v>8</v>
      </c>
      <c r="IR15" s="2143">
        <v>8</v>
      </c>
      <c r="IS15" s="2143">
        <v>8</v>
      </c>
      <c r="IT15" s="2143">
        <v>8</v>
      </c>
      <c r="IU15" s="2143">
        <v>8</v>
      </c>
      <c r="IV15" s="2143">
        <v>8</v>
      </c>
      <c r="IW15" s="2143">
        <v>23</v>
      </c>
    </row>
  </sheetData>
  <sheetProtection sort="0" autoFilter="0" insertRows="0" insertColumns="1" deleteRows="0" deleteColumns="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0.9993055555555556</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83A648E-AB4C-C9EB-22C3-7564A0DB8488}" mc:Ignorable="x14ac xr xr2 xr3">
  <dimension ref="A1:Q19"/>
  <sheetViews>
    <sheetView topLeftCell="A1" showGridLines="0" zoomScale="90" workbookViewId="0">
      <selection activeCell="A1" sqref="A1"/>
    </sheetView>
  </sheetViews>
  <sheetFormatPr defaultColWidth="9.140625" customHeight="1" defaultRowHeight="14.25"/>
  <cols>
    <col min="1" max="1" style="46808" width="9.140625" hidden="1"/>
    <col min="2" max="2" style="46889" width="9.140625" hidden="1"/>
    <col min="3" max="3" style="46808" width="3.7109375" hidden="1" customWidth="1"/>
    <col min="4" max="4" style="46988" width="3.00390625" customWidth="1"/>
    <col min="5" max="5" style="46808" width="6.00390625" customWidth="1"/>
    <col min="6" max="6" style="46808" width="27.00390625" customWidth="1"/>
    <col min="7" max="7" style="46808" width="29.00390625" customWidth="1"/>
    <col min="8" max="8" style="46808" width="25.00390625" customWidth="1"/>
    <col min="9" max="9" style="46808" width="5.00390625" customWidth="1"/>
    <col min="10" max="10" style="46808" width="6.00390625" customWidth="1"/>
    <col min="11" max="11" style="46808" width="41.00390625" customWidth="1"/>
    <col min="12" max="12" style="46808" width="42.00390625" customWidth="1"/>
    <col min="13" max="13" style="46808" width="41.00390625" customWidth="1"/>
    <col min="14" max="14" style="46808" width="89.00390625" customWidth="1"/>
    <col min="15" max="15" style="46989" width="3.00390625" customWidth="1"/>
    <col min="16" max="16" style="46989" width="8.00390625" customWidth="1"/>
    <col min="17" max="17" style="46808" width="9.140625" hidden="1"/>
  </cols>
  <sheetData>
    <row customHeight="1" ht="22.5" hidden="1">
      <c r="Q1" s="1667" t="s">
        <v>14</v>
      </c>
    </row>
    <row s="46950" customFormat="1" customHeight="1" ht="22.5" hidden="1">
      <c r="A2" s="1008"/>
      <c r="B2" s="1672">
        <v>1</v>
      </c>
      <c r="C2" s="1672"/>
      <c r="D2" s="2440" t="s">
        <v>106</v>
      </c>
      <c r="E2" s="2639">
        <v>1</v>
      </c>
      <c r="F2" s="2815" t="str">
        <f>IF(region_name="","",region_name)</f>
        <v>Приморский край</v>
      </c>
      <c r="G2" s="2995"/>
      <c r="H2" s="2996"/>
      <c r="I2" s="986"/>
      <c r="J2" s="2422">
        <v>1</v>
      </c>
      <c r="K2" s="2424"/>
      <c r="L2" s="2424"/>
      <c r="M2" s="2424"/>
      <c r="N2" s="1004"/>
      <c r="O2" s="2047"/>
      <c r="P2" s="1023"/>
      <c r="Q2" s="935">
        <v>0</v>
      </c>
    </row>
    <row s="46950" customFormat="1" customHeight="1" ht="22.5" hidden="1">
      <c r="A3" s="1343"/>
      <c r="B3" s="1672"/>
      <c r="C3" s="1672"/>
      <c r="D3" s="1313"/>
      <c r="E3" s="2639"/>
      <c r="F3" s="2815"/>
      <c r="G3" s="2995"/>
      <c r="H3" s="2997"/>
      <c r="I3" s="933"/>
      <c r="J3" s="2012"/>
      <c r="K3" s="2012" t="s">
        <v>2002</v>
      </c>
      <c r="L3" s="2055"/>
      <c r="M3" s="2432"/>
      <c r="N3" s="2425"/>
      <c r="O3" s="2047"/>
      <c r="P3" s="1023"/>
      <c r="Q3" s="935">
        <v>0</v>
      </c>
    </row>
    <row s="46890" customFormat="1" customHeight="1" ht="5.25" hidden="1">
      <c r="A4" s="1008"/>
      <c r="D4" s="1006"/>
      <c r="F4" s="759" t="s">
        <v>85</v>
      </c>
      <c r="G4" s="1006" t="s">
        <v>86</v>
      </c>
      <c r="H4" s="1006"/>
      <c r="I4" s="2435"/>
      <c r="J4" s="2056"/>
      <c r="K4" s="2423"/>
      <c r="L4" s="2423"/>
      <c r="M4" s="2423"/>
      <c r="N4" s="2419"/>
      <c r="O4" s="759" t="s">
        <v>85</v>
      </c>
      <c r="P4" s="759"/>
      <c r="Q4" s="1023">
        <v>0</v>
      </c>
    </row>
    <row s="46950" customFormat="1" customHeight="1" ht="22.5" hidden="1">
      <c r="A5" s="2153"/>
      <c r="B5" s="1878">
        <v>1</v>
      </c>
      <c r="C5" s="1878"/>
      <c r="D5" s="1313"/>
      <c r="E5" s="2425"/>
      <c r="F5" s="2425"/>
      <c r="G5" s="2425"/>
      <c r="H5" s="2436"/>
      <c r="I5" s="2441" t="s">
        <v>106</v>
      </c>
      <c r="J5" s="2434">
        <v>1</v>
      </c>
      <c r="K5" s="2424"/>
      <c r="L5" s="2424"/>
      <c r="M5" s="2424"/>
      <c r="N5" s="1004"/>
      <c r="O5" s="2047"/>
      <c r="P5" s="2148"/>
      <c r="Q5" s="1136">
        <v>0</v>
      </c>
    </row>
    <row s="46905" customFormat="1" customHeight="1" ht="14.699999999999998">
      <c r="A6" s="1667"/>
      <c r="B6" s="1672"/>
      <c r="C6" s="1667"/>
      <c r="D6" s="2007"/>
      <c r="E6" s="1021"/>
      <c r="F6" s="1021"/>
      <c r="G6" s="1021"/>
      <c r="H6" s="1021"/>
      <c r="I6" s="1021"/>
      <c r="J6" s="1021"/>
      <c r="K6" s="1021"/>
      <c r="L6" s="1021"/>
      <c r="M6" s="1021"/>
      <c r="N6" s="2147"/>
      <c r="O6" s="759"/>
      <c r="P6" s="1012"/>
      <c r="Q6" s="1019">
        <v>14</v>
      </c>
    </row>
    <row s="46905" customFormat="1" customHeight="1" ht="27.299999999999997">
      <c r="A7" s="1667"/>
      <c r="B7" s="1672"/>
      <c r="C7" s="1667"/>
      <c r="D7" s="2007"/>
      <c r="E7" s="3002"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3002"/>
      <c r="G7" s="3002"/>
      <c r="H7" s="3002"/>
      <c r="I7" s="3002"/>
      <c r="J7" s="3002"/>
      <c r="K7" s="3002"/>
      <c r="L7" s="3002"/>
      <c r="M7" s="3002"/>
      <c r="N7" s="1764"/>
      <c r="O7" s="759"/>
      <c r="P7" s="1012"/>
      <c r="Q7" s="1019">
        <v>26</v>
      </c>
    </row>
    <row s="46905" customFormat="1" customHeight="1" ht="14.699999999999998">
      <c r="A8" s="1667"/>
      <c r="B8" s="1672"/>
      <c r="C8" s="1667"/>
      <c r="D8" s="2007"/>
      <c r="E8" s="1021"/>
      <c r="F8" s="679"/>
      <c r="G8" s="679"/>
      <c r="H8" s="679"/>
      <c r="I8" s="679"/>
      <c r="J8" s="679"/>
      <c r="K8" s="679"/>
      <c r="L8" s="679"/>
      <c r="M8" s="679"/>
      <c r="N8" s="1128"/>
      <c r="O8" s="1012"/>
      <c r="P8" s="1012"/>
      <c r="Q8" s="1019">
        <v>14</v>
      </c>
    </row>
    <row s="55438" customFormat="1" customHeight="1" ht="14.25" hidden="1">
      <c r="A9" s="1980"/>
      <c r="B9" s="1990"/>
      <c r="C9" s="1980"/>
      <c r="D9" s="2007"/>
      <c r="E9" s="2426"/>
      <c r="F9" s="2426"/>
      <c r="G9" s="2426"/>
      <c r="H9" s="2426"/>
      <c r="I9" s="3005"/>
      <c r="J9" s="3005"/>
      <c r="K9" s="3005"/>
      <c r="L9" s="2426"/>
      <c r="M9" s="2427"/>
      <c r="O9" s="2057"/>
      <c r="P9" s="2057"/>
      <c r="Q9" s="2058">
        <v>0</v>
      </c>
    </row>
    <row s="46905" customFormat="1" customHeight="1" ht="14.699999999999998">
      <c r="A10" s="1667"/>
      <c r="B10" s="1672"/>
      <c r="C10" s="1667"/>
      <c r="D10" s="2007"/>
      <c r="E10" s="2639" t="s">
        <v>418</v>
      </c>
      <c r="F10" s="2639"/>
      <c r="G10" s="2639"/>
      <c r="H10" s="2639"/>
      <c r="I10" s="2639"/>
      <c r="J10" s="2639"/>
      <c r="K10" s="2639"/>
      <c r="L10" s="2639"/>
      <c r="M10" s="2613"/>
      <c r="N10" s="2990" t="s">
        <v>419</v>
      </c>
      <c r="O10" s="1012"/>
      <c r="P10" s="1012"/>
      <c r="Q10" s="1019">
        <v>14</v>
      </c>
    </row>
    <row s="46905" customFormat="1" customHeight="1" ht="44.25">
      <c r="A11" s="2143"/>
      <c r="B11" s="1878"/>
      <c r="C11" s="2143"/>
      <c r="D11" s="2027"/>
      <c r="E11" s="3004" t="s">
        <v>90</v>
      </c>
      <c r="F11" s="3004" t="s">
        <v>422</v>
      </c>
      <c r="G11" s="3004" t="s">
        <v>2003</v>
      </c>
      <c r="H11" s="3004"/>
      <c r="I11" s="3004" t="s">
        <v>2004</v>
      </c>
      <c r="J11" s="3004"/>
      <c r="K11" s="3004"/>
      <c r="L11" s="3004" t="s">
        <v>2005</v>
      </c>
      <c r="M11" s="2992" t="s">
        <v>2006</v>
      </c>
      <c r="N11" s="3003"/>
      <c r="O11" s="2136"/>
      <c r="P11" s="2136"/>
      <c r="Q11" s="2121">
        <v>42</v>
      </c>
    </row>
    <row s="46905" customFormat="1" customHeight="1" ht="29.25">
      <c r="A12" s="1667"/>
      <c r="B12" s="1672"/>
      <c r="C12" s="1667"/>
      <c r="D12" s="2007"/>
      <c r="E12" s="2990"/>
      <c r="F12" s="3004"/>
      <c r="G12" s="2421" t="s">
        <v>2007</v>
      </c>
      <c r="H12" s="2421" t="s">
        <v>426</v>
      </c>
      <c r="I12" s="3004"/>
      <c r="J12" s="3004"/>
      <c r="K12" s="3004"/>
      <c r="L12" s="3004"/>
      <c r="M12" s="2992"/>
      <c r="N12" s="2991"/>
      <c r="O12" s="1012"/>
      <c r="P12" s="1012"/>
      <c r="Q12" s="1019">
        <v>28</v>
      </c>
    </row>
    <row s="46950" customFormat="1" customHeight="1" ht="23.25">
      <c r="A13" s="2611">
        <v>26379339</v>
      </c>
      <c r="B13" s="1672">
        <v>1</v>
      </c>
      <c r="C13" s="1672"/>
      <c r="D13" s="1313"/>
      <c r="E13" s="2639">
        <v>1</v>
      </c>
      <c r="F13" s="2998" t="str">
        <f>IF(region_name="","",region_name)</f>
        <v>Приморский край</v>
      </c>
      <c r="G13" s="2999"/>
      <c r="H13" s="3006"/>
      <c r="I13" s="986"/>
      <c r="J13" s="2417">
        <v>1</v>
      </c>
      <c r="K13" s="2430"/>
      <c r="L13" s="2431"/>
      <c r="M13" s="2431"/>
      <c r="N13" s="3000" t="s">
        <v>2008</v>
      </c>
      <c r="O13" s="2047"/>
      <c r="P13" s="1023"/>
      <c r="Q13" s="935">
        <v>22</v>
      </c>
    </row>
    <row s="46950" customFormat="1" customHeight="1" ht="23.25">
      <c r="A14" s="2611"/>
      <c r="B14" s="1672"/>
      <c r="C14" s="1672"/>
      <c r="D14" s="1313"/>
      <c r="E14" s="2639"/>
      <c r="F14" s="2998"/>
      <c r="G14" s="2999"/>
      <c r="H14" s="3007"/>
      <c r="I14" s="933"/>
      <c r="J14" s="2012"/>
      <c r="K14" s="2012" t="s">
        <v>2002</v>
      </c>
      <c r="L14" s="2055"/>
      <c r="M14" s="2055"/>
      <c r="N14" s="3001"/>
      <c r="O14" s="2047"/>
      <c r="P14" s="1023"/>
      <c r="Q14" s="935">
        <v>22</v>
      </c>
    </row>
    <row s="46950" customFormat="1" customHeight="1" ht="23.25">
      <c r="A15" s="2611"/>
      <c r="B15" s="1672"/>
      <c r="C15" s="924"/>
      <c r="D15" s="1313"/>
      <c r="E15" s="933"/>
      <c r="F15" s="2012" t="s">
        <v>1994</v>
      </c>
      <c r="G15" s="2054"/>
      <c r="H15" s="2054"/>
      <c r="I15" s="699"/>
      <c r="J15" s="699"/>
      <c r="K15" s="699"/>
      <c r="L15" s="699"/>
      <c r="M15" s="699"/>
      <c r="N15" s="3001"/>
      <c r="O15" s="2048"/>
      <c r="P15" s="1023"/>
      <c r="Q15" s="935">
        <v>22</v>
      </c>
    </row>
    <row s="46905" customFormat="1" customHeight="1" ht="22.049999999999997">
      <c r="A16" s="1667"/>
      <c r="B16" s="1672"/>
      <c r="C16" s="1667"/>
      <c r="D16" s="963"/>
      <c r="E16" s="692"/>
      <c r="F16" s="692"/>
      <c r="G16" s="692"/>
      <c r="H16" s="692"/>
      <c r="I16" s="692"/>
      <c r="J16" s="692"/>
      <c r="K16" s="692"/>
      <c r="L16" s="692"/>
      <c r="M16" s="1021"/>
      <c r="N16" s="2147"/>
      <c r="O16" s="1012"/>
      <c r="P16" s="1012"/>
      <c r="Q16" s="1019">
        <v>21</v>
      </c>
    </row>
    <row s="46905" customFormat="1" customHeight="1" ht="14.699999999999998">
      <c r="A17" s="1667"/>
      <c r="B17" s="1672"/>
      <c r="C17" s="1667"/>
      <c r="D17" s="963"/>
      <c r="E17" s="1667"/>
      <c r="F17" s="1667"/>
      <c r="G17" s="1667"/>
      <c r="H17" s="1667"/>
      <c r="I17" s="1667"/>
      <c r="J17" s="1667"/>
      <c r="K17" s="1667"/>
      <c r="L17" s="1667"/>
      <c r="M17" s="1667"/>
      <c r="N17" s="2143"/>
      <c r="O17" s="1012"/>
      <c r="P17" s="1012"/>
      <c r="Q17" s="1019">
        <v>14</v>
      </c>
    </row>
    <row s="46905" customFormat="1" customHeight="1" ht="1.05">
      <c r="A18" s="1667"/>
      <c r="B18" s="1672"/>
      <c r="C18" s="1667"/>
      <c r="D18" s="963"/>
      <c r="E18" s="1667"/>
      <c r="F18" s="1667"/>
      <c r="G18" s="1667"/>
      <c r="H18" s="1667"/>
      <c r="I18" s="1667"/>
      <c r="J18" s="1667"/>
      <c r="K18" s="1667"/>
      <c r="L18" s="1667"/>
      <c r="M18" s="1667"/>
      <c r="N18" s="2143"/>
      <c r="O18" s="1012"/>
      <c r="P18" s="1012"/>
      <c r="Q18" s="1019">
        <v>1</v>
      </c>
    </row>
    <row customHeight="1" ht="22.5" hidden="1">
      <c r="A19" s="1667" t="s">
        <v>84</v>
      </c>
      <c r="B19" s="1672">
        <v>0</v>
      </c>
      <c r="C19" s="1667">
        <v>0</v>
      </c>
      <c r="D19" s="963">
        <v>3</v>
      </c>
      <c r="E19" s="1667">
        <v>6</v>
      </c>
      <c r="F19" s="1667">
        <v>27</v>
      </c>
      <c r="G19" s="1667">
        <v>29</v>
      </c>
      <c r="H19" s="1667">
        <v>25</v>
      </c>
      <c r="I19" s="1667">
        <v>5</v>
      </c>
      <c r="J19" s="1667">
        <v>6</v>
      </c>
      <c r="K19" s="1667">
        <v>41</v>
      </c>
      <c r="L19" s="1667">
        <v>42</v>
      </c>
      <c r="M19" s="1667">
        <v>41</v>
      </c>
      <c r="N19" s="2143">
        <v>89</v>
      </c>
      <c r="O19" s="1012">
        <v>3</v>
      </c>
      <c r="P19" s="1012">
        <v>8</v>
      </c>
      <c r="Q19" s="1667">
        <v>23</v>
      </c>
    </row>
  </sheetData>
  <sheetProtection formatColumns="0" formatRows="0" autoFilter="0" sort="0" insertRows="0" insertColumns="1" deleteRows="0" deleteColumns="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DD09A4F-B0F6-73E7-F605-157D456607FA}" mc:Ignorable="x14ac xr xr2 xr3">
  <sheetPr>
    <tabColor rgb="FFEAEBEE"/>
    <pageSetUpPr fitToPage="1"/>
  </sheetPr>
  <dimension ref="A1:M16"/>
  <sheetViews>
    <sheetView topLeftCell="A1" showGridLines="0" zoomScale="90" workbookViewId="0">
      <selection activeCell="A1" sqref="A1"/>
    </sheetView>
  </sheetViews>
  <sheetFormatPr defaultColWidth="9.140625" customHeight="1" defaultRowHeight="14.25"/>
  <cols>
    <col min="1" max="1" style="47363" width="9.140625" hidden="1"/>
    <col min="2" max="2" style="55196" width="9.140625" hidden="1"/>
    <col min="3" max="3" style="55478" width="3.00390625" customWidth="1"/>
    <col min="4" max="4" style="55196" width="6.00390625" customWidth="1"/>
    <col min="5" max="5" style="55196" width="22.00390625" customWidth="1"/>
    <col min="6" max="6" style="55196" width="15.00390625" customWidth="1"/>
    <col min="7" max="7" style="55196" width="14.00390625" customWidth="1"/>
    <col min="8" max="8" style="55196" width="47.00390625" customWidth="1"/>
    <col min="9" max="9" style="55196" width="115.00390625" customWidth="1"/>
    <col min="10" max="10" style="55196" width="3.00390625" customWidth="1"/>
    <col min="11" max="12" style="55196" width="8.00390625" customWidth="1"/>
    <col min="13" max="13" style="55196" width="9.140625" hidden="1"/>
  </cols>
  <sheetData>
    <row customHeight="1" ht="14.25" hidden="1">
      <c r="M1" s="633" t="s">
        <v>14</v>
      </c>
    </row>
    <row customHeight="1" ht="14.25" hidden="1">
      <c r="M2" s="633">
        <v>0</v>
      </c>
    </row>
    <row customHeight="1" ht="14.25" hidden="1">
      <c r="M3" s="633">
        <v>0</v>
      </c>
    </row>
    <row customHeight="1" ht="3">
      <c r="M4" s="633">
        <v>3</v>
      </c>
    </row>
    <row s="46808" customFormat="1" customHeight="1" ht="31.5">
      <c r="A5" s="627"/>
      <c r="C5" s="602"/>
      <c r="D5" s="2612" t="s">
        <v>2009</v>
      </c>
      <c r="E5" s="2612"/>
      <c r="F5" s="2612"/>
      <c r="G5" s="2612"/>
      <c r="H5" s="2612"/>
      <c r="I5" s="777"/>
      <c r="M5" s="595">
        <v>30</v>
      </c>
    </row>
    <row customHeight="1" ht="3" hidden="1">
      <c r="D6" s="634"/>
      <c r="E6" s="634"/>
      <c r="F6" s="634"/>
      <c r="G6" s="634"/>
      <c r="H6" s="634"/>
      <c r="I6" s="634"/>
      <c r="M6" s="633">
        <v>0</v>
      </c>
    </row>
    <row s="47363" customFormat="1" customHeight="1" ht="14.699999999999998">
      <c r="B7" s="631"/>
      <c r="C7" s="632"/>
      <c r="D7" s="635"/>
      <c r="E7" s="635"/>
      <c r="F7" s="635"/>
      <c r="G7" s="635"/>
      <c r="H7" s="1264"/>
      <c r="I7" s="635"/>
      <c r="J7" s="636"/>
      <c r="M7" s="630">
        <v>14</v>
      </c>
    </row>
    <row customHeight="1" ht="14.699999999999998">
      <c r="D8" s="2721" t="s">
        <v>418</v>
      </c>
      <c r="E8" s="2721"/>
      <c r="F8" s="2721"/>
      <c r="G8" s="2721"/>
      <c r="H8" s="2721"/>
      <c r="I8" s="2721" t="s">
        <v>419</v>
      </c>
      <c r="M8" s="633">
        <v>14</v>
      </c>
    </row>
    <row customHeight="1" ht="29.25">
      <c r="D9" s="2721" t="s">
        <v>90</v>
      </c>
      <c r="E9" s="2721" t="s">
        <v>2010</v>
      </c>
      <c r="F9" s="2721"/>
      <c r="G9" s="2721"/>
      <c r="H9" s="2721"/>
      <c r="I9" s="2721"/>
      <c r="M9" s="633">
        <v>28</v>
      </c>
    </row>
    <row customHeight="1" ht="24">
      <c r="D10" s="2721"/>
      <c r="E10" s="639" t="s">
        <v>2011</v>
      </c>
      <c r="F10" s="639" t="s">
        <v>2012</v>
      </c>
      <c r="G10" s="639" t="s">
        <v>2013</v>
      </c>
      <c r="H10" s="639" t="s">
        <v>508</v>
      </c>
      <c r="I10" s="2721"/>
      <c r="M10" s="633">
        <v>23</v>
      </c>
    </row>
    <row customHeight="1" ht="12" hidden="1">
      <c r="D11" s="599" t="s">
        <v>101</v>
      </c>
      <c r="E11" s="599" t="s">
        <v>93</v>
      </c>
      <c r="F11" s="599" t="s">
        <v>120</v>
      </c>
      <c r="G11" s="599" t="s">
        <v>94</v>
      </c>
      <c r="H11" s="599" t="s">
        <v>95</v>
      </c>
      <c r="I11" s="599" t="s">
        <v>134</v>
      </c>
      <c r="M11" s="633">
        <v>0</v>
      </c>
    </row>
    <row s="55196" customFormat="1" customHeight="1" ht="26.25">
      <c r="A12" s="657" t="s">
        <v>92</v>
      </c>
      <c r="B12" s="637" t="s">
        <v>28</v>
      </c>
      <c r="C12" s="638"/>
      <c r="D12" s="640" t="s">
        <v>101</v>
      </c>
      <c r="E12" s="893"/>
      <c r="F12" s="893"/>
      <c r="G12" s="2246" t="s">
        <v>28</v>
      </c>
      <c r="H12" s="894"/>
      <c r="I12" s="2681" t="s">
        <v>2014</v>
      </c>
      <c r="K12" s="784"/>
      <c r="L12" s="785"/>
      <c r="M12" s="629">
        <v>25</v>
      </c>
    </row>
    <row customHeight="1" ht="15.75">
      <c r="A13" s="633"/>
      <c r="B13" s="633"/>
      <c r="C13" s="633"/>
      <c r="D13" s="621"/>
      <c r="E13" s="642" t="s">
        <v>583</v>
      </c>
      <c r="F13" s="641"/>
      <c r="G13" s="641"/>
      <c r="H13" s="726"/>
      <c r="I13" s="2683"/>
      <c r="M13" s="633">
        <v>15</v>
      </c>
    </row>
    <row customHeight="1" ht="3">
      <c r="A14" s="633"/>
      <c r="B14" s="633"/>
      <c r="C14" s="633"/>
      <c r="M14" s="633">
        <v>3</v>
      </c>
    </row>
    <row customHeight="1" ht="29.25">
      <c r="E15" s="3008" t="s">
        <v>2015</v>
      </c>
      <c r="F15" s="3008"/>
      <c r="G15" s="3008"/>
      <c r="H15" s="3008"/>
      <c r="M15" s="633">
        <v>28</v>
      </c>
    </row>
    <row customHeight="1" ht="14.25" hidden="1">
      <c r="A16" s="630" t="s">
        <v>84</v>
      </c>
      <c r="B16" s="631">
        <v>0</v>
      </c>
      <c r="C16" s="632">
        <v>3</v>
      </c>
      <c r="D16" s="633">
        <v>6</v>
      </c>
      <c r="E16" s="633">
        <v>22</v>
      </c>
      <c r="F16" s="633">
        <v>15</v>
      </c>
      <c r="G16" s="633">
        <v>14</v>
      </c>
      <c r="H16" s="633">
        <v>47</v>
      </c>
      <c r="I16" s="633">
        <v>115</v>
      </c>
      <c r="J16" s="633">
        <v>3</v>
      </c>
      <c r="K16" s="633">
        <v>8</v>
      </c>
      <c r="L16" s="633">
        <v>8</v>
      </c>
      <c r="M16" s="633">
        <v>14</v>
      </c>
    </row>
  </sheetData>
  <sheetProtection formatColumns="0" formatRows="0" autoFilter="0" sort="0" insertRows="0" insertColumns="1" deleteRows="0" deleteColumns="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pageOrder="downThenOver"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9512418-E262-1224-5D96-46FBB2B59635}" mc:Ignorable="x14ac xr xr2 xr3">
  <sheetPr>
    <tabColor rgb="FFCCCCFF"/>
    <pageSetUpPr fitToPage="1"/>
  </sheetPr>
  <dimension ref="A1:J16"/>
  <sheetViews>
    <sheetView topLeftCell="A1" showGridLines="0" zoomScale="90" workbookViewId="0">
      <selection activeCell="E12" sqref="E12"/>
    </sheetView>
  </sheetViews>
  <sheetFormatPr defaultColWidth="9.140625" customHeight="1" defaultRowHeight="14.25"/>
  <cols>
    <col min="1" max="2" style="55497" width="9.140625" hidden="1"/>
    <col min="3" max="3" style="55498" width="3.00390625" customWidth="1"/>
    <col min="4" max="4" style="55497" width="6.00390625" customWidth="1"/>
    <col min="5" max="5" style="55497" width="94.00390625" customWidth="1"/>
    <col min="6" max="9" style="55497" width="8.00390625" customWidth="1"/>
    <col min="10" max="10" style="55497" width="9.140625" hidden="1"/>
  </cols>
  <sheetData>
    <row customHeight="1" ht="14.25" hidden="1">
      <c r="J1" s="581" t="s">
        <v>14</v>
      </c>
    </row>
    <row customHeight="1" ht="14.25" hidden="1">
      <c r="J2" s="581">
        <v>0</v>
      </c>
    </row>
    <row customHeight="1" ht="14.25" hidden="1">
      <c r="J3" s="581">
        <v>0</v>
      </c>
    </row>
    <row customHeight="1" ht="14.25" hidden="1">
      <c r="J4" s="581">
        <v>0</v>
      </c>
    </row>
    <row customHeight="1" ht="14.25" hidden="1">
      <c r="J5" s="581">
        <v>0</v>
      </c>
    </row>
    <row customHeight="1" ht="3">
      <c r="C6" s="604"/>
      <c r="D6" s="582"/>
      <c r="E6" s="582"/>
      <c r="J6" s="581">
        <v>3</v>
      </c>
    </row>
    <row customHeight="1" ht="23.25">
      <c r="C7" s="604"/>
      <c r="D7" s="3009" t="s">
        <v>2016</v>
      </c>
      <c r="E7" s="3010"/>
      <c r="F7" s="779"/>
      <c r="J7" s="581">
        <v>22</v>
      </c>
    </row>
    <row customHeight="1" ht="3">
      <c r="C8" s="604"/>
      <c r="D8" s="582"/>
      <c r="E8" s="582"/>
      <c r="J8" s="581">
        <v>3</v>
      </c>
    </row>
    <row customHeight="1" ht="16.8">
      <c r="C9" s="604"/>
      <c r="D9" s="617" t="s">
        <v>90</v>
      </c>
      <c r="E9" s="772" t="s">
        <v>2017</v>
      </c>
      <c r="J9" s="581">
        <v>16</v>
      </c>
    </row>
    <row customHeight="1" ht="1.05">
      <c r="C10" s="604"/>
      <c r="D10" s="599"/>
      <c r="E10" s="599"/>
      <c r="J10" s="581">
        <v>1</v>
      </c>
    </row>
    <row customHeight="1" ht="11.25" hidden="1">
      <c r="C11" s="604"/>
      <c r="D11" s="662">
        <v>0</v>
      </c>
      <c r="E11" s="773"/>
      <c r="J11" s="581">
        <v>0</v>
      </c>
    </row>
    <row customHeight="1" ht="15.75">
      <c r="C12" s="648"/>
      <c r="D12" s="625">
        <v>1</v>
      </c>
      <c r="E12" s="889" t="s">
        <v>2018</v>
      </c>
      <c r="J12" s="581">
        <v>15</v>
      </c>
    </row>
    <row customHeight="1" ht="12.75">
      <c r="C13" s="604"/>
      <c r="D13" s="774"/>
      <c r="E13" s="775" t="s">
        <v>2019</v>
      </c>
      <c r="J13" s="581">
        <v>12</v>
      </c>
    </row>
    <row customHeight="1" ht="3">
      <c r="J14" s="581">
        <v>3</v>
      </c>
    </row>
    <row customHeight="1" ht="23.25">
      <c r="C15" s="649"/>
      <c r="D15" s="3011" t="s">
        <v>2020</v>
      </c>
      <c r="E15" s="3011"/>
      <c r="F15" s="650"/>
      <c r="G15" s="650"/>
      <c r="H15" s="650"/>
      <c r="I15" s="650"/>
      <c r="J15" s="581">
        <v>22</v>
      </c>
    </row>
    <row customHeight="1" ht="14.25" hidden="1">
      <c r="A16" s="581" t="s">
        <v>84</v>
      </c>
      <c r="B16" s="581">
        <v>0</v>
      </c>
      <c r="C16" s="603">
        <v>3</v>
      </c>
      <c r="D16" s="581">
        <v>6</v>
      </c>
      <c r="E16" s="581">
        <v>94</v>
      </c>
      <c r="F16" s="581">
        <v>8</v>
      </c>
      <c r="G16" s="581">
        <v>8</v>
      </c>
      <c r="H16" s="581">
        <v>8</v>
      </c>
      <c r="I16" s="581">
        <v>8</v>
      </c>
      <c r="J16" s="581">
        <v>14</v>
      </c>
    </row>
  </sheetData>
  <sheetProtection formatColumns="0" formatRows="0" sort="0" autoFilter="0" insertRows="0" insertColumns="1" deleteRows="0" deleteColumn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0686521-D9F4-EDE9-E60C-95528766E327}" mc:Ignorable="x14ac xr xr2 xr3">
  <sheetPr>
    <tabColor rgb="FFCCCCFF"/>
    <pageSetUpPr fitToPage="1"/>
  </sheetPr>
  <dimension ref="A1:M13"/>
  <sheetViews>
    <sheetView topLeftCell="A1" showGridLines="0" zoomScale="90" workbookViewId="0">
      <selection activeCell="A1" sqref="A1"/>
    </sheetView>
  </sheetViews>
  <sheetFormatPr defaultColWidth="9.140625" customHeight="1" defaultRowHeight="14.25"/>
  <cols>
    <col min="1" max="2" style="55497" width="9.140625" hidden="1"/>
    <col min="3" max="3" style="55498" width="3.00390625" customWidth="1"/>
    <col min="4" max="4" style="55497" width="6.00390625" customWidth="1"/>
    <col min="5" max="5" style="55497" width="94.00390625" customWidth="1"/>
    <col min="6" max="12" style="55497" width="8.00390625" customWidth="1"/>
    <col min="13" max="13" style="55497" width="9.140625" hidden="1"/>
  </cols>
  <sheetData>
    <row customHeight="1" ht="14.25" hidden="1">
      <c r="L1" s="776"/>
      <c r="M1" s="581" t="s">
        <v>14</v>
      </c>
    </row>
    <row customHeight="1" ht="14.25" hidden="1">
      <c r="M2" s="581">
        <v>0</v>
      </c>
    </row>
    <row customHeight="1" ht="14.25" hidden="1">
      <c r="M3" s="581">
        <v>0</v>
      </c>
    </row>
    <row customHeight="1" ht="14.25" hidden="1">
      <c r="M4" s="581">
        <v>0</v>
      </c>
    </row>
    <row customHeight="1" ht="14.25" hidden="1">
      <c r="M5" s="581">
        <v>0</v>
      </c>
    </row>
    <row customHeight="1" ht="3">
      <c r="C6" s="604"/>
      <c r="D6" s="582"/>
      <c r="E6" s="582"/>
      <c r="M6" s="581">
        <v>3</v>
      </c>
    </row>
    <row customHeight="1" ht="23.25">
      <c r="C7" s="604"/>
      <c r="D7" s="2612" t="s">
        <v>2021</v>
      </c>
      <c r="E7" s="2612"/>
      <c r="F7" s="779"/>
      <c r="M7" s="581">
        <v>22</v>
      </c>
    </row>
    <row customHeight="1" ht="3">
      <c r="C8" s="604"/>
      <c r="D8" s="582"/>
      <c r="E8" s="582"/>
      <c r="M8" s="581">
        <v>3</v>
      </c>
    </row>
    <row customHeight="1" ht="16.8">
      <c r="C9" s="604"/>
      <c r="D9" s="617" t="s">
        <v>90</v>
      </c>
      <c r="E9" s="620" t="s">
        <v>405</v>
      </c>
      <c r="M9" s="581">
        <v>16</v>
      </c>
    </row>
    <row customHeight="1" ht="12.75">
      <c r="C10" s="604"/>
      <c r="D10" s="599" t="s">
        <v>101</v>
      </c>
      <c r="E10" s="599" t="s">
        <v>105</v>
      </c>
      <c r="M10" s="581">
        <v>12</v>
      </c>
    </row>
    <row customHeight="1" ht="15" hidden="1">
      <c r="C11" s="604"/>
      <c r="D11" s="625">
        <v>0</v>
      </c>
      <c r="E11" s="661"/>
      <c r="M11" s="581">
        <v>0</v>
      </c>
    </row>
    <row customHeight="1" ht="14.699999999999998">
      <c r="C12" s="604"/>
      <c r="D12" s="621"/>
      <c r="E12" s="619" t="s">
        <v>2019</v>
      </c>
      <c r="M12" s="581">
        <v>14</v>
      </c>
    </row>
    <row customHeight="1" ht="14.25" hidden="1">
      <c r="A13" s="581" t="s">
        <v>84</v>
      </c>
      <c r="B13" s="581">
        <v>0</v>
      </c>
      <c r="C13" s="603">
        <v>3</v>
      </c>
      <c r="D13" s="581">
        <v>6</v>
      </c>
      <c r="E13" s="581">
        <v>94</v>
      </c>
      <c r="F13" s="581">
        <v>8</v>
      </c>
      <c r="G13" s="581">
        <v>8</v>
      </c>
      <c r="H13" s="581">
        <v>8</v>
      </c>
      <c r="I13" s="581">
        <v>8</v>
      </c>
      <c r="J13" s="581">
        <v>8</v>
      </c>
      <c r="K13" s="581">
        <v>8</v>
      </c>
      <c r="L13" s="581">
        <v>8</v>
      </c>
      <c r="M13" s="581">
        <v>14</v>
      </c>
    </row>
  </sheetData>
  <sheetProtection formatColumns="0" formatRows="0" autoFilter="0" sort="0" insertRows="0" insertColumns="1" deleteRows="0" deleteColumns="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F702A05-0DC3-E7E3-5EDE-90D3F3409C45}" mc:Ignorable="x14ac xr xr2 xr3">
  <sheetPr>
    <tabColor rgb="FFCCCCFF"/>
  </sheetPr>
  <dimension ref="A1:BM50"/>
  <sheetViews>
    <sheetView topLeftCell="A1" showGridLines="0" zoomScale="90" workbookViewId="0">
      <selection activeCell="A1" sqref="A1"/>
    </sheetView>
  </sheetViews>
  <sheetFormatPr defaultColWidth="9.140625" customHeight="1" defaultRowHeight="11.25"/>
  <cols>
    <col min="1" max="2" style="46950" width="9.140625" hidden="1"/>
    <col min="3" max="4" style="46950" width="3.00390625" customWidth="1"/>
    <col min="5" max="6" style="46950" width="15.00390625" customWidth="1"/>
    <col min="7" max="7" style="46950" width="11.57421875" customWidth="1"/>
    <col min="8" max="9" style="46950" width="3.00390625" customWidth="1"/>
    <col min="10" max="10" style="46950" width="12.00390625" customWidth="1"/>
    <col min="11" max="11" style="46950" width="0.28125" customWidth="1"/>
    <col min="12" max="13" style="46950" width="10.00390625" customWidth="1"/>
    <col min="14" max="15" style="46950" width="3.00390625" customWidth="1"/>
    <col min="16" max="16" style="46950" width="19.00390625" customWidth="1"/>
    <col min="17" max="17" style="46950" width="0.28125" customWidth="1"/>
    <col min="18" max="19" style="46950" width="10.00390625" customWidth="1"/>
    <col min="20" max="21" style="46950" width="3.00390625" customWidth="1"/>
    <col min="22" max="22" style="46950" width="25.00390625" customWidth="1"/>
    <col min="23" max="23" style="46950" width="0.28125" customWidth="1"/>
    <col min="24" max="25" style="46950" width="10.00390625" customWidth="1"/>
    <col min="26" max="27" style="46950" width="3.00390625" customWidth="1"/>
    <col min="28" max="28" style="46950" width="16.00390625" customWidth="1"/>
    <col min="29" max="29" style="46950" width="0.28125" customWidth="1"/>
    <col min="30" max="31" style="46950" width="10.00390625" customWidth="1"/>
    <col min="32" max="33" style="46950" width="3.00390625" customWidth="1"/>
    <col min="34" max="34" style="46950" width="8.00390625" customWidth="1"/>
    <col min="35" max="35" style="46950" width="21.00390625" customWidth="1"/>
    <col min="36" max="36" style="46950" width="8.00390625" customWidth="1"/>
    <col min="37" max="37" style="47363" width="8.00390625" customWidth="1"/>
    <col min="38" max="64" style="46950" width="8.00390625" customWidth="1"/>
    <col min="65" max="65" style="46950" width="9.140625" hidden="1"/>
  </cols>
  <sheetData>
    <row s="47289" customFormat="1" customHeight="1" ht="11.25" hidden="1">
      <c r="AJ1" s="934"/>
      <c r="AK1" s="934"/>
      <c r="AL1" s="934"/>
      <c r="AM1" s="934"/>
      <c r="AN1" s="934"/>
      <c r="AO1" s="934"/>
      <c r="AP1" s="934"/>
      <c r="AQ1" s="934"/>
      <c r="AR1" s="934"/>
      <c r="AS1" s="934"/>
      <c r="AT1" s="934"/>
      <c r="AU1" s="934"/>
      <c r="AV1" s="934"/>
      <c r="AW1" s="934"/>
      <c r="AX1" s="934"/>
      <c r="AY1" s="934"/>
      <c r="AZ1" s="934"/>
      <c r="BA1" s="934"/>
      <c r="BB1" s="934"/>
      <c r="BC1" s="934"/>
      <c r="BD1" s="934"/>
      <c r="BE1" s="934"/>
      <c r="BF1" s="934"/>
      <c r="BG1" s="934"/>
      <c r="BH1" s="934"/>
      <c r="BI1" s="934"/>
      <c r="BJ1" s="934"/>
      <c r="BK1" s="934"/>
      <c r="BL1" s="934"/>
      <c r="BM1" s="931" t="s">
        <v>14</v>
      </c>
    </row>
    <row s="47290" customFormat="1" customHeight="1" ht="11.25" hidden="1">
      <c r="L2" s="2065" t="s">
        <v>397</v>
      </c>
      <c r="M2" s="2065" t="s">
        <v>398</v>
      </c>
      <c r="R2" s="2065" t="s">
        <v>399</v>
      </c>
      <c r="S2" s="2065" t="s">
        <v>398</v>
      </c>
      <c r="X2" s="2065" t="s">
        <v>397</v>
      </c>
      <c r="Y2" s="2065" t="s">
        <v>398</v>
      </c>
      <c r="AD2" s="2065" t="s">
        <v>397</v>
      </c>
      <c r="AE2" s="2065" t="s">
        <v>398</v>
      </c>
      <c r="AJ2" s="2087"/>
      <c r="AK2" s="2087"/>
      <c r="AL2" s="2087"/>
      <c r="AM2" s="2087"/>
      <c r="AN2" s="2087"/>
      <c r="AO2" s="2087"/>
      <c r="AP2" s="2087"/>
      <c r="AQ2" s="2087"/>
      <c r="AR2" s="2087"/>
      <c r="AS2" s="2087"/>
      <c r="AT2" s="2087"/>
      <c r="AU2" s="2087"/>
      <c r="AV2" s="2087"/>
      <c r="AW2" s="2087"/>
      <c r="AX2" s="2087"/>
      <c r="AY2" s="2087"/>
      <c r="AZ2" s="2087"/>
      <c r="BA2" s="2087"/>
      <c r="BB2" s="2087"/>
      <c r="BC2" s="2087"/>
      <c r="BD2" s="2087"/>
      <c r="BE2" s="2087"/>
      <c r="BF2" s="2087"/>
      <c r="BG2" s="2087"/>
      <c r="BH2" s="2087"/>
      <c r="BI2" s="2087"/>
      <c r="BJ2" s="2087"/>
      <c r="BK2" s="2087"/>
      <c r="BL2" s="2087"/>
      <c r="BM2" s="2065">
        <v>0</v>
      </c>
    </row>
    <row s="47293" customFormat="1" customHeight="1" ht="11.549999999999999">
      <c r="AJ3" s="2086"/>
      <c r="AK3" s="818"/>
      <c r="AL3" s="2086"/>
      <c r="AM3" s="2086"/>
      <c r="AN3" s="2086"/>
      <c r="AO3" s="2086"/>
      <c r="AP3" s="2086"/>
      <c r="AQ3" s="2086"/>
      <c r="AR3" s="2086"/>
      <c r="AS3" s="2086"/>
      <c r="AT3" s="2086"/>
      <c r="AU3" s="2086"/>
      <c r="AV3" s="2086"/>
      <c r="AW3" s="2086"/>
      <c r="AX3" s="2086"/>
      <c r="AY3" s="2086"/>
      <c r="AZ3" s="2086"/>
      <c r="BA3" s="2086"/>
      <c r="BB3" s="2086"/>
      <c r="BC3" s="2086"/>
      <c r="BD3" s="2086"/>
      <c r="BE3" s="2086"/>
      <c r="BF3" s="2086"/>
      <c r="BG3" s="2086"/>
      <c r="BH3" s="2086"/>
      <c r="BI3" s="2086"/>
      <c r="BJ3" s="2086"/>
      <c r="BK3" s="2086"/>
      <c r="BL3" s="2086"/>
      <c r="BM3" s="2066">
        <v>11</v>
      </c>
    </row>
    <row s="46905" customFormat="1" customHeight="1" ht="34.5">
      <c r="A4" s="1668"/>
      <c r="B4" s="1667"/>
      <c r="C4" s="2027"/>
      <c r="D4" s="2703" t="s">
        <v>400</v>
      </c>
      <c r="E4" s="2703"/>
      <c r="F4" s="2703"/>
      <c r="G4" s="2703"/>
      <c r="H4" s="2703"/>
      <c r="I4" s="2703"/>
      <c r="J4" s="2703"/>
      <c r="K4" s="1211"/>
      <c r="T4" s="2067"/>
      <c r="AJ4" s="2088"/>
      <c r="AK4" s="2089"/>
      <c r="AL4" s="2088"/>
      <c r="AM4" s="2088"/>
      <c r="AN4" s="2088"/>
      <c r="AO4" s="2088"/>
      <c r="AP4" s="2088"/>
      <c r="AQ4" s="2088"/>
      <c r="AR4" s="2088"/>
      <c r="AS4" s="2088"/>
      <c r="AT4" s="2088"/>
      <c r="AU4" s="2088"/>
      <c r="AV4" s="2088"/>
      <c r="AW4" s="2088"/>
      <c r="AX4" s="2088"/>
      <c r="AY4" s="2088"/>
      <c r="AZ4" s="2088"/>
      <c r="BA4" s="2088"/>
      <c r="BB4" s="2088"/>
      <c r="BC4" s="2088"/>
      <c r="BD4" s="2088"/>
      <c r="BE4" s="2088"/>
      <c r="BF4" s="2088"/>
      <c r="BG4" s="2088"/>
      <c r="BH4" s="2088"/>
      <c r="BI4" s="2088"/>
      <c r="BJ4" s="2088"/>
      <c r="BK4" s="2088"/>
      <c r="BL4" s="2088"/>
      <c r="BM4" s="1019">
        <v>33</v>
      </c>
    </row>
    <row s="46905" customFormat="1" customHeight="1" ht="14.699999999999998">
      <c r="A5" s="2144"/>
      <c r="B5" s="2143"/>
      <c r="C5" s="2027"/>
      <c r="D5" s="2688" t="str">
        <f>IF(org=0,"Не определено",org)</f>
        <v>КГУП "Примтеплоэнерго"</v>
      </c>
      <c r="E5" s="2688"/>
      <c r="F5" s="2688"/>
      <c r="G5" s="2688"/>
      <c r="H5" s="2688"/>
      <c r="I5" s="2688"/>
      <c r="J5" s="2688"/>
      <c r="K5" s="1211"/>
      <c r="T5" s="2067"/>
      <c r="AJ5" s="2088"/>
      <c r="AK5" s="2089"/>
      <c r="AL5" s="2088"/>
      <c r="AM5" s="2088"/>
      <c r="AN5" s="2088"/>
      <c r="AO5" s="2088"/>
      <c r="AP5" s="2088"/>
      <c r="AQ5" s="2088"/>
      <c r="AR5" s="2088"/>
      <c r="AS5" s="2088"/>
      <c r="AT5" s="2088"/>
      <c r="AU5" s="2088"/>
      <c r="AV5" s="2088"/>
      <c r="AW5" s="2088"/>
      <c r="AX5" s="2088"/>
      <c r="AY5" s="2088"/>
      <c r="AZ5" s="2088"/>
      <c r="BA5" s="2088"/>
      <c r="BB5" s="2088"/>
      <c r="BC5" s="2088"/>
      <c r="BD5" s="2088"/>
      <c r="BE5" s="2088"/>
      <c r="BF5" s="2088"/>
      <c r="BG5" s="2088"/>
      <c r="BH5" s="2088"/>
      <c r="BI5" s="2088"/>
      <c r="BJ5" s="2088"/>
      <c r="BK5" s="2088"/>
      <c r="BL5" s="2088"/>
      <c r="BM5" s="2121">
        <v>14</v>
      </c>
    </row>
    <row s="46905" customFormat="1" customHeight="1" ht="14.699999999999998">
      <c r="A6" s="1668"/>
      <c r="B6" s="1667"/>
      <c r="C6" s="2027"/>
      <c r="D6" s="1211"/>
      <c r="E6" s="1211"/>
      <c r="F6" s="1211"/>
      <c r="G6" s="1211"/>
      <c r="H6" s="1211"/>
      <c r="I6" s="1211"/>
      <c r="J6" s="1211"/>
      <c r="K6" s="1211"/>
      <c r="T6" s="2067"/>
      <c r="AJ6" s="2088"/>
      <c r="AK6" s="2089"/>
      <c r="AL6" s="2088"/>
      <c r="AM6" s="2088"/>
      <c r="AN6" s="2088"/>
      <c r="AO6" s="2088"/>
      <c r="AP6" s="2088"/>
      <c r="AQ6" s="2088"/>
      <c r="AR6" s="2088"/>
      <c r="AS6" s="2088"/>
      <c r="AT6" s="2088"/>
      <c r="AU6" s="2088"/>
      <c r="AV6" s="2088"/>
      <c r="AW6" s="2088"/>
      <c r="AX6" s="2088"/>
      <c r="AY6" s="2088"/>
      <c r="AZ6" s="2088"/>
      <c r="BA6" s="2088"/>
      <c r="BB6" s="2088"/>
      <c r="BC6" s="2088"/>
      <c r="BD6" s="2088"/>
      <c r="BE6" s="2088"/>
      <c r="BF6" s="2088"/>
      <c r="BG6" s="2088"/>
      <c r="BH6" s="2088"/>
      <c r="BI6" s="2088"/>
      <c r="BJ6" s="2088"/>
      <c r="BK6" s="2088"/>
      <c r="BL6" s="2088"/>
      <c r="BM6" s="1019">
        <v>14</v>
      </c>
    </row>
    <row s="47289" customFormat="1" customHeight="1" ht="1.05">
      <c r="AJ7" s="934"/>
      <c r="AK7" s="934"/>
      <c r="AL7" s="934"/>
      <c r="AM7" s="934"/>
      <c r="AN7" s="934"/>
      <c r="AO7" s="934"/>
      <c r="AP7" s="934"/>
      <c r="AQ7" s="934"/>
      <c r="AR7" s="934"/>
      <c r="AS7" s="934"/>
      <c r="AT7" s="934"/>
      <c r="AU7" s="934"/>
      <c r="AV7" s="934"/>
      <c r="AW7" s="934"/>
      <c r="AX7" s="934"/>
      <c r="AY7" s="934"/>
      <c r="AZ7" s="934"/>
      <c r="BA7" s="934"/>
      <c r="BB7" s="934"/>
      <c r="BC7" s="934"/>
      <c r="BD7" s="934"/>
      <c r="BE7" s="934"/>
      <c r="BF7" s="934"/>
      <c r="BG7" s="934"/>
      <c r="BH7" s="934"/>
      <c r="BI7" s="934"/>
      <c r="BJ7" s="934"/>
      <c r="BK7" s="934"/>
      <c r="BL7" s="934"/>
      <c r="BM7" s="931">
        <v>1</v>
      </c>
    </row>
    <row customHeight="1" ht="33.75">
      <c r="D8" s="2639" t="s">
        <v>90</v>
      </c>
      <c r="E8" s="2639" t="s">
        <v>165</v>
      </c>
      <c r="F8" s="2704" t="s">
        <v>178</v>
      </c>
      <c r="G8" s="2705"/>
      <c r="H8" s="2704" t="s">
        <v>90</v>
      </c>
      <c r="I8" s="2705"/>
      <c r="J8" s="2639" t="s">
        <v>179</v>
      </c>
      <c r="K8" s="2068"/>
      <c r="L8" s="2708" t="s">
        <v>401</v>
      </c>
      <c r="M8" s="2708"/>
      <c r="N8" s="2708"/>
      <c r="O8" s="2708"/>
      <c r="P8" s="2708"/>
      <c r="Q8" s="2069"/>
      <c r="R8" s="2608" t="s">
        <v>402</v>
      </c>
      <c r="S8" s="2709"/>
      <c r="T8" s="2709"/>
      <c r="U8" s="2709"/>
      <c r="V8" s="2709"/>
      <c r="W8" s="2069"/>
      <c r="X8" s="2710" t="s">
        <v>403</v>
      </c>
      <c r="Y8" s="2710"/>
      <c r="Z8" s="2710"/>
      <c r="AA8" s="2710"/>
      <c r="AB8" s="2710"/>
      <c r="AC8" s="2070"/>
      <c r="AD8" s="2639" t="s">
        <v>404</v>
      </c>
      <c r="AE8" s="2639"/>
      <c r="AF8" s="2639"/>
      <c r="AG8" s="2639"/>
      <c r="AH8" s="2613"/>
      <c r="AI8" s="2639" t="s">
        <v>405</v>
      </c>
      <c r="AJ8" s="2086"/>
      <c r="BM8" s="805">
        <v>32</v>
      </c>
    </row>
    <row customHeight="1" ht="23.25">
      <c r="D9" s="2639"/>
      <c r="E9" s="2639"/>
      <c r="F9" s="2687" t="s">
        <v>91</v>
      </c>
      <c r="G9" s="2687" t="s">
        <v>184</v>
      </c>
      <c r="H9" s="2706"/>
      <c r="I9" s="2707"/>
      <c r="J9" s="2613"/>
      <c r="K9" s="2071"/>
      <c r="L9" s="2639" t="s">
        <v>406</v>
      </c>
      <c r="M9" s="2613"/>
      <c r="N9" s="2704" t="s">
        <v>90</v>
      </c>
      <c r="O9" s="2705"/>
      <c r="P9" s="2639" t="s">
        <v>185</v>
      </c>
      <c r="Q9" s="2068"/>
      <c r="R9" s="2639" t="s">
        <v>406</v>
      </c>
      <c r="S9" s="2613"/>
      <c r="T9" s="2704" t="s">
        <v>90</v>
      </c>
      <c r="U9" s="2705"/>
      <c r="V9" s="2639" t="s">
        <v>185</v>
      </c>
      <c r="W9" s="2068"/>
      <c r="X9" s="2639" t="s">
        <v>406</v>
      </c>
      <c r="Y9" s="2613"/>
      <c r="Z9" s="2704" t="s">
        <v>90</v>
      </c>
      <c r="AA9" s="2705"/>
      <c r="AB9" s="2639" t="s">
        <v>407</v>
      </c>
      <c r="AC9" s="2068"/>
      <c r="AD9" s="2639" t="s">
        <v>406</v>
      </c>
      <c r="AE9" s="2613"/>
      <c r="AF9" s="2704" t="s">
        <v>90</v>
      </c>
      <c r="AG9" s="2705"/>
      <c r="AH9" s="2613" t="s">
        <v>407</v>
      </c>
      <c r="AI9" s="2639"/>
      <c r="AJ9" s="2086"/>
      <c r="BM9" s="805">
        <v>22</v>
      </c>
    </row>
    <row customHeight="1" ht="24">
      <c r="D10" s="2687"/>
      <c r="E10" s="2687"/>
      <c r="F10" s="2711"/>
      <c r="G10" s="2711"/>
      <c r="H10" s="2712"/>
      <c r="I10" s="2713"/>
      <c r="J10" s="2704"/>
      <c r="K10" s="2071"/>
      <c r="L10" s="2090" t="s">
        <v>408</v>
      </c>
      <c r="M10" s="2085" t="s">
        <v>409</v>
      </c>
      <c r="N10" s="2706"/>
      <c r="O10" s="2707"/>
      <c r="P10" s="2687"/>
      <c r="Q10" s="2068"/>
      <c r="R10" s="2090" t="s">
        <v>408</v>
      </c>
      <c r="S10" s="2085" t="s">
        <v>409</v>
      </c>
      <c r="T10" s="2706"/>
      <c r="U10" s="2707"/>
      <c r="V10" s="2687"/>
      <c r="W10" s="2068"/>
      <c r="X10" s="2090" t="s">
        <v>408</v>
      </c>
      <c r="Y10" s="2085" t="s">
        <v>409</v>
      </c>
      <c r="Z10" s="2706"/>
      <c r="AA10" s="2707"/>
      <c r="AB10" s="2687"/>
      <c r="AC10" s="2068"/>
      <c r="AD10" s="2090" t="s">
        <v>408</v>
      </c>
      <c r="AE10" s="2085" t="s">
        <v>409</v>
      </c>
      <c r="AF10" s="2706"/>
      <c r="AG10" s="2707"/>
      <c r="AH10" s="2704"/>
      <c r="AI10" s="2687"/>
      <c r="AJ10" s="2086"/>
      <c r="AK10" s="766" t="s">
        <v>410</v>
      </c>
      <c r="AL10" s="766" t="s">
        <v>186</v>
      </c>
      <c r="BM10" s="805">
        <v>23</v>
      </c>
    </row>
    <row customHeight="1" ht="15">
      <c r="D11" s="2695" t="s">
        <v>101</v>
      </c>
      <c r="E11" s="2691" t="s">
        <v>411</v>
      </c>
      <c r="F11" s="2691" t="s">
        <v>412</v>
      </c>
      <c r="G11" s="2697" t="s">
        <v>19</v>
      </c>
      <c r="H11" s="2111"/>
      <c r="I11" s="2693"/>
      <c r="J11" s="2664"/>
      <c r="K11" s="2026"/>
      <c r="L11" s="2649"/>
      <c r="M11" s="2649"/>
      <c r="N11" s="2096"/>
      <c r="O11" s="2649"/>
      <c r="P11" s="2664"/>
      <c r="Q11" s="2097"/>
      <c r="R11" s="2649"/>
      <c r="S11" s="2649"/>
      <c r="T11" s="2098"/>
      <c r="U11" s="2649"/>
      <c r="V11" s="2664"/>
      <c r="W11" s="2099"/>
      <c r="X11" s="2649"/>
      <c r="Y11" s="2649"/>
      <c r="Z11" s="2096"/>
      <c r="AA11" s="2649"/>
      <c r="AB11" s="2664"/>
      <c r="AC11" s="2100"/>
      <c r="AD11" s="2649"/>
      <c r="AE11" s="2649"/>
      <c r="AF11" s="2025"/>
      <c r="AG11" s="2025"/>
      <c r="AH11" s="2101"/>
      <c r="AI11" s="1808"/>
      <c r="AJ11" s="2086"/>
      <c r="BM11" s="805">
        <v>14</v>
      </c>
    </row>
    <row customHeight="1" ht="14.699999999999998">
      <c r="D12" s="2695"/>
      <c r="E12" s="2691"/>
      <c r="F12" s="2691"/>
      <c r="G12" s="2698"/>
      <c r="H12" s="2112"/>
      <c r="I12" s="2694"/>
      <c r="J12" s="2665"/>
      <c r="K12" s="2122"/>
      <c r="L12" s="2650"/>
      <c r="M12" s="2650"/>
      <c r="N12" s="2102"/>
      <c r="O12" s="2650"/>
      <c r="P12" s="2665"/>
      <c r="Q12" s="2103"/>
      <c r="R12" s="2650"/>
      <c r="S12" s="2650"/>
      <c r="T12" s="2104"/>
      <c r="U12" s="2650"/>
      <c r="V12" s="2665"/>
      <c r="W12" s="2105"/>
      <c r="X12" s="2650"/>
      <c r="Y12" s="2650"/>
      <c r="Z12" s="2102"/>
      <c r="AA12" s="2650"/>
      <c r="AB12" s="2665"/>
      <c r="AC12" s="2106"/>
      <c r="AD12" s="2650"/>
      <c r="AE12" s="2650"/>
      <c r="AF12" s="2107"/>
      <c r="AG12" s="2107"/>
      <c r="AH12" s="2689"/>
      <c r="AI12" s="2690"/>
      <c r="AJ12" s="2086"/>
      <c r="BM12" s="805">
        <v>14</v>
      </c>
    </row>
    <row customHeight="1" ht="14.699999999999998">
      <c r="D13" s="2695"/>
      <c r="E13" s="2691"/>
      <c r="F13" s="2691"/>
      <c r="G13" s="2698"/>
      <c r="H13" s="2112"/>
      <c r="I13" s="2694"/>
      <c r="J13" s="2665"/>
      <c r="K13" s="2122"/>
      <c r="L13" s="2650"/>
      <c r="M13" s="2650"/>
      <c r="N13" s="2102"/>
      <c r="O13" s="2650"/>
      <c r="P13" s="2665"/>
      <c r="Q13" s="2103"/>
      <c r="R13" s="2650"/>
      <c r="S13" s="2650"/>
      <c r="T13" s="2104"/>
      <c r="U13" s="2650"/>
      <c r="V13" s="2665"/>
      <c r="W13" s="2105"/>
      <c r="X13" s="2650"/>
      <c r="Y13" s="2650"/>
      <c r="Z13" s="2024"/>
      <c r="AA13" s="2107"/>
      <c r="AB13" s="2689"/>
      <c r="AC13" s="2689"/>
      <c r="AD13" s="2689"/>
      <c r="AE13" s="2689"/>
      <c r="AF13" s="2689"/>
      <c r="AG13" s="2689"/>
      <c r="AH13" s="2689"/>
      <c r="AI13" s="2690"/>
      <c r="AJ13" s="2086"/>
      <c r="BM13" s="805">
        <v>14</v>
      </c>
    </row>
    <row customHeight="1" ht="14.699999999999998">
      <c r="D14" s="2695"/>
      <c r="E14" s="2691"/>
      <c r="F14" s="2691"/>
      <c r="G14" s="2698"/>
      <c r="H14" s="2112"/>
      <c r="I14" s="2694"/>
      <c r="J14" s="2665"/>
      <c r="K14" s="2122"/>
      <c r="L14" s="2650"/>
      <c r="M14" s="2650"/>
      <c r="N14" s="2102"/>
      <c r="O14" s="2650"/>
      <c r="P14" s="2665"/>
      <c r="Q14" s="2103"/>
      <c r="R14" s="2650"/>
      <c r="S14" s="2650"/>
      <c r="T14" s="2108"/>
      <c r="U14" s="2109"/>
      <c r="V14" s="2689"/>
      <c r="W14" s="2689"/>
      <c r="X14" s="2689"/>
      <c r="Y14" s="2689"/>
      <c r="Z14" s="2689"/>
      <c r="AA14" s="2689"/>
      <c r="AB14" s="2689"/>
      <c r="AC14" s="2689"/>
      <c r="AD14" s="2689"/>
      <c r="AE14" s="2689"/>
      <c r="AF14" s="2689"/>
      <c r="AG14" s="2689"/>
      <c r="AH14" s="2689"/>
      <c r="AI14" s="2690"/>
      <c r="AJ14" s="2086"/>
      <c r="BM14" s="805">
        <v>14</v>
      </c>
    </row>
    <row customHeight="1" ht="11.549999999999999">
      <c r="D15" s="2695"/>
      <c r="E15" s="2691"/>
      <c r="F15" s="2691"/>
      <c r="G15" s="2698"/>
      <c r="H15" s="2113"/>
      <c r="I15" s="2694"/>
      <c r="J15" s="2665"/>
      <c r="K15" s="2122"/>
      <c r="L15" s="2650"/>
      <c r="M15" s="2650"/>
      <c r="N15" s="2107"/>
      <c r="O15" s="2107"/>
      <c r="P15" s="2689"/>
      <c r="Q15" s="2689"/>
      <c r="R15" s="2689"/>
      <c r="S15" s="2689"/>
      <c r="T15" s="2689"/>
      <c r="U15" s="2689"/>
      <c r="V15" s="2689"/>
      <c r="W15" s="2689"/>
      <c r="X15" s="2689"/>
      <c r="Y15" s="2689"/>
      <c r="Z15" s="2689"/>
      <c r="AA15" s="2689"/>
      <c r="AB15" s="2689"/>
      <c r="AC15" s="2689"/>
      <c r="AD15" s="2689"/>
      <c r="AE15" s="2689"/>
      <c r="AF15" s="2689"/>
      <c r="AG15" s="2689"/>
      <c r="AH15" s="2689"/>
      <c r="AI15" s="2690"/>
      <c r="AJ15" s="2086"/>
      <c r="BM15" s="805">
        <v>11</v>
      </c>
    </row>
    <row s="47293" customFormat="1" customHeight="1" ht="11.549999999999999">
      <c r="D16" s="2701"/>
      <c r="E16" s="2702"/>
      <c r="F16" s="2692"/>
      <c r="G16" s="2624"/>
      <c r="H16" s="2110"/>
      <c r="I16" s="2114"/>
      <c r="J16" s="2699"/>
      <c r="K16" s="2699"/>
      <c r="L16" s="2699"/>
      <c r="M16" s="2699"/>
      <c r="N16" s="2699"/>
      <c r="O16" s="2699"/>
      <c r="P16" s="2699"/>
      <c r="Q16" s="2699"/>
      <c r="R16" s="2699"/>
      <c r="S16" s="2699"/>
      <c r="T16" s="2699"/>
      <c r="U16" s="2699"/>
      <c r="V16" s="2699"/>
      <c r="W16" s="2699"/>
      <c r="X16" s="2699"/>
      <c r="Y16" s="2699"/>
      <c r="Z16" s="2699"/>
      <c r="AA16" s="2699"/>
      <c r="AB16" s="2699"/>
      <c r="AC16" s="2699"/>
      <c r="AD16" s="2699"/>
      <c r="AE16" s="2699"/>
      <c r="AF16" s="2699"/>
      <c r="AG16" s="2699"/>
      <c r="AH16" s="2699"/>
      <c r="AI16" s="2700"/>
      <c r="AJ16" s="2086"/>
      <c r="AK16" s="818"/>
      <c r="AL16" s="2086"/>
      <c r="AM16" s="2086"/>
      <c r="AN16" s="2086"/>
      <c r="AO16" s="2086"/>
      <c r="AP16" s="2086"/>
      <c r="AQ16" s="2086"/>
      <c r="AR16" s="2086"/>
      <c r="AS16" s="2086"/>
      <c r="AT16" s="2086"/>
      <c r="AU16" s="2086"/>
      <c r="AV16" s="2086"/>
      <c r="AW16" s="2086"/>
      <c r="AX16" s="2086"/>
      <c r="AY16" s="2086"/>
      <c r="AZ16" s="2086"/>
      <c r="BA16" s="2086"/>
      <c r="BB16" s="2086"/>
      <c r="BC16" s="2086"/>
      <c r="BD16" s="2086"/>
      <c r="BE16" s="2086"/>
      <c r="BF16" s="2086"/>
      <c r="BG16" s="2086"/>
      <c r="BH16" s="2086"/>
      <c r="BI16" s="2086"/>
      <c r="BJ16" s="2086"/>
      <c r="BK16" s="2086"/>
      <c r="BL16" s="2086"/>
      <c r="BM16" s="2066">
        <v>11</v>
      </c>
    </row>
    <row customHeight="1" ht="15">
      <c r="D17" s="2695" t="s">
        <v>105</v>
      </c>
      <c r="E17" s="2691" t="s">
        <v>411</v>
      </c>
      <c r="F17" s="2691" t="s">
        <v>413</v>
      </c>
      <c r="G17" s="2697" t="s">
        <v>19</v>
      </c>
      <c r="H17" s="2111"/>
      <c r="I17" s="2693"/>
      <c r="J17" s="2664"/>
      <c r="K17" s="2026"/>
      <c r="L17" s="2649"/>
      <c r="M17" s="2649"/>
      <c r="N17" s="2096"/>
      <c r="O17" s="2649"/>
      <c r="P17" s="2664"/>
      <c r="Q17" s="2097"/>
      <c r="R17" s="2649"/>
      <c r="S17" s="2649"/>
      <c r="T17" s="2098"/>
      <c r="U17" s="2649"/>
      <c r="V17" s="2664"/>
      <c r="W17" s="2099"/>
      <c r="X17" s="2649"/>
      <c r="Y17" s="2649"/>
      <c r="Z17" s="2096"/>
      <c r="AA17" s="2649"/>
      <c r="AB17" s="2664"/>
      <c r="AC17" s="2100"/>
      <c r="AD17" s="2649"/>
      <c r="AE17" s="2649"/>
      <c r="AF17" s="2025"/>
      <c r="AG17" s="2025"/>
      <c r="AH17" s="2101"/>
      <c r="AI17" s="1808"/>
      <c r="AJ17" s="2086"/>
      <c r="BM17" s="805">
        <v>14</v>
      </c>
    </row>
    <row customHeight="1" ht="14.699999999999998">
      <c r="D18" s="2695"/>
      <c r="E18" s="2691"/>
      <c r="F18" s="2691"/>
      <c r="G18" s="2698"/>
      <c r="H18" s="2112"/>
      <c r="I18" s="2694"/>
      <c r="J18" s="2665"/>
      <c r="K18" s="2095"/>
      <c r="L18" s="2650"/>
      <c r="M18" s="2650"/>
      <c r="N18" s="2102"/>
      <c r="O18" s="2650"/>
      <c r="P18" s="2665"/>
      <c r="Q18" s="2103"/>
      <c r="R18" s="2650"/>
      <c r="S18" s="2650"/>
      <c r="T18" s="2104"/>
      <c r="U18" s="2650"/>
      <c r="V18" s="2665"/>
      <c r="W18" s="2105"/>
      <c r="X18" s="2650"/>
      <c r="Y18" s="2650"/>
      <c r="Z18" s="2102"/>
      <c r="AA18" s="2650"/>
      <c r="AB18" s="2665"/>
      <c r="AC18" s="2106"/>
      <c r="AD18" s="2650"/>
      <c r="AE18" s="2650"/>
      <c r="AF18" s="2107"/>
      <c r="AG18" s="2107"/>
      <c r="AH18" s="2689"/>
      <c r="AI18" s="2690"/>
      <c r="AJ18" s="2086"/>
      <c r="BM18" s="805">
        <v>14</v>
      </c>
    </row>
    <row customHeight="1" ht="14.699999999999998">
      <c r="D19" s="2695"/>
      <c r="E19" s="2691"/>
      <c r="F19" s="2691"/>
      <c r="G19" s="2698"/>
      <c r="H19" s="2112"/>
      <c r="I19" s="2694"/>
      <c r="J19" s="2665"/>
      <c r="K19" s="2095"/>
      <c r="L19" s="2650"/>
      <c r="M19" s="2650"/>
      <c r="N19" s="2102"/>
      <c r="O19" s="2650"/>
      <c r="P19" s="2665"/>
      <c r="Q19" s="2103"/>
      <c r="R19" s="2650"/>
      <c r="S19" s="2650"/>
      <c r="T19" s="2104"/>
      <c r="U19" s="2650"/>
      <c r="V19" s="2665"/>
      <c r="W19" s="2105"/>
      <c r="X19" s="2650"/>
      <c r="Y19" s="2650"/>
      <c r="Z19" s="2024"/>
      <c r="AA19" s="2107"/>
      <c r="AB19" s="2689"/>
      <c r="AC19" s="2689"/>
      <c r="AD19" s="2689"/>
      <c r="AE19" s="2689"/>
      <c r="AF19" s="2689"/>
      <c r="AG19" s="2689"/>
      <c r="AH19" s="2689"/>
      <c r="AI19" s="2690"/>
      <c r="AJ19" s="2086"/>
      <c r="BM19" s="805">
        <v>14</v>
      </c>
    </row>
    <row customHeight="1" ht="14.699999999999998">
      <c r="D20" s="2695"/>
      <c r="E20" s="2691"/>
      <c r="F20" s="2691"/>
      <c r="G20" s="2698"/>
      <c r="H20" s="2112"/>
      <c r="I20" s="2694"/>
      <c r="J20" s="2665"/>
      <c r="K20" s="2095"/>
      <c r="L20" s="2650"/>
      <c r="M20" s="2650"/>
      <c r="N20" s="2102"/>
      <c r="O20" s="2650"/>
      <c r="P20" s="2665"/>
      <c r="Q20" s="2103"/>
      <c r="R20" s="2650"/>
      <c r="S20" s="2650"/>
      <c r="T20" s="2108"/>
      <c r="U20" s="2109"/>
      <c r="V20" s="2689"/>
      <c r="W20" s="2689"/>
      <c r="X20" s="2689"/>
      <c r="Y20" s="2689"/>
      <c r="Z20" s="2689"/>
      <c r="AA20" s="2689"/>
      <c r="AB20" s="2689"/>
      <c r="AC20" s="2689"/>
      <c r="AD20" s="2689"/>
      <c r="AE20" s="2689"/>
      <c r="AF20" s="2689"/>
      <c r="AG20" s="2689"/>
      <c r="AH20" s="2689"/>
      <c r="AI20" s="2690"/>
      <c r="AJ20" s="2086"/>
      <c r="BM20" s="805">
        <v>14</v>
      </c>
    </row>
    <row customHeight="1" ht="11.549999999999999">
      <c r="D21" s="2695"/>
      <c r="E21" s="2691"/>
      <c r="F21" s="2691"/>
      <c r="G21" s="2698"/>
      <c r="H21" s="2113"/>
      <c r="I21" s="2694"/>
      <c r="J21" s="2665"/>
      <c r="K21" s="2095"/>
      <c r="L21" s="2650"/>
      <c r="M21" s="2650"/>
      <c r="N21" s="2107"/>
      <c r="O21" s="2107"/>
      <c r="P21" s="2689"/>
      <c r="Q21" s="2689"/>
      <c r="R21" s="2689"/>
      <c r="S21" s="2689"/>
      <c r="T21" s="2689"/>
      <c r="U21" s="2689"/>
      <c r="V21" s="2689"/>
      <c r="W21" s="2689"/>
      <c r="X21" s="2689"/>
      <c r="Y21" s="2689"/>
      <c r="Z21" s="2689"/>
      <c r="AA21" s="2689"/>
      <c r="AB21" s="2689"/>
      <c r="AC21" s="2689"/>
      <c r="AD21" s="2689"/>
      <c r="AE21" s="2689"/>
      <c r="AF21" s="2689"/>
      <c r="AG21" s="2689"/>
      <c r="AH21" s="2689"/>
      <c r="AI21" s="2690"/>
      <c r="AJ21" s="2086"/>
      <c r="BM21" s="805">
        <v>11</v>
      </c>
    </row>
    <row s="47293" customFormat="1" customHeight="1" ht="11.549999999999999">
      <c r="D22" s="2701"/>
      <c r="E22" s="2702"/>
      <c r="F22" s="2692"/>
      <c r="G22" s="2624"/>
      <c r="H22" s="2110"/>
      <c r="I22" s="2114"/>
      <c r="J22" s="2699"/>
      <c r="K22" s="2699"/>
      <c r="L22" s="2699"/>
      <c r="M22" s="2699"/>
      <c r="N22" s="2699"/>
      <c r="O22" s="2699"/>
      <c r="P22" s="2699"/>
      <c r="Q22" s="2699"/>
      <c r="R22" s="2699"/>
      <c r="S22" s="2699"/>
      <c r="T22" s="2699"/>
      <c r="U22" s="2699"/>
      <c r="V22" s="2699"/>
      <c r="W22" s="2699"/>
      <c r="X22" s="2699"/>
      <c r="Y22" s="2699"/>
      <c r="Z22" s="2699"/>
      <c r="AA22" s="2699"/>
      <c r="AB22" s="2699"/>
      <c r="AC22" s="2699"/>
      <c r="AD22" s="2699"/>
      <c r="AE22" s="2699"/>
      <c r="AF22" s="2699"/>
      <c r="AG22" s="2699"/>
      <c r="AH22" s="2699"/>
      <c r="AI22" s="2700"/>
      <c r="AJ22" s="2086"/>
      <c r="AK22" s="818"/>
      <c r="AL22" s="2086"/>
      <c r="AM22" s="2086"/>
      <c r="AN22" s="2086"/>
      <c r="AO22" s="2086"/>
      <c r="AP22" s="2086"/>
      <c r="AQ22" s="2086"/>
      <c r="AR22" s="2086"/>
      <c r="AS22" s="2086"/>
      <c r="AT22" s="2086"/>
      <c r="AU22" s="2086"/>
      <c r="AV22" s="2086"/>
      <c r="AW22" s="2086"/>
      <c r="AX22" s="2086"/>
      <c r="AY22" s="2086"/>
      <c r="AZ22" s="2086"/>
      <c r="BA22" s="2086"/>
      <c r="BB22" s="2086"/>
      <c r="BC22" s="2086"/>
      <c r="BD22" s="2086"/>
      <c r="BE22" s="2086"/>
      <c r="BF22" s="2086"/>
      <c r="BG22" s="2086"/>
      <c r="BH22" s="2086"/>
      <c r="BI22" s="2086"/>
      <c r="BJ22" s="2086"/>
      <c r="BK22" s="2086"/>
      <c r="BL22" s="2086"/>
      <c r="BM22" s="2066">
        <v>11</v>
      </c>
    </row>
    <row customHeight="1" ht="15">
      <c r="D23" s="2695" t="s">
        <v>92</v>
      </c>
      <c r="E23" s="2691" t="s">
        <v>411</v>
      </c>
      <c r="F23" s="2691" t="s">
        <v>414</v>
      </c>
      <c r="G23" s="2697" t="s">
        <v>19</v>
      </c>
      <c r="H23" s="2111"/>
      <c r="I23" s="2693"/>
      <c r="J23" s="2664"/>
      <c r="K23" s="2026"/>
      <c r="L23" s="2649"/>
      <c r="M23" s="2649"/>
      <c r="N23" s="2096"/>
      <c r="O23" s="2649"/>
      <c r="P23" s="2664"/>
      <c r="Q23" s="2097"/>
      <c r="R23" s="2649"/>
      <c r="S23" s="2649"/>
      <c r="T23" s="2098"/>
      <c r="U23" s="2649"/>
      <c r="V23" s="2664"/>
      <c r="W23" s="2099"/>
      <c r="X23" s="2649"/>
      <c r="Y23" s="2649"/>
      <c r="Z23" s="2096"/>
      <c r="AA23" s="2649"/>
      <c r="AB23" s="2664"/>
      <c r="AC23" s="2100"/>
      <c r="AD23" s="2649"/>
      <c r="AE23" s="2649"/>
      <c r="AF23" s="2025"/>
      <c r="AG23" s="2025"/>
      <c r="AH23" s="2101"/>
      <c r="AI23" s="1808"/>
      <c r="AJ23" s="2086"/>
      <c r="AK23" s="818" t="s">
        <v>100</v>
      </c>
      <c r="BM23" s="805">
        <v>14</v>
      </c>
    </row>
    <row customHeight="1" ht="14.699999999999998">
      <c r="D24" s="2695"/>
      <c r="E24" s="2691"/>
      <c r="F24" s="2691"/>
      <c r="G24" s="2698"/>
      <c r="H24" s="2112"/>
      <c r="I24" s="2694"/>
      <c r="J24" s="2665"/>
      <c r="K24" s="2122"/>
      <c r="L24" s="2650"/>
      <c r="M24" s="2650"/>
      <c r="N24" s="2102"/>
      <c r="O24" s="2650"/>
      <c r="P24" s="2665"/>
      <c r="Q24" s="2103"/>
      <c r="R24" s="2650"/>
      <c r="S24" s="2650"/>
      <c r="T24" s="2104"/>
      <c r="U24" s="2650"/>
      <c r="V24" s="2665"/>
      <c r="W24" s="2105"/>
      <c r="X24" s="2650"/>
      <c r="Y24" s="2650"/>
      <c r="Z24" s="2102"/>
      <c r="AA24" s="2650"/>
      <c r="AB24" s="2665"/>
      <c r="AC24" s="2106"/>
      <c r="AD24" s="2650"/>
      <c r="AE24" s="2650"/>
      <c r="AF24" s="2107"/>
      <c r="AG24" s="2107"/>
      <c r="AH24" s="2689"/>
      <c r="AI24" s="2690"/>
      <c r="AJ24" s="2086"/>
      <c r="BM24" s="805">
        <v>14</v>
      </c>
    </row>
    <row customHeight="1" ht="14.699999999999998">
      <c r="D25" s="2695"/>
      <c r="E25" s="2691"/>
      <c r="F25" s="2691"/>
      <c r="G25" s="2698"/>
      <c r="H25" s="2112"/>
      <c r="I25" s="2694"/>
      <c r="J25" s="2665"/>
      <c r="K25" s="2122"/>
      <c r="L25" s="2650"/>
      <c r="M25" s="2650"/>
      <c r="N25" s="2102"/>
      <c r="O25" s="2650"/>
      <c r="P25" s="2665"/>
      <c r="Q25" s="2103"/>
      <c r="R25" s="2650"/>
      <c r="S25" s="2650"/>
      <c r="T25" s="2104"/>
      <c r="U25" s="2650"/>
      <c r="V25" s="2665"/>
      <c r="W25" s="2105"/>
      <c r="X25" s="2650"/>
      <c r="Y25" s="2650"/>
      <c r="Z25" s="2024"/>
      <c r="AA25" s="2107"/>
      <c r="AB25" s="2689"/>
      <c r="AC25" s="2689"/>
      <c r="AD25" s="2689"/>
      <c r="AE25" s="2689"/>
      <c r="AF25" s="2689"/>
      <c r="AG25" s="2689"/>
      <c r="AH25" s="2689"/>
      <c r="AI25" s="2690"/>
      <c r="AJ25" s="2086"/>
      <c r="BM25" s="805">
        <v>14</v>
      </c>
    </row>
    <row customHeight="1" ht="14.699999999999998">
      <c r="D26" s="2695"/>
      <c r="E26" s="2691"/>
      <c r="F26" s="2691"/>
      <c r="G26" s="2698"/>
      <c r="H26" s="2112"/>
      <c r="I26" s="2694"/>
      <c r="J26" s="2665"/>
      <c r="K26" s="2122"/>
      <c r="L26" s="2650"/>
      <c r="M26" s="2650"/>
      <c r="N26" s="2102"/>
      <c r="O26" s="2650"/>
      <c r="P26" s="2665"/>
      <c r="Q26" s="2103"/>
      <c r="R26" s="2650"/>
      <c r="S26" s="2650"/>
      <c r="T26" s="2108"/>
      <c r="U26" s="2109"/>
      <c r="V26" s="2689"/>
      <c r="W26" s="2689"/>
      <c r="X26" s="2689"/>
      <c r="Y26" s="2689"/>
      <c r="Z26" s="2689"/>
      <c r="AA26" s="2689"/>
      <c r="AB26" s="2689"/>
      <c r="AC26" s="2689"/>
      <c r="AD26" s="2689"/>
      <c r="AE26" s="2689"/>
      <c r="AF26" s="2689"/>
      <c r="AG26" s="2689"/>
      <c r="AH26" s="2689"/>
      <c r="AI26" s="2690"/>
      <c r="AJ26" s="2086"/>
      <c r="BM26" s="805">
        <v>14</v>
      </c>
    </row>
    <row customHeight="1" ht="11.549999999999999">
      <c r="D27" s="2695"/>
      <c r="E27" s="2691"/>
      <c r="F27" s="2691"/>
      <c r="G27" s="2698"/>
      <c r="H27" s="2113"/>
      <c r="I27" s="2694"/>
      <c r="J27" s="2665"/>
      <c r="K27" s="2122"/>
      <c r="L27" s="2650"/>
      <c r="M27" s="2650"/>
      <c r="N27" s="2107"/>
      <c r="O27" s="2107"/>
      <c r="P27" s="2689"/>
      <c r="Q27" s="2689"/>
      <c r="R27" s="2689"/>
      <c r="S27" s="2689"/>
      <c r="T27" s="2689"/>
      <c r="U27" s="2689"/>
      <c r="V27" s="2689"/>
      <c r="W27" s="2689"/>
      <c r="X27" s="2689"/>
      <c r="Y27" s="2689"/>
      <c r="Z27" s="2689"/>
      <c r="AA27" s="2689"/>
      <c r="AB27" s="2689"/>
      <c r="AC27" s="2689"/>
      <c r="AD27" s="2689"/>
      <c r="AE27" s="2689"/>
      <c r="AF27" s="2689"/>
      <c r="AG27" s="2689"/>
      <c r="AH27" s="2689"/>
      <c r="AI27" s="2690"/>
      <c r="AJ27" s="2086"/>
      <c r="BM27" s="805">
        <v>11</v>
      </c>
    </row>
    <row s="47293" customFormat="1" customHeight="1" ht="11.549999999999999">
      <c r="D28" s="2701"/>
      <c r="E28" s="2702"/>
      <c r="F28" s="2692"/>
      <c r="G28" s="2624"/>
      <c r="H28" s="2110"/>
      <c r="I28" s="2114"/>
      <c r="J28" s="2699"/>
      <c r="K28" s="2699"/>
      <c r="L28" s="2699"/>
      <c r="M28" s="2699"/>
      <c r="N28" s="2699"/>
      <c r="O28" s="2699"/>
      <c r="P28" s="2699"/>
      <c r="Q28" s="2699"/>
      <c r="R28" s="2699"/>
      <c r="S28" s="2699"/>
      <c r="T28" s="2699"/>
      <c r="U28" s="2699"/>
      <c r="V28" s="2699"/>
      <c r="W28" s="2699"/>
      <c r="X28" s="2699"/>
      <c r="Y28" s="2699"/>
      <c r="Z28" s="2699"/>
      <c r="AA28" s="2699"/>
      <c r="AB28" s="2699"/>
      <c r="AC28" s="2699"/>
      <c r="AD28" s="2699"/>
      <c r="AE28" s="2699"/>
      <c r="AF28" s="2699"/>
      <c r="AG28" s="2699"/>
      <c r="AH28" s="2699"/>
      <c r="AI28" s="2700"/>
      <c r="AJ28" s="2086"/>
      <c r="AK28" s="818"/>
      <c r="AL28" s="2086"/>
      <c r="AM28" s="2086"/>
      <c r="AN28" s="2086"/>
      <c r="AO28" s="2086"/>
      <c r="AP28" s="2086"/>
      <c r="AQ28" s="2086"/>
      <c r="AR28" s="2086"/>
      <c r="AS28" s="2086"/>
      <c r="AT28" s="2086"/>
      <c r="AU28" s="2086"/>
      <c r="AV28" s="2086"/>
      <c r="AW28" s="2086"/>
      <c r="AX28" s="2086"/>
      <c r="AY28" s="2086"/>
      <c r="AZ28" s="2086"/>
      <c r="BA28" s="2086"/>
      <c r="BB28" s="2086"/>
      <c r="BC28" s="2086"/>
      <c r="BD28" s="2086"/>
      <c r="BE28" s="2086"/>
      <c r="BF28" s="2086"/>
      <c r="BG28" s="2086"/>
      <c r="BH28" s="2086"/>
      <c r="BI28" s="2086"/>
      <c r="BJ28" s="2086"/>
      <c r="BK28" s="2086"/>
      <c r="BL28" s="2086"/>
      <c r="BM28" s="2066">
        <v>11</v>
      </c>
    </row>
    <row customHeight="1" ht="15">
      <c r="D29" s="2695" t="s">
        <v>93</v>
      </c>
      <c r="E29" s="2691" t="s">
        <v>411</v>
      </c>
      <c r="F29" s="2691" t="s">
        <v>415</v>
      </c>
      <c r="G29" s="2697" t="s">
        <v>19</v>
      </c>
      <c r="H29" s="2111"/>
      <c r="I29" s="2693"/>
      <c r="J29" s="2664"/>
      <c r="K29" s="2026"/>
      <c r="L29" s="2649"/>
      <c r="M29" s="2649"/>
      <c r="N29" s="2096"/>
      <c r="O29" s="2649"/>
      <c r="P29" s="2664"/>
      <c r="Q29" s="2097"/>
      <c r="R29" s="2649"/>
      <c r="S29" s="2649"/>
      <c r="T29" s="2098"/>
      <c r="U29" s="2649"/>
      <c r="V29" s="2664"/>
      <c r="W29" s="2099"/>
      <c r="X29" s="2649"/>
      <c r="Y29" s="2649"/>
      <c r="Z29" s="2096"/>
      <c r="AA29" s="2649"/>
      <c r="AB29" s="2664"/>
      <c r="AC29" s="2100"/>
      <c r="AD29" s="2649"/>
      <c r="AE29" s="2649"/>
      <c r="AF29" s="2025"/>
      <c r="AG29" s="2025"/>
      <c r="AH29" s="2101"/>
      <c r="AI29" s="1808"/>
      <c r="AJ29" s="2086"/>
      <c r="BM29" s="805">
        <v>14</v>
      </c>
    </row>
    <row customHeight="1" ht="14.699999999999998">
      <c r="D30" s="2695"/>
      <c r="E30" s="2691"/>
      <c r="F30" s="2691"/>
      <c r="G30" s="2698"/>
      <c r="H30" s="2112"/>
      <c r="I30" s="2694"/>
      <c r="J30" s="2665"/>
      <c r="K30" s="2095"/>
      <c r="L30" s="2650"/>
      <c r="M30" s="2650"/>
      <c r="N30" s="2102"/>
      <c r="O30" s="2650"/>
      <c r="P30" s="2665"/>
      <c r="Q30" s="2103"/>
      <c r="R30" s="2650"/>
      <c r="S30" s="2650"/>
      <c r="T30" s="2104"/>
      <c r="U30" s="2650"/>
      <c r="V30" s="2665"/>
      <c r="W30" s="2105"/>
      <c r="X30" s="2650"/>
      <c r="Y30" s="2650"/>
      <c r="Z30" s="2102"/>
      <c r="AA30" s="2650"/>
      <c r="AB30" s="2665"/>
      <c r="AC30" s="2106"/>
      <c r="AD30" s="2650"/>
      <c r="AE30" s="2650"/>
      <c r="AF30" s="2107"/>
      <c r="AG30" s="2107"/>
      <c r="AH30" s="2689"/>
      <c r="AI30" s="2690"/>
      <c r="AJ30" s="2086"/>
      <c r="BM30" s="805">
        <v>14</v>
      </c>
    </row>
    <row customHeight="1" ht="14.699999999999998">
      <c r="D31" s="2695"/>
      <c r="E31" s="2691"/>
      <c r="F31" s="2691"/>
      <c r="G31" s="2698"/>
      <c r="H31" s="2112"/>
      <c r="I31" s="2694"/>
      <c r="J31" s="2665"/>
      <c r="K31" s="2095"/>
      <c r="L31" s="2650"/>
      <c r="M31" s="2650"/>
      <c r="N31" s="2102"/>
      <c r="O31" s="2650"/>
      <c r="P31" s="2665"/>
      <c r="Q31" s="2103"/>
      <c r="R31" s="2650"/>
      <c r="S31" s="2650"/>
      <c r="T31" s="2104"/>
      <c r="U31" s="2650"/>
      <c r="V31" s="2665"/>
      <c r="W31" s="2105"/>
      <c r="X31" s="2650"/>
      <c r="Y31" s="2650"/>
      <c r="Z31" s="2024"/>
      <c r="AA31" s="2107"/>
      <c r="AB31" s="2689"/>
      <c r="AC31" s="2689"/>
      <c r="AD31" s="2689"/>
      <c r="AE31" s="2689"/>
      <c r="AF31" s="2689"/>
      <c r="AG31" s="2689"/>
      <c r="AH31" s="2689"/>
      <c r="AI31" s="2690"/>
      <c r="AJ31" s="2086"/>
      <c r="BM31" s="805">
        <v>14</v>
      </c>
    </row>
    <row customHeight="1" ht="14.699999999999998">
      <c r="D32" s="2695"/>
      <c r="E32" s="2691"/>
      <c r="F32" s="2691"/>
      <c r="G32" s="2698"/>
      <c r="H32" s="2112"/>
      <c r="I32" s="2694"/>
      <c r="J32" s="2665"/>
      <c r="K32" s="2095"/>
      <c r="L32" s="2650"/>
      <c r="M32" s="2650"/>
      <c r="N32" s="2102"/>
      <c r="O32" s="2650"/>
      <c r="P32" s="2665"/>
      <c r="Q32" s="2103"/>
      <c r="R32" s="2650"/>
      <c r="S32" s="2650"/>
      <c r="T32" s="2108"/>
      <c r="U32" s="2109"/>
      <c r="V32" s="2689"/>
      <c r="W32" s="2689"/>
      <c r="X32" s="2689"/>
      <c r="Y32" s="2689"/>
      <c r="Z32" s="2689"/>
      <c r="AA32" s="2689"/>
      <c r="AB32" s="2689"/>
      <c r="AC32" s="2689"/>
      <c r="AD32" s="2689"/>
      <c r="AE32" s="2689"/>
      <c r="AF32" s="2689"/>
      <c r="AG32" s="2689"/>
      <c r="AH32" s="2689"/>
      <c r="AI32" s="2690"/>
      <c r="AJ32" s="2086"/>
      <c r="BM32" s="805">
        <v>14</v>
      </c>
    </row>
    <row customHeight="1" ht="11.549999999999999">
      <c r="D33" s="2695"/>
      <c r="E33" s="2691"/>
      <c r="F33" s="2691"/>
      <c r="G33" s="2698"/>
      <c r="H33" s="2113"/>
      <c r="I33" s="2694"/>
      <c r="J33" s="2665"/>
      <c r="K33" s="2095"/>
      <c r="L33" s="2650"/>
      <c r="M33" s="2650"/>
      <c r="N33" s="2107"/>
      <c r="O33" s="2107"/>
      <c r="P33" s="2689"/>
      <c r="Q33" s="2689"/>
      <c r="R33" s="2689"/>
      <c r="S33" s="2689"/>
      <c r="T33" s="2689"/>
      <c r="U33" s="2689"/>
      <c r="V33" s="2689"/>
      <c r="W33" s="2689"/>
      <c r="X33" s="2689"/>
      <c r="Y33" s="2689"/>
      <c r="Z33" s="2689"/>
      <c r="AA33" s="2689"/>
      <c r="AB33" s="2689"/>
      <c r="AC33" s="2689"/>
      <c r="AD33" s="2689"/>
      <c r="AE33" s="2689"/>
      <c r="AF33" s="2689"/>
      <c r="AG33" s="2689"/>
      <c r="AH33" s="2689"/>
      <c r="AI33" s="2690"/>
      <c r="AJ33" s="2086"/>
      <c r="BM33" s="805">
        <v>11</v>
      </c>
    </row>
    <row s="47293" customFormat="1" customHeight="1" ht="11.549999999999999">
      <c r="D34" s="2701"/>
      <c r="E34" s="2702"/>
      <c r="F34" s="2692"/>
      <c r="G34" s="2624"/>
      <c r="H34" s="2110"/>
      <c r="I34" s="2114"/>
      <c r="J34" s="2699"/>
      <c r="K34" s="2699"/>
      <c r="L34" s="2699"/>
      <c r="M34" s="2699"/>
      <c r="N34" s="2699"/>
      <c r="O34" s="2699"/>
      <c r="P34" s="2699"/>
      <c r="Q34" s="2699"/>
      <c r="R34" s="2699"/>
      <c r="S34" s="2699"/>
      <c r="T34" s="2699"/>
      <c r="U34" s="2699"/>
      <c r="V34" s="2699"/>
      <c r="W34" s="2699"/>
      <c r="X34" s="2699"/>
      <c r="Y34" s="2699"/>
      <c r="Z34" s="2699"/>
      <c r="AA34" s="2699"/>
      <c r="AB34" s="2699"/>
      <c r="AC34" s="2699"/>
      <c r="AD34" s="2699"/>
      <c r="AE34" s="2699"/>
      <c r="AF34" s="2699"/>
      <c r="AG34" s="2699"/>
      <c r="AH34" s="2699"/>
      <c r="AI34" s="2700"/>
      <c r="AJ34" s="2086"/>
      <c r="AK34" s="818"/>
      <c r="AL34" s="2086"/>
      <c r="AM34" s="2086"/>
      <c r="AN34" s="2086"/>
      <c r="AO34" s="2086"/>
      <c r="AP34" s="2086"/>
      <c r="AQ34" s="2086"/>
      <c r="AR34" s="2086"/>
      <c r="AS34" s="2086"/>
      <c r="AT34" s="2086"/>
      <c r="AU34" s="2086"/>
      <c r="AV34" s="2086"/>
      <c r="AW34" s="2086"/>
      <c r="AX34" s="2086"/>
      <c r="AY34" s="2086"/>
      <c r="AZ34" s="2086"/>
      <c r="BA34" s="2086"/>
      <c r="BB34" s="2086"/>
      <c r="BC34" s="2086"/>
      <c r="BD34" s="2086"/>
      <c r="BE34" s="2086"/>
      <c r="BF34" s="2086"/>
      <c r="BG34" s="2086"/>
      <c r="BH34" s="2086"/>
      <c r="BI34" s="2086"/>
      <c r="BJ34" s="2086"/>
      <c r="BK34" s="2086"/>
      <c r="BL34" s="2086"/>
      <c r="BM34" s="2066">
        <v>11</v>
      </c>
    </row>
    <row customHeight="1" ht="15">
      <c r="D35" s="2695" t="s">
        <v>120</v>
      </c>
      <c r="E35" s="2691" t="s">
        <v>411</v>
      </c>
      <c r="F35" s="2691" t="s">
        <v>416</v>
      </c>
      <c r="G35" s="2697" t="s">
        <v>19</v>
      </c>
      <c r="H35" s="2111"/>
      <c r="I35" s="2693"/>
      <c r="J35" s="2664"/>
      <c r="K35" s="2026"/>
      <c r="L35" s="2649"/>
      <c r="M35" s="2649"/>
      <c r="N35" s="2096"/>
      <c r="O35" s="2649"/>
      <c r="P35" s="2664"/>
      <c r="Q35" s="2097"/>
      <c r="R35" s="2649"/>
      <c r="S35" s="2649"/>
      <c r="T35" s="2098"/>
      <c r="U35" s="2649"/>
      <c r="V35" s="2664"/>
      <c r="W35" s="2099"/>
      <c r="X35" s="2649"/>
      <c r="Y35" s="2649"/>
      <c r="Z35" s="2096"/>
      <c r="AA35" s="2649"/>
      <c r="AB35" s="2664"/>
      <c r="AC35" s="2100"/>
      <c r="AD35" s="2649"/>
      <c r="AE35" s="2649"/>
      <c r="AF35" s="2025"/>
      <c r="AG35" s="2025"/>
      <c r="AH35" s="2101"/>
      <c r="AI35" s="1808"/>
      <c r="AJ35" s="2086"/>
      <c r="BM35" s="805">
        <v>14</v>
      </c>
    </row>
    <row customHeight="1" ht="14.699999999999998">
      <c r="D36" s="2695"/>
      <c r="E36" s="2691"/>
      <c r="F36" s="2691"/>
      <c r="G36" s="2698"/>
      <c r="H36" s="2112"/>
      <c r="I36" s="2694"/>
      <c r="J36" s="2665"/>
      <c r="K36" s="2095"/>
      <c r="L36" s="2650"/>
      <c r="M36" s="2650"/>
      <c r="N36" s="2102"/>
      <c r="O36" s="2650"/>
      <c r="P36" s="2665"/>
      <c r="Q36" s="2103"/>
      <c r="R36" s="2650"/>
      <c r="S36" s="2650"/>
      <c r="T36" s="2104"/>
      <c r="U36" s="2650"/>
      <c r="V36" s="2665"/>
      <c r="W36" s="2105"/>
      <c r="X36" s="2650"/>
      <c r="Y36" s="2650"/>
      <c r="Z36" s="2102"/>
      <c r="AA36" s="2650"/>
      <c r="AB36" s="2665"/>
      <c r="AC36" s="2106"/>
      <c r="AD36" s="2650"/>
      <c r="AE36" s="2650"/>
      <c r="AF36" s="2107"/>
      <c r="AG36" s="2107"/>
      <c r="AH36" s="2689"/>
      <c r="AI36" s="2690"/>
      <c r="AJ36" s="2086"/>
      <c r="BM36" s="805">
        <v>14</v>
      </c>
    </row>
    <row customHeight="1" ht="14.699999999999998">
      <c r="D37" s="2695"/>
      <c r="E37" s="2691"/>
      <c r="F37" s="2691"/>
      <c r="G37" s="2698"/>
      <c r="H37" s="2112"/>
      <c r="I37" s="2694"/>
      <c r="J37" s="2665"/>
      <c r="K37" s="2095"/>
      <c r="L37" s="2650"/>
      <c r="M37" s="2650"/>
      <c r="N37" s="2102"/>
      <c r="O37" s="2650"/>
      <c r="P37" s="2665"/>
      <c r="Q37" s="2103"/>
      <c r="R37" s="2650"/>
      <c r="S37" s="2650"/>
      <c r="T37" s="2104"/>
      <c r="U37" s="2650"/>
      <c r="V37" s="2665"/>
      <c r="W37" s="2105"/>
      <c r="X37" s="2650"/>
      <c r="Y37" s="2650"/>
      <c r="Z37" s="2024"/>
      <c r="AA37" s="2107"/>
      <c r="AB37" s="2689"/>
      <c r="AC37" s="2689"/>
      <c r="AD37" s="2689"/>
      <c r="AE37" s="2689"/>
      <c r="AF37" s="2689"/>
      <c r="AG37" s="2689"/>
      <c r="AH37" s="2689"/>
      <c r="AI37" s="2690"/>
      <c r="AJ37" s="2086"/>
      <c r="BM37" s="805">
        <v>14</v>
      </c>
    </row>
    <row customHeight="1" ht="14.699999999999998">
      <c r="D38" s="2695"/>
      <c r="E38" s="2691"/>
      <c r="F38" s="2691"/>
      <c r="G38" s="2698"/>
      <c r="H38" s="2112"/>
      <c r="I38" s="2694"/>
      <c r="J38" s="2665"/>
      <c r="K38" s="2095"/>
      <c r="L38" s="2650"/>
      <c r="M38" s="2650"/>
      <c r="N38" s="2102"/>
      <c r="O38" s="2650"/>
      <c r="P38" s="2665"/>
      <c r="Q38" s="2103"/>
      <c r="R38" s="2650"/>
      <c r="S38" s="2650"/>
      <c r="T38" s="2108"/>
      <c r="U38" s="2109"/>
      <c r="V38" s="2689"/>
      <c r="W38" s="2689"/>
      <c r="X38" s="2689"/>
      <c r="Y38" s="2689"/>
      <c r="Z38" s="2689"/>
      <c r="AA38" s="2689"/>
      <c r="AB38" s="2689"/>
      <c r="AC38" s="2689"/>
      <c r="AD38" s="2689"/>
      <c r="AE38" s="2689"/>
      <c r="AF38" s="2689"/>
      <c r="AG38" s="2689"/>
      <c r="AH38" s="2689"/>
      <c r="AI38" s="2690"/>
      <c r="AJ38" s="2086"/>
      <c r="BM38" s="805">
        <v>14</v>
      </c>
    </row>
    <row customHeight="1" ht="11.549999999999999">
      <c r="D39" s="2695"/>
      <c r="E39" s="2691"/>
      <c r="F39" s="2691"/>
      <c r="G39" s="2698"/>
      <c r="H39" s="2113"/>
      <c r="I39" s="2694"/>
      <c r="J39" s="2665"/>
      <c r="K39" s="2095"/>
      <c r="L39" s="2650"/>
      <c r="M39" s="2650"/>
      <c r="N39" s="2107"/>
      <c r="O39" s="2107"/>
      <c r="P39" s="2689"/>
      <c r="Q39" s="2689"/>
      <c r="R39" s="2689"/>
      <c r="S39" s="2689"/>
      <c r="T39" s="2689"/>
      <c r="U39" s="2689"/>
      <c r="V39" s="2689"/>
      <c r="W39" s="2689"/>
      <c r="X39" s="2689"/>
      <c r="Y39" s="2689"/>
      <c r="Z39" s="2689"/>
      <c r="AA39" s="2689"/>
      <c r="AB39" s="2689"/>
      <c r="AC39" s="2689"/>
      <c r="AD39" s="2689"/>
      <c r="AE39" s="2689"/>
      <c r="AF39" s="2689"/>
      <c r="AG39" s="2689"/>
      <c r="AH39" s="2689"/>
      <c r="AI39" s="2690"/>
      <c r="AJ39" s="2086"/>
      <c r="BM39" s="805">
        <v>11</v>
      </c>
    </row>
    <row s="47293" customFormat="1" customHeight="1" ht="11.549999999999999">
      <c r="D40" s="2695"/>
      <c r="E40" s="2691"/>
      <c r="F40" s="2696"/>
      <c r="G40" s="2624"/>
      <c r="H40" s="2110"/>
      <c r="I40" s="2114"/>
      <c r="J40" s="2699"/>
      <c r="K40" s="2699"/>
      <c r="L40" s="2699"/>
      <c r="M40" s="2699"/>
      <c r="N40" s="2699"/>
      <c r="O40" s="2699"/>
      <c r="P40" s="2699"/>
      <c r="Q40" s="2699"/>
      <c r="R40" s="2699"/>
      <c r="S40" s="2699"/>
      <c r="T40" s="2699"/>
      <c r="U40" s="2699"/>
      <c r="V40" s="2699"/>
      <c r="W40" s="2699"/>
      <c r="X40" s="2699"/>
      <c r="Y40" s="2699"/>
      <c r="Z40" s="2699"/>
      <c r="AA40" s="2699"/>
      <c r="AB40" s="2699"/>
      <c r="AC40" s="2699"/>
      <c r="AD40" s="2699"/>
      <c r="AE40" s="2699"/>
      <c r="AF40" s="2699"/>
      <c r="AG40" s="2699"/>
      <c r="AH40" s="2699"/>
      <c r="AI40" s="2700"/>
      <c r="AJ40" s="2086"/>
      <c r="AK40" s="818"/>
      <c r="AL40" s="2086"/>
      <c r="AM40" s="2086"/>
      <c r="AN40" s="2086"/>
      <c r="AO40" s="2086"/>
      <c r="AP40" s="2086"/>
      <c r="AQ40" s="2086"/>
      <c r="AR40" s="2086"/>
      <c r="AS40" s="2086"/>
      <c r="AT40" s="2086"/>
      <c r="AU40" s="2086"/>
      <c r="AV40" s="2086"/>
      <c r="AW40" s="2086"/>
      <c r="AX40" s="2086"/>
      <c r="AY40" s="2086"/>
      <c r="AZ40" s="2086"/>
      <c r="BA40" s="2086"/>
      <c r="BB40" s="2086"/>
      <c r="BC40" s="2086"/>
      <c r="BD40" s="2086"/>
      <c r="BE40" s="2086"/>
      <c r="BF40" s="2086"/>
      <c r="BG40" s="2086"/>
      <c r="BH40" s="2086"/>
      <c r="BI40" s="2086"/>
      <c r="BJ40" s="2086"/>
      <c r="BK40" s="2086"/>
      <c r="BL40" s="2086"/>
      <c r="BM40" s="2066">
        <v>11</v>
      </c>
    </row>
    <row customHeight="1" ht="11.549999999999999">
      <c r="AK41" s="935"/>
      <c r="BM41" s="805">
        <v>11</v>
      </c>
    </row>
    <row customHeight="1" ht="11.549999999999999">
      <c r="AK42" s="935"/>
      <c r="BM42" s="805">
        <v>11</v>
      </c>
    </row>
    <row customHeight="1" ht="11.549999999999999">
      <c r="AK43" s="935"/>
      <c r="BM43" s="805">
        <v>11</v>
      </c>
    </row>
    <row customHeight="1" ht="11.549999999999999">
      <c r="AK44" s="935"/>
      <c r="BM44" s="805">
        <v>11</v>
      </c>
    </row>
    <row customHeight="1" ht="11.549999999999999">
      <c r="AK45" s="935"/>
      <c r="BM45" s="805">
        <v>11</v>
      </c>
    </row>
    <row customHeight="1" ht="11.549999999999999">
      <c r="AK46" s="935"/>
      <c r="BM46" s="805">
        <v>11</v>
      </c>
    </row>
    <row customHeight="1" ht="11.549999999999999">
      <c r="AK47" s="935"/>
      <c r="BM47" s="805">
        <v>11</v>
      </c>
    </row>
    <row customHeight="1" ht="11.549999999999999">
      <c r="AK48" s="935"/>
      <c r="BM48" s="805">
        <v>11</v>
      </c>
    </row>
    <row customHeight="1" ht="11.549999999999999">
      <c r="AK49" s="935"/>
      <c r="BM49" s="805">
        <v>11</v>
      </c>
    </row>
    <row customHeight="1" ht="11.25" hidden="1">
      <c r="A50" s="805" t="s">
        <v>84</v>
      </c>
      <c r="B50" s="805">
        <v>0</v>
      </c>
      <c r="C50" s="805">
        <v>3</v>
      </c>
      <c r="D50" s="805">
        <v>3</v>
      </c>
      <c r="E50" s="805">
        <v>15</v>
      </c>
      <c r="F50" s="805">
        <v>15</v>
      </c>
      <c r="G50" s="805">
        <v>11</v>
      </c>
      <c r="H50" s="805">
        <v>3</v>
      </c>
      <c r="I50" s="805">
        <v>3</v>
      </c>
      <c r="J50" s="805">
        <v>12</v>
      </c>
      <c r="K50" s="805">
        <v>0</v>
      </c>
      <c r="L50" s="805">
        <v>10</v>
      </c>
      <c r="M50" s="805">
        <v>10</v>
      </c>
      <c r="N50" s="805">
        <v>3</v>
      </c>
      <c r="O50" s="805">
        <v>3</v>
      </c>
      <c r="P50" s="805">
        <v>19</v>
      </c>
      <c r="Q50" s="805">
        <v>0</v>
      </c>
      <c r="R50" s="805">
        <v>10</v>
      </c>
      <c r="S50" s="805">
        <v>10</v>
      </c>
      <c r="T50" s="805">
        <v>3</v>
      </c>
      <c r="U50" s="805">
        <v>3</v>
      </c>
      <c r="V50" s="805">
        <v>25</v>
      </c>
      <c r="W50" s="805">
        <v>0</v>
      </c>
      <c r="X50" s="805">
        <v>10</v>
      </c>
      <c r="Y50" s="805">
        <v>10</v>
      </c>
      <c r="Z50" s="805">
        <v>3</v>
      </c>
      <c r="AA50" s="805">
        <v>3</v>
      </c>
      <c r="AB50" s="805">
        <v>16</v>
      </c>
      <c r="AC50" s="805">
        <v>0</v>
      </c>
      <c r="AD50" s="805">
        <v>10</v>
      </c>
      <c r="AE50" s="805">
        <v>10</v>
      </c>
      <c r="AF50" s="805">
        <v>3</v>
      </c>
      <c r="AG50" s="805">
        <v>3</v>
      </c>
      <c r="AH50" s="805">
        <v>8</v>
      </c>
      <c r="AI50" s="805">
        <v>21</v>
      </c>
      <c r="AJ50" s="935">
        <v>8</v>
      </c>
      <c r="AK50" s="818">
        <v>8</v>
      </c>
      <c r="AL50" s="935">
        <v>8</v>
      </c>
      <c r="AM50" s="935">
        <v>8</v>
      </c>
      <c r="AN50" s="935">
        <v>8</v>
      </c>
      <c r="AO50" s="935">
        <v>8</v>
      </c>
      <c r="AP50" s="935">
        <v>8</v>
      </c>
      <c r="AQ50" s="935">
        <v>8</v>
      </c>
      <c r="AR50" s="935">
        <v>8</v>
      </c>
      <c r="AS50" s="935">
        <v>8</v>
      </c>
      <c r="AT50" s="935">
        <v>8</v>
      </c>
      <c r="AU50" s="935">
        <v>8</v>
      </c>
      <c r="AV50" s="935">
        <v>8</v>
      </c>
      <c r="AW50" s="935">
        <v>8</v>
      </c>
      <c r="AX50" s="935">
        <v>8</v>
      </c>
      <c r="AY50" s="935">
        <v>8</v>
      </c>
      <c r="AZ50" s="935">
        <v>8</v>
      </c>
      <c r="BA50" s="935">
        <v>8</v>
      </c>
      <c r="BB50" s="935">
        <v>8</v>
      </c>
      <c r="BC50" s="935">
        <v>8</v>
      </c>
      <c r="BD50" s="935">
        <v>8</v>
      </c>
      <c r="BE50" s="935">
        <v>8</v>
      </c>
      <c r="BF50" s="935">
        <v>8</v>
      </c>
      <c r="BG50" s="935">
        <v>8</v>
      </c>
      <c r="BH50" s="935">
        <v>8</v>
      </c>
      <c r="BI50" s="935">
        <v>8</v>
      </c>
      <c r="BJ50" s="935">
        <v>8</v>
      </c>
      <c r="BK50" s="935">
        <v>8</v>
      </c>
      <c r="BL50" s="935">
        <v>8</v>
      </c>
      <c r="BM50" s="805">
        <v>11</v>
      </c>
    </row>
  </sheetData>
  <sheetProtection formatColumns="0" formatRows="0" autoFilter="0" sort="0" insertRows="0" insertColumns="1" deleteRows="0" deleteColumns="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93B21D3-88C8-0FE5-31A8-8A02CE58EAEF}" mc:Ignorable="x14ac xr xr2 xr3">
  <sheetPr>
    <tabColor rgb="FFCCCCFF"/>
  </sheetPr>
  <dimension ref="A1:F5"/>
  <sheetViews>
    <sheetView topLeftCell="A1" showGridLines="0" zoomScale="90" workbookViewId="0">
      <selection activeCell="A1" sqref="A1"/>
    </sheetView>
  </sheetViews>
  <sheetFormatPr defaultColWidth="9.140625" customHeight="1" defaultRowHeight="11.25"/>
  <cols>
    <col min="1" max="1" style="46950" width="1.7109375" customWidth="1"/>
    <col min="2" max="2" style="46950" width="34.57421875" customWidth="1"/>
    <col min="3" max="3" style="46950" width="85.00390625" customWidth="1"/>
    <col min="4" max="4" style="46950" width="17.00390625" customWidth="1"/>
    <col min="5" max="5" style="46950" width="8.00390625" customWidth="1"/>
    <col min="6" max="6" style="46950" width="9.140625" hidden="1"/>
  </cols>
  <sheetData>
    <row customHeight="1" ht="3">
      <c r="F1" s="601" t="s">
        <v>14</v>
      </c>
    </row>
    <row customHeight="1" ht="22.5">
      <c r="B2" s="3125" t="s">
        <v>2022</v>
      </c>
      <c r="C2" s="3012"/>
      <c r="D2" s="3012"/>
      <c r="E2" s="780"/>
      <c r="F2" s="601">
        <v>22</v>
      </c>
    </row>
    <row customHeight="1" ht="3">
      <c r="F3" s="601">
        <v>3</v>
      </c>
    </row>
    <row customHeight="1" ht="23.25">
      <c r="B4" s="3126" t="s">
        <v>2023</v>
      </c>
      <c r="C4" s="895" t="s">
        <v>2024</v>
      </c>
      <c r="D4" s="895" t="s">
        <v>2025</v>
      </c>
      <c r="F4" s="601">
        <v>22</v>
      </c>
    </row>
    <row customHeight="1" ht="11.25" hidden="1">
      <c r="A5" s="601" t="s">
        <v>84</v>
      </c>
      <c r="B5" s="601">
        <v>34</v>
      </c>
      <c r="C5" s="601">
        <v>85</v>
      </c>
      <c r="D5" s="601">
        <v>17</v>
      </c>
      <c r="E5" s="601">
        <v>8</v>
      </c>
      <c r="F5" s="601">
        <v>11</v>
      </c>
    </row>
  </sheetData>
  <sheetProtection formatColumns="0" formatRows="0" autoFilter="0" sort="0" insertRows="0" insertColumns="1" deleteRows="0" deleteColumns="0"/>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0756713-09D8-3C9A-8D8A-34E42A01E865}" mc:Ignorable="x14ac xr xr2 xr3">
  <sheetPr>
    <tabColor rgb="FFFFCC99"/>
  </sheetPr>
  <dimension ref="A1:GB215"/>
  <sheetViews>
    <sheetView topLeftCell="A1" showGridLines="0" zoomScale="85" workbookViewId="0">
      <selection activeCell="A1" sqref="A1"/>
    </sheetView>
  </sheetViews>
  <sheetFormatPr defaultColWidth="9.140625" customHeight="1" defaultRowHeight="17.1"/>
  <cols>
    <col min="1" max="1" style="46950" width="26.57421875" customWidth="1"/>
    <col min="2" max="2" style="46950" width="10.00390625" customWidth="1"/>
    <col min="3" max="3" style="46950" width="9.140625"/>
    <col min="4" max="4" style="46950" width="11.140625" customWidth="1"/>
    <col min="5" max="5" style="46950" width="16.57421875" customWidth="1"/>
    <col min="6" max="6" style="46950" width="16.28125" customWidth="1"/>
    <col min="7" max="7" style="46950" width="19.140625" customWidth="1"/>
    <col min="8" max="11" style="46950" width="10.00390625" customWidth="1"/>
    <col min="12" max="12" style="46950" width="12.7109375" customWidth="1"/>
    <col min="13" max="13" style="46950" width="61.28125" customWidth="1"/>
    <col min="14" max="14" style="46950" width="10.00390625" customWidth="1"/>
    <col min="15" max="17" style="46950" width="23.7109375" customWidth="1"/>
    <col min="18" max="18" style="46950" width="11.7109375" customWidth="1"/>
    <col min="19" max="19" style="46950" width="8.57421875" customWidth="1"/>
    <col min="20" max="20" style="46950" width="11.7109375" customWidth="1"/>
    <col min="21" max="21" style="46950" width="8.57421875" customWidth="1"/>
    <col min="22" max="22" style="46950" width="4.7109375" customWidth="1"/>
    <col min="23" max="23" style="46950" width="115.7109375" customWidth="1"/>
    <col min="24" max="24" style="46950" width="115.28125" customWidth="1"/>
    <col min="25" max="27" style="46950" width="9.140625"/>
    <col min="28" max="28" style="46950" width="115.7109375" customWidth="1"/>
    <col min="29" max="29" style="46950" width="9.140625"/>
    <col min="30" max="90" style="46950" width="115.7109375" customWidth="1"/>
    <col min="91" max="184" style="46950" width="9.140625"/>
  </cols>
  <sheetData>
    <row r="2" s="55508" customFormat="1" customHeight="1" ht="17.25">
      <c r="A2" s="2327" t="s">
        <v>2026</v>
      </c>
    </row>
    <row r="4" s="55497" customFormat="1" customHeight="1" ht="15">
      <c r="C4" s="2328"/>
      <c r="D4" s="625"/>
      <c r="E4" s="889"/>
    </row>
    <row r="6" s="55508" customFormat="1" customHeight="1" ht="17.25">
      <c r="A6" s="2327" t="s">
        <v>2027</v>
      </c>
    </row>
    <row r="8" s="55497" customFormat="1" customHeight="1" ht="17.25">
      <c r="C8" s="2329"/>
      <c r="D8" s="625"/>
      <c r="E8" s="626"/>
    </row>
    <row r="11" s="55508" customFormat="1" customHeight="1" ht="17.25">
      <c r="A11" s="2327" t="s">
        <v>2028</v>
      </c>
    </row>
    <row r="13" s="46905" customFormat="1" customHeight="1" ht="15">
      <c r="A13" s="2729">
        <v>1</v>
      </c>
      <c r="B13" s="1672"/>
      <c r="C13" s="1313" t="s">
        <v>106</v>
      </c>
      <c r="D13" s="2330"/>
      <c r="E13" s="2317">
        <f>A13</f>
        <v>1</v>
      </c>
      <c r="F13" s="1316"/>
      <c r="G13" s="1052" t="str">
        <f>"Территория "&amp;E13</f>
        <v>Территория 1</v>
      </c>
      <c r="H13" s="1304"/>
      <c r="I13" s="1304"/>
      <c r="J13" s="1301"/>
      <c r="K13" s="2136"/>
      <c r="L13" s="2136"/>
      <c r="M13" s="2136"/>
      <c r="N13" s="738"/>
      <c r="O13" s="2136"/>
      <c r="P13" s="737"/>
      <c r="Q13" s="737"/>
      <c r="R13" s="737"/>
      <c r="S13" s="737"/>
    </row>
    <row s="46950" customFormat="1" customHeight="1" ht="15">
      <c r="A14" s="2729"/>
      <c r="B14" s="1672">
        <v>1</v>
      </c>
      <c r="C14" s="1672"/>
      <c r="D14" s="1312"/>
      <c r="E14" s="2325" t="str">
        <f>A13&amp;"."&amp;B14</f>
        <v>1.1</v>
      </c>
      <c r="F14" s="1315">
        <f>$F$20</f>
        <v>0</v>
      </c>
      <c r="G14" s="1305"/>
      <c r="H14" s="1305"/>
      <c r="I14" s="1303"/>
      <c r="J14" s="2136"/>
      <c r="K14" s="2148"/>
      <c r="L14" s="2148"/>
      <c r="M14" s="2136" t="str">
        <f t="array" ref="M14:M14">IF(ISERROR(MATCH(MID(N14,1,250),MID(note_ter,1,250),0)),"n","y")</f>
        <v>n</v>
      </c>
      <c r="N14" s="2148"/>
      <c r="O14" s="2136" t="str">
        <f>H14&amp;"("&amp;I14&amp;")"</f>
        <v>()</v>
      </c>
      <c r="P14" s="1672"/>
      <c r="Q14" s="1672"/>
      <c r="R14" s="932"/>
      <c r="S14" s="1672"/>
      <c r="T14" s="1672"/>
      <c r="U14" s="1672"/>
      <c r="V14" s="934"/>
      <c r="W14" s="934"/>
      <c r="X14" s="931"/>
      <c r="Y14" s="931"/>
      <c r="Z14" s="931"/>
      <c r="AA14" s="931"/>
      <c r="AB14" s="931"/>
      <c r="AC14" s="931"/>
      <c r="AD14" s="931"/>
      <c r="AE14" s="931"/>
      <c r="AF14" s="931"/>
      <c r="AG14" s="931"/>
      <c r="AH14" s="931"/>
      <c r="AI14" s="931"/>
      <c r="AJ14" s="931"/>
      <c r="AK14" s="931"/>
      <c r="AL14" s="931"/>
      <c r="AM14" s="931"/>
      <c r="AN14" s="931"/>
      <c r="AO14" s="931"/>
      <c r="AP14" s="931"/>
      <c r="AQ14" s="931"/>
      <c r="AR14" s="931"/>
      <c r="AS14" s="931"/>
      <c r="AT14" s="931"/>
      <c r="AU14" s="931"/>
      <c r="AV14" s="931"/>
      <c r="AW14" s="931"/>
      <c r="AX14" s="931"/>
      <c r="AY14" s="931"/>
      <c r="AZ14" s="931"/>
      <c r="BA14" s="931"/>
      <c r="BB14" s="931"/>
      <c r="BC14" s="931"/>
      <c r="BD14" s="931"/>
      <c r="BE14" s="931"/>
      <c r="BF14" s="931"/>
      <c r="BG14" s="931"/>
      <c r="BH14" s="931"/>
      <c r="BI14" s="931"/>
      <c r="BJ14" s="931"/>
      <c r="BK14" s="931"/>
      <c r="BL14" s="931"/>
      <c r="BM14" s="931"/>
      <c r="BN14" s="931"/>
      <c r="BO14" s="931"/>
      <c r="BP14" s="931"/>
      <c r="BQ14" s="931"/>
      <c r="BR14" s="931"/>
      <c r="BS14" s="934"/>
      <c r="BT14" s="934"/>
      <c r="BU14" s="934"/>
      <c r="BV14" s="934"/>
      <c r="BW14" s="934"/>
      <c r="BX14" s="934"/>
      <c r="BY14" s="934"/>
      <c r="BZ14" s="934"/>
      <c r="CA14" s="934"/>
      <c r="CB14" s="934"/>
    </row>
    <row s="46950" customFormat="1" customHeight="1" ht="15">
      <c r="A15" s="2729"/>
      <c r="B15" s="1672"/>
      <c r="C15" s="924"/>
      <c r="D15" s="1313"/>
      <c r="E15" s="933"/>
      <c r="F15" s="689"/>
      <c r="G15" s="927" t="s">
        <v>104</v>
      </c>
      <c r="H15" s="699"/>
      <c r="I15" s="936"/>
      <c r="J15" s="2148"/>
      <c r="K15" s="2148"/>
      <c r="L15" s="2148"/>
      <c r="M15" s="2148"/>
      <c r="N15" s="2136"/>
      <c r="O15" s="2148"/>
      <c r="P15" s="1672"/>
      <c r="Q15" s="1672"/>
      <c r="R15" s="932"/>
      <c r="S15" s="1672"/>
      <c r="T15" s="1672"/>
      <c r="U15" s="1672"/>
      <c r="V15" s="934"/>
      <c r="W15" s="934"/>
      <c r="X15" s="931"/>
      <c r="Y15" s="931"/>
      <c r="Z15" s="931"/>
      <c r="AA15" s="931"/>
      <c r="AB15" s="931"/>
      <c r="AC15" s="931"/>
      <c r="AD15" s="931"/>
      <c r="AE15" s="931"/>
      <c r="AF15" s="931"/>
      <c r="AG15" s="931"/>
      <c r="AH15" s="931"/>
      <c r="AI15" s="931"/>
      <c r="AJ15" s="931"/>
      <c r="AK15" s="931"/>
      <c r="AL15" s="931"/>
      <c r="AM15" s="931"/>
      <c r="AN15" s="931"/>
      <c r="AO15" s="931"/>
      <c r="AP15" s="931"/>
      <c r="AQ15" s="931"/>
      <c r="AR15" s="931"/>
      <c r="AS15" s="931"/>
      <c r="AT15" s="931"/>
      <c r="AU15" s="931"/>
      <c r="AV15" s="931"/>
      <c r="AW15" s="931"/>
      <c r="AX15" s="931"/>
      <c r="AY15" s="931"/>
      <c r="AZ15" s="931"/>
      <c r="BA15" s="931"/>
      <c r="BB15" s="931"/>
      <c r="BC15" s="931"/>
      <c r="BD15" s="931"/>
      <c r="BE15" s="931"/>
      <c r="BF15" s="931"/>
      <c r="BG15" s="931"/>
      <c r="BH15" s="931"/>
      <c r="BI15" s="931"/>
      <c r="BJ15" s="931"/>
      <c r="BK15" s="931"/>
      <c r="BL15" s="931"/>
      <c r="BM15" s="931"/>
      <c r="BN15" s="931"/>
      <c r="BO15" s="931"/>
      <c r="BP15" s="931"/>
      <c r="BQ15" s="931"/>
      <c r="BR15" s="931"/>
      <c r="BS15" s="934"/>
      <c r="BT15" s="934"/>
      <c r="BU15" s="934"/>
      <c r="BV15" s="934"/>
      <c r="BW15" s="934"/>
      <c r="BX15" s="934"/>
      <c r="BY15" s="934"/>
      <c r="BZ15" s="934"/>
      <c r="CA15" s="934"/>
      <c r="CB15" s="934"/>
    </row>
    <row r="17" s="55508" customFormat="1" customHeight="1" ht="17.25">
      <c r="A17" s="2327" t="s">
        <v>2029</v>
      </c>
    </row>
    <row r="19" s="46950" customFormat="1" customHeight="1" ht="15">
      <c r="A19" s="2394"/>
      <c r="B19" s="1878">
        <v>1</v>
      </c>
      <c r="C19" s="1878"/>
      <c r="D19" s="1312" t="s">
        <v>106</v>
      </c>
      <c r="E19" s="2390"/>
      <c r="F19" s="2395">
        <f>$F$20</f>
        <v>0</v>
      </c>
      <c r="G19" s="2399"/>
      <c r="H19" s="2399"/>
      <c r="I19" s="2397"/>
      <c r="J19" s="2136"/>
      <c r="K19" s="2148"/>
      <c r="L19" s="2148"/>
      <c r="M19" s="2136" t="str">
        <f t="array" ref="M19:M19">IF(ISERROR(MATCH(MID(N19,1,250),MID(note_ter,1,250),0)),"n","y")</f>
        <v>n</v>
      </c>
      <c r="N19" s="2148"/>
      <c r="O19" s="2136" t="str">
        <f>H19&amp;"("&amp;I19&amp;")"</f>
        <v>()</v>
      </c>
      <c r="P19" s="1878"/>
      <c r="Q19" s="1878"/>
      <c r="R19" s="932"/>
      <c r="S19" s="1878"/>
      <c r="T19" s="1878"/>
      <c r="U19" s="1878"/>
      <c r="V19" s="1345"/>
      <c r="W19" s="1345"/>
      <c r="X19" s="1139"/>
      <c r="Y19" s="1139"/>
      <c r="Z19" s="1139"/>
      <c r="AA19" s="1139"/>
      <c r="AB19" s="1139"/>
      <c r="AC19" s="1139"/>
      <c r="AD19" s="1139"/>
      <c r="AE19" s="1139"/>
      <c r="AF19" s="1139"/>
      <c r="AG19" s="1139"/>
      <c r="AH19" s="1139"/>
      <c r="AI19" s="1139"/>
      <c r="AJ19" s="1139"/>
      <c r="AK19" s="1139"/>
      <c r="AL19" s="1139"/>
      <c r="AM19" s="1139"/>
      <c r="AN19" s="1139"/>
      <c r="AO19" s="1139"/>
      <c r="AP19" s="1139"/>
      <c r="AQ19" s="1139"/>
      <c r="AR19" s="1139"/>
      <c r="AS19" s="1139"/>
      <c r="AT19" s="1139"/>
      <c r="AU19" s="1139"/>
      <c r="AV19" s="1139"/>
      <c r="AW19" s="1139"/>
      <c r="AX19" s="1139"/>
      <c r="AY19" s="1139"/>
      <c r="AZ19" s="1139"/>
      <c r="BA19" s="1139"/>
      <c r="BB19" s="1139"/>
      <c r="BC19" s="1139"/>
      <c r="BD19" s="1139"/>
      <c r="BE19" s="1139"/>
      <c r="BF19" s="1139"/>
      <c r="BG19" s="1139"/>
      <c r="BH19" s="1139"/>
      <c r="BI19" s="1139"/>
      <c r="BJ19" s="1139"/>
      <c r="BK19" s="1139"/>
      <c r="BL19" s="1139"/>
      <c r="BM19" s="1139"/>
      <c r="BN19" s="1139"/>
      <c r="BO19" s="1139"/>
      <c r="BP19" s="1139"/>
      <c r="BQ19" s="1139"/>
      <c r="BR19" s="1139"/>
      <c r="BS19" s="1345"/>
      <c r="BT19" s="1345"/>
      <c r="BU19" s="1345"/>
      <c r="BV19" s="1345"/>
      <c r="BW19" s="1345"/>
      <c r="BX19" s="1345"/>
      <c r="BY19" s="1345"/>
      <c r="BZ19" s="1345"/>
      <c r="CA19" s="1345"/>
      <c r="CB19" s="1345"/>
    </row>
    <row r="21" s="46950" customFormat="1" customHeight="1" ht="15">
      <c r="A21" s="2327" t="s">
        <v>2030</v>
      </c>
      <c r="B21" s="2327"/>
      <c r="C21" s="2327"/>
      <c r="D21" s="2327"/>
      <c r="E21" s="2327"/>
      <c r="F21" s="2327"/>
      <c r="G21" s="2327"/>
      <c r="H21" s="2327"/>
      <c r="I21" s="2327"/>
      <c r="J21" s="2327"/>
      <c r="K21" s="2327"/>
      <c r="L21" s="2327"/>
      <c r="M21" s="2327"/>
      <c r="N21" s="2327"/>
      <c r="O21" s="2327"/>
      <c r="P21" s="2327"/>
      <c r="Q21" s="2327"/>
      <c r="R21" s="2327"/>
      <c r="S21" s="2327"/>
      <c r="T21" s="2327"/>
      <c r="U21" s="696"/>
      <c r="V21" s="2327"/>
      <c r="W21" s="2327"/>
    </row>
    <row s="46950" customFormat="1" customHeight="1" ht="15">
      <c r="U22" s="697"/>
    </row>
    <row s="47026" customFormat="1" customHeight="1" ht="15">
      <c r="A23" s="935"/>
      <c r="B23" s="935"/>
      <c r="C23" s="2240" t="s">
        <v>106</v>
      </c>
      <c r="D23" s="2620" t="s">
        <v>101</v>
      </c>
      <c r="E23" s="2621"/>
      <c r="F23" s="2619" t="s">
        <v>19</v>
      </c>
      <c r="G23" s="3069"/>
      <c r="H23" s="2639">
        <v>1</v>
      </c>
      <c r="I23" s="3071" t="str">
        <f>IF(U23="","",INDEX(TERRITORY_MR_LIST,MATCH(U23,TERRITORY_LIST_ID,0)))</f>
        <v/>
      </c>
      <c r="J23" s="2619" t="s">
        <v>19</v>
      </c>
      <c r="K23" s="1344"/>
      <c r="L23" s="2294" t="s">
        <v>101</v>
      </c>
      <c r="M23" s="1115"/>
      <c r="N23" s="1116"/>
      <c r="O23" s="1116"/>
      <c r="P23" s="1116"/>
      <c r="Q23" s="1116"/>
      <c r="R23" s="1116"/>
      <c r="S23" s="1116"/>
      <c r="T23" s="1116"/>
      <c r="U23" s="1117"/>
      <c r="V23" s="1116"/>
      <c r="W23" s="1116"/>
      <c r="X23" s="1107"/>
      <c r="Y23" s="1107" t="s">
        <v>174</v>
      </c>
      <c r="Z23" s="1107">
        <v>1705000</v>
      </c>
      <c r="AA23" s="1107"/>
      <c r="AB23" s="1107"/>
      <c r="AC23" s="1107"/>
      <c r="AD23" s="1107"/>
      <c r="AE23" s="1107"/>
      <c r="AF23" s="1107"/>
      <c r="AG23" s="1107"/>
      <c r="AH23" s="1107"/>
      <c r="AI23" s="1107"/>
      <c r="AJ23" s="1107"/>
      <c r="AK23" s="1107"/>
      <c r="AL23" s="1107"/>
    </row>
    <row s="47026" customFormat="1" customHeight="1" ht="15">
      <c r="A24" s="935"/>
      <c r="B24" s="935"/>
      <c r="C24" s="688"/>
      <c r="D24" s="2620"/>
      <c r="E24" s="2622"/>
      <c r="F24" s="2619"/>
      <c r="G24" s="3070"/>
      <c r="H24" s="2639"/>
      <c r="I24" s="3072"/>
      <c r="J24" s="2619"/>
      <c r="K24" s="933"/>
      <c r="L24" s="689"/>
      <c r="M24" s="1119" t="s">
        <v>175</v>
      </c>
      <c r="N24" s="1116"/>
      <c r="O24" s="1116"/>
      <c r="P24" s="1116"/>
      <c r="Q24" s="1116"/>
      <c r="R24" s="1116"/>
      <c r="S24" s="1116"/>
      <c r="T24" s="1116"/>
      <c r="U24" s="1117"/>
      <c r="V24" s="1116"/>
      <c r="W24" s="1116"/>
      <c r="X24" s="1107"/>
      <c r="Y24" s="1107"/>
      <c r="Z24" s="1107"/>
      <c r="AA24" s="1107"/>
      <c r="AB24" s="1107"/>
      <c r="AC24" s="1107"/>
      <c r="AD24" s="1107"/>
      <c r="AE24" s="1107"/>
      <c r="AF24" s="1107"/>
      <c r="AG24" s="1107"/>
      <c r="AH24" s="1107"/>
      <c r="AI24" s="1107"/>
      <c r="AJ24" s="1107"/>
      <c r="AK24" s="1107"/>
      <c r="AL24" s="1107"/>
    </row>
    <row s="47026" customFormat="1" customHeight="1" ht="15">
      <c r="A25" s="935"/>
      <c r="B25" s="935"/>
      <c r="C25" s="688"/>
      <c r="D25" s="2620"/>
      <c r="E25" s="2623"/>
      <c r="F25" s="2619"/>
      <c r="G25" s="933"/>
      <c r="H25" s="689"/>
      <c r="I25" s="1092" t="s">
        <v>176</v>
      </c>
      <c r="J25" s="689"/>
      <c r="K25" s="689"/>
      <c r="L25" s="689"/>
      <c r="M25" s="1120"/>
      <c r="N25" s="1116"/>
      <c r="O25" s="1116"/>
      <c r="P25" s="1116"/>
      <c r="Q25" s="1116"/>
      <c r="R25" s="1116"/>
      <c r="S25" s="1116"/>
      <c r="T25" s="1116"/>
      <c r="U25" s="1117"/>
      <c r="V25" s="1116"/>
      <c r="W25" s="1116"/>
      <c r="X25" s="1107"/>
      <c r="Y25" s="1107"/>
      <c r="Z25" s="1107"/>
      <c r="AA25" s="1107"/>
      <c r="AB25" s="1107"/>
      <c r="AC25" s="1107"/>
      <c r="AD25" s="1107"/>
      <c r="AE25" s="1107"/>
      <c r="AF25" s="1107"/>
      <c r="AG25" s="1107"/>
      <c r="AH25" s="1107"/>
      <c r="AI25" s="1107"/>
      <c r="AJ25" s="1107"/>
      <c r="AK25" s="1107"/>
      <c r="AL25" s="1107"/>
    </row>
    <row s="46950" customFormat="1" customHeight="1" ht="15">
      <c r="U26" s="697"/>
    </row>
    <row s="46950" customFormat="1" customHeight="1" ht="15">
      <c r="A27" s="2327" t="s">
        <v>2031</v>
      </c>
      <c r="B27" s="2327"/>
      <c r="C27" s="2327"/>
      <c r="D27" s="2327"/>
      <c r="E27" s="2327"/>
      <c r="F27" s="2327"/>
      <c r="G27" s="2327"/>
      <c r="H27" s="2327"/>
      <c r="I27" s="2327"/>
      <c r="J27" s="2327"/>
      <c r="K27" s="2327"/>
      <c r="L27" s="2327"/>
      <c r="M27" s="2327"/>
      <c r="N27" s="2327"/>
      <c r="O27" s="2327"/>
      <c r="P27" s="2327"/>
      <c r="Q27" s="2327"/>
      <c r="R27" s="2327"/>
      <c r="S27" s="2327"/>
      <c r="T27" s="2327"/>
      <c r="U27" s="696"/>
      <c r="V27" s="2327"/>
      <c r="W27" s="2327"/>
    </row>
    <row s="46950" customFormat="1" customHeight="1" ht="15">
      <c r="U28" s="697"/>
    </row>
    <row s="47026" customFormat="1" customHeight="1" ht="15">
      <c r="A29" s="935"/>
      <c r="B29" s="935"/>
      <c r="C29" s="688"/>
      <c r="D29" s="2333"/>
      <c r="E29" s="2333"/>
      <c r="F29" s="2333"/>
      <c r="G29" s="3073" t="s">
        <v>106</v>
      </c>
      <c r="H29" s="2615">
        <v>1</v>
      </c>
      <c r="I29" s="3074" t="str">
        <f>IF(U29="","",INDEX(TERRITORY_MR_LIST,MATCH(U29,TERRITORY_LIST_ID,0)))</f>
        <v/>
      </c>
      <c r="J29" s="2619" t="s">
        <v>19</v>
      </c>
      <c r="K29" s="1344"/>
      <c r="L29" s="2294" t="s">
        <v>101</v>
      </c>
      <c r="M29" s="1115"/>
      <c r="N29" s="1116"/>
      <c r="O29" s="1116"/>
      <c r="P29" s="1116"/>
      <c r="Q29" s="1116"/>
      <c r="R29" s="1116"/>
      <c r="S29" s="1116"/>
      <c r="T29" s="1116"/>
      <c r="U29" s="1117"/>
      <c r="V29" s="1116"/>
      <c r="W29" s="1116"/>
      <c r="X29" s="1107"/>
      <c r="Y29" s="1107" t="s">
        <v>174</v>
      </c>
      <c r="Z29" s="1107">
        <v>1705000</v>
      </c>
      <c r="AA29" s="1107"/>
      <c r="AB29" s="1107"/>
      <c r="AC29" s="1107"/>
      <c r="AD29" s="1107"/>
      <c r="AE29" s="1107"/>
      <c r="AF29" s="1107"/>
      <c r="AG29" s="1107"/>
      <c r="AH29" s="1107"/>
      <c r="AI29" s="1107"/>
      <c r="AJ29" s="1107"/>
      <c r="AK29" s="1107"/>
      <c r="AL29" s="1107"/>
    </row>
    <row s="47026" customFormat="1" customHeight="1" ht="15">
      <c r="A30" s="935"/>
      <c r="B30" s="935"/>
      <c r="C30" s="688"/>
      <c r="D30" s="2333"/>
      <c r="E30" s="2333"/>
      <c r="F30" s="2333"/>
      <c r="G30" s="3073"/>
      <c r="H30" s="2615"/>
      <c r="I30" s="3074"/>
      <c r="J30" s="2619"/>
      <c r="K30" s="933"/>
      <c r="L30" s="689"/>
      <c r="M30" s="1119" t="s">
        <v>175</v>
      </c>
      <c r="N30" s="1116"/>
      <c r="O30" s="1116"/>
      <c r="P30" s="1116"/>
      <c r="Q30" s="1116"/>
      <c r="R30" s="1116"/>
      <c r="S30" s="1116"/>
      <c r="T30" s="1116"/>
      <c r="U30" s="1117"/>
      <c r="V30" s="1116"/>
      <c r="W30" s="1116"/>
      <c r="X30" s="1107"/>
      <c r="Y30" s="1107"/>
      <c r="Z30" s="1107"/>
      <c r="AA30" s="1107"/>
      <c r="AB30" s="1107"/>
      <c r="AC30" s="1107"/>
      <c r="AD30" s="1107"/>
      <c r="AE30" s="1107"/>
      <c r="AF30" s="1107"/>
      <c r="AG30" s="1107"/>
      <c r="AH30" s="1107"/>
      <c r="AI30" s="1107"/>
      <c r="AJ30" s="1107"/>
      <c r="AK30" s="1107"/>
      <c r="AL30" s="1107"/>
    </row>
    <row s="46950" customFormat="1" customHeight="1" ht="15">
      <c r="U31" s="697"/>
    </row>
    <row s="46950" customFormat="1" customHeight="1" ht="15">
      <c r="A32" s="2327" t="s">
        <v>2032</v>
      </c>
      <c r="B32" s="2327"/>
      <c r="C32" s="2327"/>
      <c r="D32" s="2327"/>
      <c r="E32" s="2327"/>
      <c r="F32" s="2327"/>
      <c r="G32" s="2327"/>
      <c r="H32" s="2327"/>
      <c r="I32" s="2327"/>
      <c r="J32" s="2327"/>
      <c r="K32" s="2327"/>
      <c r="L32" s="2327"/>
      <c r="M32" s="2327"/>
      <c r="N32" s="2327"/>
      <c r="O32" s="2327"/>
      <c r="P32" s="2327"/>
      <c r="Q32" s="2327"/>
      <c r="R32" s="2327"/>
      <c r="S32" s="2327"/>
      <c r="T32" s="2327"/>
      <c r="U32" s="696"/>
      <c r="V32" s="2327"/>
      <c r="W32" s="2327"/>
    </row>
    <row s="46950" customFormat="1" customHeight="1" ht="15">
      <c r="U33" s="697"/>
    </row>
    <row s="47026" customFormat="1" customHeight="1" ht="15">
      <c r="A34" s="935"/>
      <c r="B34" s="935"/>
      <c r="C34" s="688"/>
      <c r="D34" s="2333"/>
      <c r="E34" s="2333"/>
      <c r="F34" s="2333"/>
      <c r="G34" s="2333"/>
      <c r="H34" s="2333"/>
      <c r="I34" s="2333"/>
      <c r="J34" s="2333"/>
      <c r="K34" s="2311" t="s">
        <v>106</v>
      </c>
      <c r="L34" s="2241" t="s">
        <v>101</v>
      </c>
      <c r="M34" s="1323"/>
      <c r="N34" s="1324"/>
      <c r="O34" s="1116"/>
      <c r="P34" s="1116"/>
      <c r="Q34" s="1116"/>
      <c r="R34" s="1116"/>
      <c r="S34" s="1116"/>
      <c r="T34" s="1116"/>
      <c r="U34" s="1117"/>
      <c r="V34" s="1116"/>
      <c r="W34" s="1116"/>
      <c r="X34" s="1107"/>
      <c r="Y34" s="1107" t="s">
        <v>174</v>
      </c>
      <c r="Z34" s="1107">
        <v>1705000</v>
      </c>
      <c r="AA34" s="1107"/>
      <c r="AB34" s="1107"/>
      <c r="AC34" s="1107"/>
      <c r="AD34" s="1107"/>
      <c r="AE34" s="1107"/>
      <c r="AF34" s="1107"/>
      <c r="AG34" s="1107"/>
      <c r="AH34" s="1107"/>
      <c r="AI34" s="1107"/>
      <c r="AJ34" s="1107"/>
      <c r="AK34" s="1107"/>
      <c r="AL34" s="1107"/>
    </row>
    <row s="46950" customFormat="1" customHeight="1" ht="15">
      <c r="U35" s="697"/>
    </row>
    <row s="46950" customFormat="1" customHeight="1" ht="15">
      <c r="U36" s="697"/>
    </row>
    <row s="55508" customFormat="1" customHeight="1" ht="11.25">
      <c r="A37" s="2327" t="s">
        <v>2033</v>
      </c>
    </row>
    <row customHeight="1" ht="11.25"/>
    <row s="47452" customFormat="1" customHeight="1" ht="22.5">
      <c r="A39" s="2303"/>
      <c r="B39" s="969"/>
      <c r="C39" s="1371"/>
      <c r="D39" s="952"/>
      <c r="E39" s="1372"/>
      <c r="F39" s="2324"/>
      <c r="G39" s="2334"/>
      <c r="H39" s="987"/>
    </row>
    <row customHeight="1" ht="11.25"/>
    <row s="55508" customFormat="1" customHeight="1" ht="11.25">
      <c r="A41" s="2327" t="s">
        <v>2034</v>
      </c>
    </row>
    <row customHeight="1" ht="11.25"/>
    <row s="47452" customFormat="1" customHeight="1" ht="22.5">
      <c r="A43" s="969"/>
      <c r="B43" s="969"/>
      <c r="C43" s="969"/>
      <c r="D43" s="952"/>
      <c r="E43" s="1372"/>
      <c r="F43" s="1373"/>
      <c r="G43" s="2334"/>
      <c r="H43" s="987"/>
    </row>
    <row customHeight="1" ht="11.25"/>
    <row s="55508" customFormat="1" customHeight="1" ht="11.25">
      <c r="A45" s="2327" t="s">
        <v>2035</v>
      </c>
    </row>
    <row customHeight="1" ht="11.25"/>
    <row s="47452" customFormat="1" customHeight="1" ht="24">
      <c r="A47" s="2714" t="s">
        <v>431</v>
      </c>
      <c r="B47" s="1014"/>
      <c r="C47" s="2725"/>
      <c r="D47" s="957" t="str">
        <f>A47</f>
        <v>5.1</v>
      </c>
      <c r="E47" s="954" t="s">
        <v>432</v>
      </c>
      <c r="F47" s="2488" t="s">
        <v>424</v>
      </c>
      <c r="G47" s="956" t="s">
        <v>433</v>
      </c>
      <c r="H47" s="987"/>
      <c r="I47" s="1364"/>
    </row>
    <row s="47452" customFormat="1" customHeight="1" ht="22.5">
      <c r="A48" s="2714"/>
      <c r="B48" s="1014"/>
      <c r="C48" s="2725"/>
      <c r="D48" s="952" t="str">
        <f>D47&amp;".1"</f>
        <v>5.1.1</v>
      </c>
      <c r="E48" s="951" t="s">
        <v>434</v>
      </c>
      <c r="F48" s="2489" t="s">
        <v>28</v>
      </c>
      <c r="G48" s="986"/>
      <c r="H48" s="987"/>
      <c r="I48" s="1364"/>
    </row>
    <row s="47452" customFormat="1" customHeight="1" ht="22.5">
      <c r="A49" s="2714"/>
      <c r="B49" s="1014"/>
      <c r="C49" s="2725"/>
      <c r="D49" s="952" t="str">
        <f>D47&amp;".2"</f>
        <v>5.1.2</v>
      </c>
      <c r="E49" s="951" t="s">
        <v>435</v>
      </c>
      <c r="F49" s="2244" t="s">
        <v>28</v>
      </c>
      <c r="G49" s="956" t="s">
        <v>436</v>
      </c>
      <c r="H49" s="987"/>
      <c r="I49" s="1364"/>
    </row>
    <row s="47452" customFormat="1" customHeight="1" ht="22.5">
      <c r="A50" s="2714"/>
      <c r="B50" s="1014"/>
      <c r="C50" s="2725"/>
      <c r="D50" s="952" t="str">
        <f>D47&amp;".3"</f>
        <v>5.1.3</v>
      </c>
      <c r="E50" s="951" t="s">
        <v>437</v>
      </c>
      <c r="F50" s="2489" t="s">
        <v>28</v>
      </c>
      <c r="G50" s="986"/>
      <c r="H50" s="987"/>
      <c r="I50" s="1364"/>
    </row>
    <row s="47452" customFormat="1" customHeight="1" ht="22.5">
      <c r="A51" s="2714"/>
      <c r="B51" s="1014"/>
      <c r="C51" s="2725"/>
      <c r="D51" s="952" t="str">
        <f>D47&amp;".4"</f>
        <v>5.1.4</v>
      </c>
      <c r="E51" s="951" t="s">
        <v>438</v>
      </c>
      <c r="F51" s="2489" t="s">
        <v>28</v>
      </c>
      <c r="G51" s="956" t="s">
        <v>439</v>
      </c>
      <c r="H51" s="987"/>
      <c r="I51" s="1364"/>
    </row>
    <row r="54" s="55508" customFormat="1" customHeight="1" ht="17.25">
      <c r="A54" s="2327" t="s">
        <v>2036</v>
      </c>
    </row>
    <row r="56" s="46783" customFormat="1" customHeight="1" ht="18.75">
      <c r="A56" s="601"/>
      <c r="B56" s="2335"/>
      <c r="C56" s="2335"/>
      <c r="D56" s="2336"/>
      <c r="E56" s="2321"/>
      <c r="F56" s="1380">
        <v>13</v>
      </c>
      <c r="G56" s="1379"/>
      <c r="H56" s="1305"/>
      <c r="I56" s="1303"/>
      <c r="J56" s="1032" t="s">
        <v>63</v>
      </c>
      <c r="K56" s="2337" t="s">
        <v>28</v>
      </c>
      <c r="L56" s="601"/>
      <c r="M56" s="2148"/>
      <c r="N56" s="2148"/>
      <c r="O56" s="2148"/>
      <c r="P56" s="1028" t="s">
        <v>510</v>
      </c>
      <c r="Q56" s="1028" t="s">
        <v>511</v>
      </c>
      <c r="R56" s="1029" t="s">
        <v>512</v>
      </c>
      <c r="S56" s="2148" t="s">
        <v>513</v>
      </c>
      <c r="T56" s="2148"/>
      <c r="U56" s="2148"/>
      <c r="V56" s="2148"/>
    </row>
    <row r="58" s="55508" customFormat="1" customHeight="1" ht="11.25">
      <c r="A58" s="2327" t="s">
        <v>2037</v>
      </c>
    </row>
    <row r="60" s="46808" customFormat="1" customHeight="1" ht="14.25">
      <c r="C60" s="2200"/>
      <c r="D60" s="2381"/>
      <c r="E60" s="2289" t="s">
        <v>28</v>
      </c>
      <c r="F60" s="2380"/>
      <c r="G60" s="1368"/>
      <c r="H60" s="2290"/>
      <c r="I60" s="2290"/>
      <c r="J60" s="945"/>
      <c r="K60" s="2375"/>
      <c r="L60" s="944"/>
      <c r="M60" s="2375"/>
      <c r="N60" s="945"/>
      <c r="O60" s="2375"/>
      <c r="P60" s="945"/>
      <c r="Q60" s="2375"/>
      <c r="R60" s="945"/>
      <c r="S60" s="1366"/>
      <c r="T60" s="2290"/>
      <c r="U60" s="945"/>
      <c r="V60" s="945"/>
      <c r="W60" s="2379"/>
      <c r="X60" s="2290"/>
      <c r="Y60" s="945"/>
      <c r="Z60" s="945"/>
      <c r="AA60" s="2379"/>
      <c r="AB60" s="2290"/>
      <c r="AC60" s="945"/>
      <c r="AD60" s="2379"/>
      <c r="AE60" s="601"/>
      <c r="AF60" s="601"/>
      <c r="AG60" s="601"/>
      <c r="AH60" s="601"/>
      <c r="AJ60" s="2148"/>
      <c r="AK60" s="2148"/>
      <c r="AL60" s="2148"/>
      <c r="AM60" s="2148"/>
      <c r="AN60" s="2148"/>
      <c r="AO60" s="2148"/>
      <c r="AP60" s="2136" t="s">
        <v>499</v>
      </c>
      <c r="AQ60" s="2136" t="s">
        <v>499</v>
      </c>
      <c r="AR60" s="2148"/>
      <c r="AS60" s="2148"/>
    </row>
    <row r="62" s="55508" customFormat="1" customHeight="1" ht="11.25">
      <c r="A62" s="2327" t="s">
        <v>2038</v>
      </c>
    </row>
    <row r="64" s="55196" customFormat="1" customHeight="1" ht="15">
      <c r="A64" s="657" t="s">
        <v>92</v>
      </c>
      <c r="B64" s="637" t="s">
        <v>28</v>
      </c>
      <c r="C64" s="2338"/>
      <c r="D64" s="640"/>
      <c r="E64" s="893"/>
      <c r="F64" s="893"/>
      <c r="G64" s="2315"/>
      <c r="H64" s="2337"/>
      <c r="I64" s="2316"/>
      <c r="K64" s="784"/>
      <c r="L64" s="785"/>
    </row>
    <row r="66" s="55508" customFormat="1" customHeight="1" ht="11.25">
      <c r="A66" s="2327" t="s">
        <v>2039</v>
      </c>
    </row>
    <row r="68" s="46808" customFormat="1" customHeight="1" ht="14.25">
      <c r="A68" s="855"/>
      <c r="B68" s="1672"/>
      <c r="C68" s="888"/>
      <c r="D68" s="2322"/>
      <c r="E68" s="1398"/>
      <c r="F68" s="2337"/>
      <c r="G68" s="601"/>
      <c r="I68" s="2136"/>
      <c r="J68" s="2136"/>
    </row>
    <row r="70" s="55508" customFormat="1" customHeight="1" ht="11.25">
      <c r="A70" s="2327" t="s">
        <v>2040</v>
      </c>
    </row>
    <row r="72" s="46808" customFormat="1" customHeight="1" ht="27">
      <c r="A72" s="1678"/>
      <c r="B72" s="1678"/>
      <c r="C72" s="1678"/>
      <c r="D72" s="1672"/>
      <c r="E72" s="2339"/>
      <c r="F72" s="3093"/>
      <c r="G72" s="3094"/>
      <c r="H72" s="3095" t="s">
        <v>63</v>
      </c>
      <c r="I72" s="3097"/>
      <c r="J72" s="3060"/>
      <c r="K72" s="3099"/>
      <c r="L72" s="3062"/>
      <c r="M72" s="3062"/>
      <c r="N72" s="3063"/>
      <c r="O72" s="3063"/>
      <c r="P72" s="3064">
        <f>DATEDIF(DATEVALUE(N72),DATEVALUE(O72),"y")&amp;"г. "&amp;DATEDIF(DATEVALUE(N72),DATEVALUE(O72),"ym")&amp;"мес. "&amp;DATEVALUE(O72)-DATE(YEAR(DATEVALUE(O72)),MONTH(DATEVALUE(O72)),1)&amp;"дн. "</f>
      </c>
      <c r="Q72" s="3059"/>
      <c r="R72" s="3059"/>
      <c r="S72" s="3059"/>
      <c r="T72" s="3060"/>
      <c r="U72" s="3059"/>
      <c r="V72" s="3059"/>
      <c r="W72" s="3059"/>
      <c r="X72" s="3060"/>
      <c r="Y72" s="3057" t="s">
        <v>63</v>
      </c>
      <c r="Z72" s="2320"/>
      <c r="AA72" s="2304">
        <v>1</v>
      </c>
      <c r="AB72" s="1754"/>
      <c r="AD72" s="2148" t="s">
        <v>2041</v>
      </c>
    </row>
    <row s="46808" customFormat="1" customHeight="1" ht="10.5">
      <c r="A73" s="1678"/>
      <c r="B73" s="1678"/>
      <c r="C73" s="1678"/>
      <c r="D73" s="1672"/>
      <c r="E73" s="1459"/>
      <c r="F73" s="3093"/>
      <c r="G73" s="3094"/>
      <c r="H73" s="3096"/>
      <c r="I73" s="3098"/>
      <c r="J73" s="3061"/>
      <c r="K73" s="3099"/>
      <c r="L73" s="3062"/>
      <c r="M73" s="3062"/>
      <c r="N73" s="3063"/>
      <c r="O73" s="3063"/>
      <c r="P73" s="3064"/>
      <c r="Q73" s="3059"/>
      <c r="R73" s="3059"/>
      <c r="S73" s="3059"/>
      <c r="T73" s="3061"/>
      <c r="U73" s="3059"/>
      <c r="V73" s="3059"/>
      <c r="W73" s="3059"/>
      <c r="X73" s="3061"/>
      <c r="Y73" s="3058"/>
      <c r="Z73" s="859"/>
      <c r="AA73" s="1084"/>
      <c r="AB73" s="1164" t="s">
        <v>2042</v>
      </c>
    </row>
    <row r="75" s="55508" customFormat="1" customHeight="1" ht="11.25">
      <c r="A75" s="2327" t="s">
        <v>2043</v>
      </c>
    </row>
    <row r="77" s="46808" customFormat="1" customHeight="1" ht="27">
      <c r="A77" s="1678"/>
      <c r="B77" s="1678"/>
      <c r="C77" s="1678"/>
      <c r="D77" s="1672"/>
      <c r="E77" s="2339"/>
      <c r="F77" s="2309"/>
      <c r="G77" s="2259"/>
      <c r="H77" s="2260"/>
      <c r="I77" s="2261"/>
      <c r="J77" s="2262"/>
      <c r="K77" s="2263"/>
      <c r="L77" s="2264"/>
      <c r="M77" s="2264"/>
      <c r="N77" s="2265"/>
      <c r="O77" s="2265"/>
      <c r="P77" s="2266"/>
      <c r="Q77" s="2267"/>
      <c r="R77" s="2267"/>
      <c r="S77" s="2267"/>
      <c r="T77" s="2262"/>
      <c r="U77" s="2267"/>
      <c r="V77" s="2267"/>
      <c r="W77" s="2267"/>
      <c r="X77" s="2262"/>
      <c r="Y77" s="2260"/>
      <c r="Z77" s="2320"/>
      <c r="AA77" s="2304">
        <v>1</v>
      </c>
      <c r="AB77" s="1754"/>
      <c r="AD77" s="2148" t="s">
        <v>2041</v>
      </c>
    </row>
    <row r="79" s="55508" customFormat="1" customHeight="1" ht="11.25">
      <c r="A79" s="2327" t="s">
        <v>2044</v>
      </c>
    </row>
    <row customHeight="1" ht="17.25"/>
    <row s="46808" customFormat="1" customHeight="1" ht="21">
      <c r="A81" s="1679"/>
      <c r="B81" s="1678"/>
      <c r="C81" s="1678"/>
      <c r="D81" s="1672"/>
      <c r="E81" s="1682"/>
      <c r="F81" s="1634">
        <f>INDEX(IP_MAIN_LIST_NAME_IP,MATCH(A81,IP_MAIN_LIST_IP_ID,0))&amp;" ("&amp;INDEX(IP_MAIN_START_DATE,MATCH(A81,IP_MAIN_LIST_IP_ID,0))&amp;"-"&amp;INDEX(IP_MAIN_END_DATE,MATCH(A81,IP_MAIN_LIST_IP_ID,0))&amp;")"</f>
      </c>
      <c r="G81" s="1635"/>
      <c r="H81" s="1635"/>
      <c r="I81" s="1697"/>
      <c r="J81" s="1697"/>
      <c r="K81" s="1698"/>
      <c r="L81" s="1698"/>
      <c r="M81" s="1698"/>
      <c r="N81" s="1699"/>
      <c r="O81" s="1699"/>
      <c r="P81" s="1699"/>
      <c r="Q81" s="1699"/>
      <c r="R81" s="1699"/>
      <c r="S81" s="1699"/>
      <c r="T81" s="1699"/>
      <c r="U81" s="1699"/>
      <c r="V81" s="1699"/>
      <c r="W81" s="1699"/>
      <c r="X81" s="1699"/>
      <c r="Y81" s="1699"/>
      <c r="Z81" s="1699"/>
      <c r="AA81" s="1699"/>
      <c r="AB81" s="1699"/>
      <c r="AC81" s="1699"/>
      <c r="AD81" s="1699"/>
      <c r="AE81" s="1700"/>
      <c r="AF81" s="1698"/>
      <c r="AG81" s="1698"/>
      <c r="AH81" s="1698"/>
      <c r="AI81" s="1698"/>
      <c r="AJ81" s="1698"/>
      <c r="AK81" s="1698"/>
      <c r="AL81" s="2500"/>
      <c r="AM81" s="2335"/>
      <c r="AN81" s="2335"/>
      <c r="AO81" s="2335"/>
      <c r="AP81" s="2335"/>
      <c r="AQ81" s="2335"/>
      <c r="AR81" s="2335"/>
      <c r="AS81" s="2335"/>
      <c r="AT81" s="2335"/>
      <c r="AU81" s="2335"/>
      <c r="AV81" s="2335"/>
      <c r="AW81" s="2335"/>
      <c r="AX81" s="2335"/>
      <c r="AY81" s="2335"/>
      <c r="AZ81" s="2335"/>
      <c r="BA81" s="2335"/>
      <c r="BB81" s="2335"/>
      <c r="BC81" s="2335"/>
      <c r="BD81" s="2335"/>
      <c r="BE81" s="2335"/>
      <c r="BF81" s="2335"/>
    </row>
    <row s="46808" customFormat="1" customHeight="1" ht="0.75">
      <c r="A82" s="1678"/>
      <c r="B82" s="1678"/>
      <c r="C82" s="1678"/>
      <c r="D82" s="1672"/>
      <c r="E82" s="1682"/>
      <c r="F82" s="3048"/>
      <c r="G82" s="3027"/>
      <c r="H82" s="3052" t="s">
        <v>494</v>
      </c>
      <c r="I82" s="3053"/>
      <c r="J82" s="3054"/>
      <c r="K82" s="3054"/>
      <c r="L82" s="3046"/>
      <c r="M82" s="2780"/>
      <c r="N82" s="2548"/>
      <c r="O82" s="2547"/>
      <c r="P82" s="2548"/>
      <c r="Q82" s="2548"/>
      <c r="R82" s="2548"/>
      <c r="S82" s="2548"/>
      <c r="T82" s="2548"/>
      <c r="U82" s="2548"/>
      <c r="V82" s="2548"/>
      <c r="W82" s="2548"/>
      <c r="X82" s="2548"/>
      <c r="Y82" s="2548"/>
      <c r="Z82" s="2548"/>
      <c r="AA82" s="2548"/>
      <c r="AB82" s="2548"/>
      <c r="AC82" s="2548"/>
      <c r="AD82" s="2548"/>
      <c r="AE82" s="2548"/>
      <c r="AF82" s="3050"/>
      <c r="AG82" s="3046"/>
      <c r="AH82" s="3046"/>
      <c r="AI82" s="3050"/>
      <c r="AJ82" s="3046"/>
      <c r="AK82" s="3046"/>
      <c r="AL82" s="2500"/>
      <c r="AM82" s="2335"/>
      <c r="AN82" s="2335"/>
      <c r="AO82" s="2335"/>
      <c r="AP82" s="2335"/>
      <c r="AQ82" s="2335"/>
      <c r="AR82" s="2335"/>
      <c r="AS82" s="2335"/>
      <c r="AT82" s="2335"/>
      <c r="AU82" s="2335"/>
      <c r="AV82" s="2335"/>
      <c r="AW82" s="2335"/>
      <c r="AX82" s="2335"/>
      <c r="AY82" s="2335"/>
      <c r="AZ82" s="2335"/>
      <c r="BA82" s="2335"/>
      <c r="BB82" s="2335"/>
      <c r="BC82" s="2335"/>
      <c r="BD82" s="2335"/>
      <c r="BE82" s="2335"/>
      <c r="BF82" s="2335"/>
    </row>
    <row s="46808" customFormat="1" customHeight="1" ht="0.75">
      <c r="A83" s="1678"/>
      <c r="B83" s="1678"/>
      <c r="C83" s="1678"/>
      <c r="D83" s="1672"/>
      <c r="E83" s="1682"/>
      <c r="F83" s="3048"/>
      <c r="G83" s="3027"/>
      <c r="H83" s="3052"/>
      <c r="I83" s="3053"/>
      <c r="J83" s="3054"/>
      <c r="K83" s="3054"/>
      <c r="L83" s="3046"/>
      <c r="M83" s="2780"/>
      <c r="N83" s="3055"/>
      <c r="O83" s="3056"/>
      <c r="P83" s="3100"/>
      <c r="Q83" s="3051"/>
      <c r="R83" s="3051"/>
      <c r="S83" s="3051"/>
      <c r="T83" s="3051"/>
      <c r="U83" s="3051"/>
      <c r="V83" s="3051"/>
      <c r="W83" s="3051"/>
      <c r="X83" s="3051"/>
      <c r="Y83" s="3051"/>
      <c r="Z83" s="2549"/>
      <c r="AA83" s="2550"/>
      <c r="AB83" s="2550"/>
      <c r="AC83" s="2551"/>
      <c r="AD83" s="2551"/>
      <c r="AE83" s="2552"/>
      <c r="AF83" s="3050"/>
      <c r="AG83" s="3046"/>
      <c r="AH83" s="3046"/>
      <c r="AI83" s="3050"/>
      <c r="AJ83" s="3046"/>
      <c r="AK83" s="3046"/>
      <c r="AL83" s="2500"/>
      <c r="AM83" s="2335"/>
      <c r="AN83" s="2335"/>
      <c r="AO83" s="2335"/>
      <c r="AP83" s="2335"/>
      <c r="AQ83" s="2335"/>
      <c r="AR83" s="2335"/>
      <c r="AS83" s="2335"/>
      <c r="AT83" s="2335"/>
      <c r="AU83" s="2335"/>
      <c r="AV83" s="2335"/>
      <c r="AW83" s="2335"/>
      <c r="AX83" s="2335"/>
      <c r="AY83" s="2335"/>
      <c r="AZ83" s="2335"/>
      <c r="BA83" s="2335"/>
      <c r="BB83" s="2335"/>
      <c r="BC83" s="2335"/>
      <c r="BD83" s="2335"/>
      <c r="BE83" s="2335"/>
      <c r="BF83" s="2335"/>
    </row>
    <row s="46808" customFormat="1" customHeight="1" ht="0.75">
      <c r="A84" s="1678"/>
      <c r="B84" s="1678"/>
      <c r="C84" s="1678"/>
      <c r="D84" s="1672"/>
      <c r="E84" s="1682"/>
      <c r="F84" s="3048"/>
      <c r="G84" s="3027"/>
      <c r="H84" s="3052"/>
      <c r="I84" s="3053"/>
      <c r="J84" s="3054"/>
      <c r="K84" s="3054"/>
      <c r="L84" s="3046"/>
      <c r="M84" s="2780"/>
      <c r="N84" s="3055"/>
      <c r="O84" s="3056"/>
      <c r="P84" s="3101"/>
      <c r="Q84" s="3051"/>
      <c r="R84" s="3051"/>
      <c r="S84" s="3051"/>
      <c r="T84" s="3051"/>
      <c r="U84" s="3051"/>
      <c r="V84" s="3051"/>
      <c r="W84" s="3051"/>
      <c r="X84" s="3051"/>
      <c r="Y84" s="3051"/>
      <c r="Z84" s="2553"/>
      <c r="AA84" s="2554"/>
      <c r="AB84" s="2555"/>
      <c r="AC84" s="2556"/>
      <c r="AD84" s="2555"/>
      <c r="AE84" s="2556"/>
      <c r="AF84" s="3050"/>
      <c r="AG84" s="3046"/>
      <c r="AH84" s="3046"/>
      <c r="AI84" s="3050"/>
      <c r="AJ84" s="3046"/>
      <c r="AK84" s="3046"/>
      <c r="AL84" s="2500"/>
      <c r="AM84" s="2335"/>
      <c r="AN84" s="2335"/>
      <c r="AO84" s="2335"/>
      <c r="AP84" s="2335"/>
      <c r="AQ84" s="2335"/>
      <c r="AR84" s="2335"/>
      <c r="AS84" s="2335"/>
      <c r="AT84" s="2335"/>
      <c r="AU84" s="2335"/>
      <c r="AV84" s="2335"/>
      <c r="AW84" s="2335"/>
      <c r="AX84" s="2335"/>
      <c r="AY84" s="2335"/>
      <c r="AZ84" s="2335"/>
      <c r="BA84" s="2335"/>
      <c r="BB84" s="2335"/>
      <c r="BC84" s="2335"/>
      <c r="BD84" s="2335"/>
      <c r="BE84" s="2335"/>
      <c r="BF84" s="2335"/>
    </row>
    <row s="46808" customFormat="1" customHeight="1" ht="0.75">
      <c r="A85" s="1678"/>
      <c r="B85" s="1678"/>
      <c r="C85" s="1678"/>
      <c r="D85" s="1672"/>
      <c r="E85" s="1682"/>
      <c r="F85" s="3048"/>
      <c r="G85" s="3027"/>
      <c r="H85" s="3052"/>
      <c r="I85" s="3053"/>
      <c r="J85" s="3054"/>
      <c r="K85" s="3054"/>
      <c r="L85" s="3046"/>
      <c r="M85" s="2780"/>
      <c r="N85" s="3055"/>
      <c r="O85" s="3056"/>
      <c r="P85" s="3102"/>
      <c r="Q85" s="3051"/>
      <c r="R85" s="3051"/>
      <c r="S85" s="3051"/>
      <c r="T85" s="3051"/>
      <c r="U85" s="3051"/>
      <c r="V85" s="3051"/>
      <c r="W85" s="3051"/>
      <c r="X85" s="3051"/>
      <c r="Y85" s="3051"/>
      <c r="Z85" s="2549"/>
      <c r="AA85" s="2550"/>
      <c r="AB85" s="2557"/>
      <c r="AC85" s="2551"/>
      <c r="AD85" s="2551"/>
      <c r="AE85" s="2558"/>
      <c r="AF85" s="3050"/>
      <c r="AG85" s="3046"/>
      <c r="AH85" s="3046"/>
      <c r="AI85" s="3050"/>
      <c r="AJ85" s="3046"/>
      <c r="AK85" s="3046"/>
      <c r="AL85" s="2500"/>
      <c r="AM85" s="2335"/>
      <c r="AN85" s="2335"/>
      <c r="AO85" s="2335"/>
      <c r="AP85" s="2335"/>
      <c r="AQ85" s="2335"/>
      <c r="AR85" s="2335"/>
      <c r="AS85" s="2335"/>
      <c r="AT85" s="2335"/>
      <c r="AU85" s="2335"/>
      <c r="AV85" s="2335"/>
      <c r="AW85" s="2335"/>
      <c r="AX85" s="2335"/>
      <c r="AY85" s="2335"/>
      <c r="AZ85" s="2335"/>
      <c r="BA85" s="2335"/>
      <c r="BB85" s="2335"/>
      <c r="BC85" s="2335"/>
      <c r="BD85" s="2335"/>
      <c r="BE85" s="2335"/>
      <c r="BF85" s="2335"/>
    </row>
    <row s="46808" customFormat="1" customHeight="1" ht="0.75">
      <c r="A86" s="1678"/>
      <c r="B86" s="1678"/>
      <c r="C86" s="1678"/>
      <c r="D86" s="1672"/>
      <c r="E86" s="1682"/>
      <c r="F86" s="3048"/>
      <c r="G86" s="3027"/>
      <c r="H86" s="3052"/>
      <c r="I86" s="3053"/>
      <c r="J86" s="3054"/>
      <c r="K86" s="3054"/>
      <c r="L86" s="3046"/>
      <c r="M86" s="2780"/>
      <c r="N86" s="2550"/>
      <c r="O86" s="2550"/>
      <c r="P86" s="2557"/>
      <c r="Q86" s="2550"/>
      <c r="R86" s="2550"/>
      <c r="S86" s="2550"/>
      <c r="T86" s="2550"/>
      <c r="U86" s="2550"/>
      <c r="V86" s="2550"/>
      <c r="W86" s="2550"/>
      <c r="X86" s="2550"/>
      <c r="Y86" s="2550"/>
      <c r="Z86" s="2550"/>
      <c r="AA86" s="2550"/>
      <c r="AB86" s="2550"/>
      <c r="AC86" s="2550"/>
      <c r="AD86" s="2550"/>
      <c r="AE86" s="2559"/>
      <c r="AF86" s="3050"/>
      <c r="AG86" s="3046"/>
      <c r="AH86" s="3046"/>
      <c r="AI86" s="3050"/>
      <c r="AJ86" s="3046"/>
      <c r="AK86" s="3046"/>
      <c r="AL86" s="2500"/>
      <c r="AM86" s="2335"/>
      <c r="AN86" s="2335"/>
      <c r="AO86" s="2335"/>
      <c r="AP86" s="2335"/>
      <c r="AQ86" s="2335"/>
      <c r="AR86" s="2335"/>
      <c r="AS86" s="2335"/>
      <c r="AT86" s="2335"/>
      <c r="AU86" s="2335"/>
      <c r="AV86" s="2335"/>
      <c r="AW86" s="2335"/>
      <c r="AX86" s="2335"/>
      <c r="AY86" s="2335"/>
      <c r="AZ86" s="2335"/>
      <c r="BA86" s="2335"/>
      <c r="BB86" s="2335"/>
      <c r="BC86" s="2335"/>
      <c r="BD86" s="2335"/>
      <c r="BE86" s="2335"/>
      <c r="BF86" s="2335"/>
    </row>
    <row s="46808" customFormat="1" customHeight="1" ht="12">
      <c r="A87" s="1678"/>
      <c r="B87" s="1678"/>
      <c r="C87" s="1678"/>
      <c r="D87" s="1672"/>
      <c r="E87" s="1682"/>
      <c r="F87" s="3049"/>
      <c r="G87" s="1702"/>
      <c r="H87" s="1702"/>
      <c r="I87" s="3047" t="s">
        <v>2045</v>
      </c>
      <c r="J87" s="3047"/>
      <c r="K87" s="3047"/>
      <c r="L87" s="1685"/>
      <c r="M87" s="1685"/>
      <c r="N87" s="1686"/>
      <c r="O87" s="1686"/>
      <c r="P87" s="1686"/>
      <c r="Q87" s="1686"/>
      <c r="R87" s="1686"/>
      <c r="S87" s="1686"/>
      <c r="T87" s="1686"/>
      <c r="U87" s="1686"/>
      <c r="V87" s="1686"/>
      <c r="W87" s="1686"/>
      <c r="X87" s="1686"/>
      <c r="Y87" s="1686"/>
      <c r="Z87" s="1686"/>
      <c r="AA87" s="1686"/>
      <c r="AB87" s="1686"/>
      <c r="AC87" s="1686"/>
      <c r="AD87" s="1686"/>
      <c r="AE87" s="1686"/>
      <c r="AF87" s="1686"/>
      <c r="AG87" s="1685"/>
      <c r="AH87" s="1685"/>
      <c r="AI87" s="1686"/>
      <c r="AJ87" s="1685"/>
      <c r="AK87" s="1686"/>
      <c r="AL87" s="2500"/>
      <c r="AM87" s="2335"/>
      <c r="AN87" s="2335"/>
      <c r="AO87" s="2335"/>
      <c r="AP87" s="2335"/>
      <c r="AQ87" s="2335"/>
      <c r="AR87" s="2335"/>
      <c r="AS87" s="2335"/>
      <c r="AT87" s="2335"/>
      <c r="AU87" s="2335"/>
      <c r="AV87" s="2335"/>
      <c r="AW87" s="2335"/>
      <c r="AX87" s="2335"/>
      <c r="AY87" s="2335"/>
      <c r="AZ87" s="2335"/>
      <c r="BA87" s="2335"/>
      <c r="BB87" s="2335"/>
      <c r="BC87" s="2335"/>
      <c r="BD87" s="2335"/>
      <c r="BE87" s="2335"/>
      <c r="BF87" s="2335"/>
    </row>
    <row r="89" s="55508" customFormat="1" customHeight="1" ht="11.25">
      <c r="A89" s="2327" t="s">
        <v>2046</v>
      </c>
    </row>
    <row r="91" s="46808" customFormat="1" customHeight="1" ht="11.25">
      <c r="A91" s="1678"/>
      <c r="B91" s="1678"/>
      <c r="C91" s="1678"/>
      <c r="D91" s="1672"/>
      <c r="E91" s="1682"/>
      <c r="F91" s="2341"/>
      <c r="G91" s="2342"/>
      <c r="H91" s="2342"/>
      <c r="I91" s="2276"/>
      <c r="J91" s="2276"/>
      <c r="K91" s="2343"/>
      <c r="L91" s="2276"/>
      <c r="M91" s="2342"/>
      <c r="N91" s="3020"/>
      <c r="O91" s="3103">
        <v>1</v>
      </c>
      <c r="P91" s="3022" t="s">
        <v>19</v>
      </c>
      <c r="Q91" s="3025" t="s">
        <v>28</v>
      </c>
      <c r="R91" s="3025" t="s">
        <v>28</v>
      </c>
      <c r="S91" s="3025" t="s">
        <v>28</v>
      </c>
      <c r="T91" s="3025" t="s">
        <v>28</v>
      </c>
      <c r="U91" s="3025" t="s">
        <v>28</v>
      </c>
      <c r="V91" s="3025" t="s">
        <v>28</v>
      </c>
      <c r="W91" s="3025" t="s">
        <v>28</v>
      </c>
      <c r="X91" s="3025" t="s">
        <v>28</v>
      </c>
      <c r="Y91" s="3025"/>
      <c r="Z91" s="1687"/>
      <c r="AA91" s="1688"/>
      <c r="AB91" s="1688"/>
      <c r="AC91" s="1692"/>
      <c r="AD91" s="1692"/>
      <c r="AE91" s="1692"/>
      <c r="AF91" s="2344"/>
      <c r="AG91" s="2271"/>
      <c r="AH91" s="2271"/>
      <c r="AI91" s="2344"/>
      <c r="AJ91" s="2271"/>
      <c r="AK91" s="2499"/>
      <c r="AL91" s="2500"/>
      <c r="AM91" s="2335"/>
      <c r="AN91" s="2335"/>
      <c r="AO91" s="2335"/>
      <c r="AP91" s="2335"/>
      <c r="AQ91" s="2335"/>
      <c r="AR91" s="2335"/>
      <c r="AS91" s="2335"/>
      <c r="AT91" s="2335"/>
      <c r="AU91" s="2335"/>
      <c r="AV91" s="2335"/>
      <c r="AW91" s="2335"/>
      <c r="AX91" s="2335"/>
      <c r="AY91" s="2335"/>
      <c r="AZ91" s="2335"/>
      <c r="BA91" s="2335"/>
      <c r="BB91" s="2335"/>
      <c r="BC91" s="2335"/>
      <c r="BD91" s="2335"/>
      <c r="BE91" s="2335"/>
      <c r="BF91" s="2335"/>
    </row>
    <row s="46808" customFormat="1" customHeight="1" ht="11.25">
      <c r="A92" s="1678"/>
      <c r="B92" s="1678"/>
      <c r="C92" s="1678"/>
      <c r="D92" s="1672"/>
      <c r="E92" s="1682"/>
      <c r="F92" s="2341"/>
      <c r="G92" s="2342"/>
      <c r="H92" s="2342"/>
      <c r="I92" s="2277"/>
      <c r="J92" s="2277"/>
      <c r="K92" s="2343"/>
      <c r="L92" s="2277"/>
      <c r="M92" s="2342"/>
      <c r="N92" s="3020"/>
      <c r="O92" s="3103"/>
      <c r="P92" s="3023"/>
      <c r="Q92" s="3025"/>
      <c r="R92" s="3025"/>
      <c r="S92" s="3026"/>
      <c r="T92" s="3025"/>
      <c r="U92" s="3025"/>
      <c r="V92" s="3025"/>
      <c r="W92" s="3025"/>
      <c r="X92" s="3025"/>
      <c r="Y92" s="3025"/>
      <c r="Z92" s="2340"/>
      <c r="AA92" s="2306">
        <v>1</v>
      </c>
      <c r="AB92" s="1691"/>
      <c r="AC92" s="1681"/>
      <c r="AD92" s="1691">
        <f>AB92</f>
        <v>0</v>
      </c>
      <c r="AE92" s="1236"/>
      <c r="AF92" s="2343"/>
      <c r="AG92" s="2271"/>
      <c r="AH92" s="2271"/>
      <c r="AI92" s="2343"/>
      <c r="AJ92" s="2271"/>
      <c r="AK92" s="2499"/>
      <c r="AL92" s="2500"/>
      <c r="AM92" s="2335"/>
      <c r="AN92" s="2335"/>
      <c r="AO92" s="2335"/>
      <c r="AP92" s="2335"/>
      <c r="AQ92" s="2335"/>
      <c r="AR92" s="2335"/>
      <c r="AS92" s="2335"/>
      <c r="AT92" s="2335"/>
      <c r="AU92" s="2335"/>
      <c r="AV92" s="2335"/>
      <c r="AW92" s="2335"/>
      <c r="AX92" s="2335"/>
      <c r="AY92" s="2335"/>
      <c r="AZ92" s="2335"/>
      <c r="BA92" s="2335"/>
      <c r="BB92" s="2335"/>
      <c r="BC92" s="2335"/>
      <c r="BD92" s="2335"/>
      <c r="BE92" s="2335"/>
      <c r="BF92" s="2335"/>
    </row>
    <row s="46808" customFormat="1" customHeight="1" ht="11.25">
      <c r="A93" s="1678"/>
      <c r="B93" s="1678"/>
      <c r="C93" s="1678"/>
      <c r="D93" s="1672"/>
      <c r="E93" s="1682"/>
      <c r="F93" s="2341"/>
      <c r="G93" s="2342"/>
      <c r="H93" s="2342"/>
      <c r="I93" s="2278"/>
      <c r="J93" s="2278"/>
      <c r="K93" s="2343"/>
      <c r="L93" s="2278"/>
      <c r="M93" s="2342"/>
      <c r="N93" s="3020"/>
      <c r="O93" s="3103"/>
      <c r="P93" s="3024"/>
      <c r="Q93" s="3025"/>
      <c r="R93" s="3025"/>
      <c r="S93" s="3026"/>
      <c r="T93" s="3025"/>
      <c r="U93" s="3025"/>
      <c r="V93" s="3025"/>
      <c r="W93" s="3025"/>
      <c r="X93" s="3025"/>
      <c r="Y93" s="3025"/>
      <c r="Z93" s="1687"/>
      <c r="AA93" s="1688"/>
      <c r="AB93" s="1753" t="s">
        <v>2047</v>
      </c>
      <c r="AC93" s="1692"/>
      <c r="AD93" s="1692"/>
      <c r="AE93" s="1692"/>
      <c r="AF93" s="2345"/>
      <c r="AG93" s="2271"/>
      <c r="AH93" s="2271"/>
      <c r="AI93" s="2345"/>
      <c r="AJ93" s="2271"/>
      <c r="AK93" s="2499"/>
      <c r="AL93" s="2500"/>
      <c r="AM93" s="2335"/>
      <c r="AN93" s="2335"/>
      <c r="AO93" s="2335"/>
      <c r="AP93" s="2335"/>
      <c r="AQ93" s="2335"/>
      <c r="AR93" s="2335"/>
      <c r="AS93" s="2335"/>
      <c r="AT93" s="2335"/>
      <c r="AU93" s="2335"/>
      <c r="AV93" s="2335"/>
      <c r="AW93" s="2335"/>
      <c r="AX93" s="2335"/>
      <c r="AY93" s="2335"/>
      <c r="AZ93" s="2335"/>
      <c r="BA93" s="2335"/>
      <c r="BB93" s="2335"/>
      <c r="BC93" s="2335"/>
      <c r="BD93" s="2335"/>
      <c r="BE93" s="2335"/>
      <c r="BF93" s="2335"/>
    </row>
    <row r="95" s="55508" customFormat="1" customHeight="1" ht="11.25">
      <c r="A95" s="2327" t="s">
        <v>2048</v>
      </c>
    </row>
    <row r="97" s="46808" customFormat="1" customHeight="1" ht="11.25">
      <c r="A97" s="1678"/>
      <c r="B97" s="1678"/>
      <c r="C97" s="1678"/>
      <c r="D97" s="1672"/>
      <c r="E97" s="1682"/>
      <c r="F97" s="2342"/>
      <c r="G97" s="2342"/>
      <c r="H97" s="2342"/>
      <c r="I97" s="2342"/>
      <c r="J97" s="2342"/>
      <c r="K97" s="2342"/>
      <c r="L97" s="2342"/>
      <c r="M97" s="2342"/>
      <c r="N97" s="2342"/>
      <c r="O97" s="2342"/>
      <c r="P97" s="2342"/>
      <c r="Q97" s="2342"/>
      <c r="R97" s="2342"/>
      <c r="S97" s="2342"/>
      <c r="T97" s="2342"/>
      <c r="U97" s="2342"/>
      <c r="V97" s="2342"/>
      <c r="W97" s="2342"/>
      <c r="X97" s="2342"/>
      <c r="Y97" s="2342"/>
      <c r="Z97" s="2346"/>
      <c r="AA97" s="2326">
        <v>1</v>
      </c>
      <c r="AB97" s="1691"/>
      <c r="AC97" s="1681"/>
      <c r="AD97" s="1691">
        <f>AB97</f>
        <v>0</v>
      </c>
      <c r="AE97" s="1681"/>
      <c r="AF97" s="2343"/>
      <c r="AG97" s="2271"/>
      <c r="AH97" s="2271"/>
      <c r="AI97" s="2343"/>
      <c r="AJ97" s="2271"/>
      <c r="AK97" s="2499"/>
      <c r="AL97" s="2500"/>
      <c r="AM97" s="2335"/>
      <c r="AN97" s="2335"/>
      <c r="AO97" s="2335"/>
      <c r="AP97" s="2335"/>
      <c r="AQ97" s="2335"/>
      <c r="AR97" s="2335"/>
      <c r="AS97" s="2335"/>
      <c r="AT97" s="2335"/>
      <c r="AU97" s="2335"/>
      <c r="AV97" s="2335"/>
      <c r="AW97" s="2335"/>
      <c r="AX97" s="2335"/>
      <c r="AY97" s="2335"/>
      <c r="AZ97" s="2335"/>
      <c r="BA97" s="2335"/>
      <c r="BB97" s="2335"/>
      <c r="BC97" s="2335"/>
      <c r="BD97" s="2335"/>
      <c r="BE97" s="2335"/>
      <c r="BF97" s="2335"/>
    </row>
    <row r="99" s="55508" customFormat="1" customHeight="1" ht="11.25">
      <c r="A99" s="2327" t="s">
        <v>2049</v>
      </c>
    </row>
    <row r="101" s="46808" customFormat="1" customHeight="1" ht="11.25">
      <c r="A101" s="1678"/>
      <c r="B101" s="1678"/>
      <c r="C101" s="1678"/>
      <c r="D101" s="1672"/>
      <c r="E101" s="1682"/>
      <c r="F101" s="2341"/>
      <c r="G101" s="2342"/>
      <c r="H101" s="3027" t="s">
        <v>101</v>
      </c>
      <c r="I101" s="3028"/>
      <c r="J101" s="2997"/>
      <c r="K101" s="3029"/>
      <c r="L101" s="2619" t="s">
        <v>19</v>
      </c>
      <c r="M101" s="2620"/>
      <c r="N101" s="2498"/>
      <c r="O101" s="1689" t="s">
        <v>494</v>
      </c>
      <c r="P101" s="1690"/>
      <c r="Q101" s="1690"/>
      <c r="R101" s="1690"/>
      <c r="S101" s="1690"/>
      <c r="T101" s="1690"/>
      <c r="U101" s="1690"/>
      <c r="V101" s="1690"/>
      <c r="W101" s="1690"/>
      <c r="X101" s="1690"/>
      <c r="Y101" s="1690"/>
      <c r="Z101" s="1690"/>
      <c r="AA101" s="1690"/>
      <c r="AB101" s="1690"/>
      <c r="AC101" s="1690"/>
      <c r="AD101" s="1690"/>
      <c r="AE101" s="1690"/>
      <c r="AF101" s="3018"/>
      <c r="AG101" s="3019"/>
      <c r="AH101" s="3019"/>
      <c r="AI101" s="3018"/>
      <c r="AJ101" s="3019"/>
      <c r="AK101" s="3019"/>
      <c r="AL101" s="2500"/>
      <c r="AM101" s="2335"/>
      <c r="AN101" s="2335"/>
      <c r="AO101" s="2335"/>
      <c r="AP101" s="2335"/>
      <c r="AQ101" s="2335"/>
      <c r="AR101" s="2335"/>
      <c r="AS101" s="2335"/>
      <c r="AT101" s="2335"/>
      <c r="AU101" s="2335"/>
      <c r="AV101" s="2335"/>
      <c r="AW101" s="2335"/>
      <c r="AX101" s="2335"/>
      <c r="AY101" s="2335"/>
      <c r="AZ101" s="2335"/>
      <c r="BA101" s="2335"/>
      <c r="BB101" s="2335"/>
      <c r="BC101" s="2335"/>
      <c r="BD101" s="2335"/>
      <c r="BE101" s="2335"/>
      <c r="BF101" s="2335"/>
    </row>
    <row s="46808" customFormat="1" customHeight="1" ht="11.25">
      <c r="A102" s="1678"/>
      <c r="B102" s="1678"/>
      <c r="C102" s="1678"/>
      <c r="D102" s="1672"/>
      <c r="E102" s="1682"/>
      <c r="F102" s="2341"/>
      <c r="G102" s="2342"/>
      <c r="H102" s="3027"/>
      <c r="I102" s="3028"/>
      <c r="J102" s="2997"/>
      <c r="K102" s="3029"/>
      <c r="L102" s="2619"/>
      <c r="M102" s="2620"/>
      <c r="N102" s="3020"/>
      <c r="O102" s="3021">
        <v>1</v>
      </c>
      <c r="P102" s="3022" t="s">
        <v>19</v>
      </c>
      <c r="Q102" s="3025" t="s">
        <v>28</v>
      </c>
      <c r="R102" s="3025" t="s">
        <v>28</v>
      </c>
      <c r="S102" s="3025" t="s">
        <v>28</v>
      </c>
      <c r="T102" s="3025" t="s">
        <v>28</v>
      </c>
      <c r="U102" s="3025" t="s">
        <v>28</v>
      </c>
      <c r="V102" s="3025" t="s">
        <v>28</v>
      </c>
      <c r="W102" s="3025" t="s">
        <v>28</v>
      </c>
      <c r="X102" s="3025" t="s">
        <v>28</v>
      </c>
      <c r="Y102" s="3025"/>
      <c r="Z102" s="1687"/>
      <c r="AA102" s="1688"/>
      <c r="AB102" s="1688"/>
      <c r="AC102" s="1692"/>
      <c r="AD102" s="1692"/>
      <c r="AE102" s="1693"/>
      <c r="AF102" s="3018"/>
      <c r="AG102" s="3019"/>
      <c r="AH102" s="3019"/>
      <c r="AI102" s="3018"/>
      <c r="AJ102" s="3019"/>
      <c r="AK102" s="3019"/>
      <c r="AL102" s="2500"/>
      <c r="AM102" s="2335"/>
      <c r="AN102" s="2335"/>
      <c r="AO102" s="2335"/>
      <c r="AP102" s="2335"/>
      <c r="AQ102" s="2335"/>
      <c r="AR102" s="2335"/>
      <c r="AS102" s="2335"/>
      <c r="AT102" s="2335"/>
      <c r="AU102" s="2335"/>
      <c r="AV102" s="2335"/>
      <c r="AW102" s="2335"/>
      <c r="AX102" s="2335"/>
      <c r="AY102" s="2335"/>
      <c r="AZ102" s="2335"/>
      <c r="BA102" s="2335"/>
      <c r="BB102" s="2335"/>
      <c r="BC102" s="2335"/>
      <c r="BD102" s="2335"/>
      <c r="BE102" s="2335"/>
      <c r="BF102" s="2335"/>
    </row>
    <row s="46808" customFormat="1" customHeight="1" ht="11.25">
      <c r="A103" s="1678"/>
      <c r="B103" s="1678"/>
      <c r="C103" s="1678"/>
      <c r="D103" s="1672"/>
      <c r="E103" s="1682"/>
      <c r="F103" s="2341"/>
      <c r="G103" s="2342"/>
      <c r="H103" s="3027"/>
      <c r="I103" s="3028"/>
      <c r="J103" s="2997"/>
      <c r="K103" s="3029"/>
      <c r="L103" s="2619"/>
      <c r="M103" s="2620"/>
      <c r="N103" s="3020"/>
      <c r="O103" s="3021"/>
      <c r="P103" s="3023"/>
      <c r="Q103" s="3025"/>
      <c r="R103" s="3025"/>
      <c r="S103" s="3026"/>
      <c r="T103" s="3025"/>
      <c r="U103" s="3025"/>
      <c r="V103" s="3025"/>
      <c r="W103" s="3025"/>
      <c r="X103" s="3025"/>
      <c r="Y103" s="3025"/>
      <c r="Z103" s="2340"/>
      <c r="AA103" s="2306">
        <v>1</v>
      </c>
      <c r="AB103" s="1691"/>
      <c r="AC103" s="1681"/>
      <c r="AD103" s="1691">
        <f>AB103</f>
        <v>0</v>
      </c>
      <c r="AE103" s="1681"/>
      <c r="AF103" s="3018"/>
      <c r="AG103" s="3019"/>
      <c r="AH103" s="3019"/>
      <c r="AI103" s="3018"/>
      <c r="AJ103" s="3019"/>
      <c r="AK103" s="3019"/>
      <c r="AL103" s="2500"/>
      <c r="AM103" s="2335"/>
      <c r="AN103" s="2335"/>
      <c r="AO103" s="2335"/>
      <c r="AP103" s="2335"/>
      <c r="AQ103" s="2335"/>
      <c r="AR103" s="2335"/>
      <c r="AS103" s="2335"/>
      <c r="AT103" s="2335"/>
      <c r="AU103" s="2335"/>
      <c r="AV103" s="2335"/>
      <c r="AW103" s="2335"/>
      <c r="AX103" s="2335"/>
      <c r="AY103" s="2335"/>
      <c r="AZ103" s="2335"/>
      <c r="BA103" s="2335"/>
      <c r="BB103" s="2335"/>
      <c r="BC103" s="2335"/>
      <c r="BD103" s="2335"/>
      <c r="BE103" s="2335"/>
      <c r="BF103" s="2335"/>
    </row>
    <row s="46808" customFormat="1" customHeight="1" ht="11.25">
      <c r="A104" s="1678"/>
      <c r="B104" s="1678"/>
      <c r="C104" s="1678"/>
      <c r="D104" s="1672"/>
      <c r="E104" s="1682"/>
      <c r="F104" s="2341"/>
      <c r="G104" s="2342"/>
      <c r="H104" s="3027"/>
      <c r="I104" s="3028"/>
      <c r="J104" s="2997"/>
      <c r="K104" s="3029"/>
      <c r="L104" s="2619"/>
      <c r="M104" s="2620"/>
      <c r="N104" s="3020"/>
      <c r="O104" s="3021"/>
      <c r="P104" s="3024"/>
      <c r="Q104" s="3025"/>
      <c r="R104" s="3025"/>
      <c r="S104" s="3026"/>
      <c r="T104" s="3025"/>
      <c r="U104" s="3025"/>
      <c r="V104" s="3025"/>
      <c r="W104" s="3025"/>
      <c r="X104" s="3025"/>
      <c r="Y104" s="3025"/>
      <c r="Z104" s="1687"/>
      <c r="AA104" s="1688"/>
      <c r="AB104" s="1753" t="s">
        <v>2047</v>
      </c>
      <c r="AC104" s="1692"/>
      <c r="AD104" s="1692"/>
      <c r="AE104" s="1694"/>
      <c r="AF104" s="3018"/>
      <c r="AG104" s="3019"/>
      <c r="AH104" s="3019"/>
      <c r="AI104" s="3018"/>
      <c r="AJ104" s="3019"/>
      <c r="AK104" s="3019"/>
      <c r="AL104" s="2500"/>
      <c r="AM104" s="2335"/>
      <c r="AN104" s="2335"/>
      <c r="AO104" s="2335"/>
      <c r="AP104" s="2335"/>
      <c r="AQ104" s="2335"/>
      <c r="AR104" s="2335"/>
      <c r="AS104" s="2335"/>
      <c r="AT104" s="2335"/>
      <c r="AU104" s="2335"/>
      <c r="AV104" s="2335"/>
      <c r="AW104" s="2335"/>
      <c r="AX104" s="2335"/>
      <c r="AY104" s="2335"/>
      <c r="AZ104" s="2335"/>
      <c r="BA104" s="2335"/>
      <c r="BB104" s="2335"/>
      <c r="BC104" s="2335"/>
      <c r="BD104" s="2335"/>
      <c r="BE104" s="2335"/>
      <c r="BF104" s="2335"/>
    </row>
    <row s="46808" customFormat="1" customHeight="1" ht="11.25">
      <c r="A105" s="1678"/>
      <c r="B105" s="1678"/>
      <c r="C105" s="1678"/>
      <c r="D105" s="1672"/>
      <c r="E105" s="1682"/>
      <c r="F105" s="2341"/>
      <c r="G105" s="2342"/>
      <c r="H105" s="3027"/>
      <c r="I105" s="3028"/>
      <c r="J105" s="2997"/>
      <c r="K105" s="3029"/>
      <c r="L105" s="2619"/>
      <c r="M105" s="2620"/>
      <c r="N105" s="1687"/>
      <c r="O105" s="1688"/>
      <c r="P105" s="1680" t="s">
        <v>2050</v>
      </c>
      <c r="Q105" s="1688"/>
      <c r="R105" s="1688"/>
      <c r="S105" s="1688"/>
      <c r="T105" s="1688"/>
      <c r="U105" s="1688"/>
      <c r="V105" s="1688"/>
      <c r="W105" s="1688"/>
      <c r="X105" s="1688"/>
      <c r="Y105" s="1688"/>
      <c r="Z105" s="1688"/>
      <c r="AA105" s="1688"/>
      <c r="AB105" s="1688"/>
      <c r="AC105" s="1688"/>
      <c r="AD105" s="1688"/>
      <c r="AE105" s="1695"/>
      <c r="AF105" s="3018"/>
      <c r="AG105" s="3019"/>
      <c r="AH105" s="3019"/>
      <c r="AI105" s="3018"/>
      <c r="AJ105" s="3019"/>
      <c r="AK105" s="3019"/>
      <c r="AL105" s="2500"/>
      <c r="AM105" s="2335"/>
      <c r="AN105" s="2335"/>
      <c r="AO105" s="2335"/>
      <c r="AP105" s="2335"/>
      <c r="AQ105" s="2335"/>
      <c r="AR105" s="2335"/>
      <c r="AS105" s="2335"/>
      <c r="AT105" s="2335"/>
      <c r="AU105" s="2335"/>
      <c r="AV105" s="2335"/>
      <c r="AW105" s="2335"/>
      <c r="AX105" s="2335"/>
      <c r="AY105" s="2335"/>
      <c r="AZ105" s="2335"/>
      <c r="BA105" s="2335"/>
      <c r="BB105" s="2335"/>
      <c r="BC105" s="2335"/>
      <c r="BD105" s="2335"/>
      <c r="BE105" s="2335"/>
      <c r="BF105" s="2335"/>
    </row>
    <row r="107" s="55508" customFormat="1" customHeight="1" ht="11.25">
      <c r="A107" s="2327" t="s">
        <v>2051</v>
      </c>
    </row>
    <row customHeight="1" ht="17.25"/>
    <row s="55041" customFormat="1" customHeight="1" ht="21">
      <c r="A109" s="1679"/>
      <c r="B109" s="1452"/>
      <c r="D109" s="1436"/>
      <c r="E109" s="1451" t="s">
        <v>28</v>
      </c>
      <c r="F109" s="1633">
        <f>INDEX(IP_MAIN_LIST_NAME_IP,MATCH(A109,IP_MAIN_LIST_IP_ID,0))&amp;" ("&amp;INDEX(IP_MAIN_START_DATE,MATCH(A109,IP_MAIN_LIST_IP_ID,0))&amp;"-"&amp;INDEX(IP_MAIN_END_DATE,MATCH(A109,IP_MAIN_LIST_IP_ID,0))&amp;")"</f>
      </c>
      <c r="G109" s="1715"/>
      <c r="H109" s="1716"/>
      <c r="I109" s="1716"/>
      <c r="J109" s="1716"/>
      <c r="K109" s="1716"/>
      <c r="L109" s="1716"/>
      <c r="M109" s="1716"/>
      <c r="N109" s="1716"/>
      <c r="O109" s="1715"/>
      <c r="P109" s="1715"/>
      <c r="Q109" s="1715"/>
      <c r="R109" s="1715"/>
      <c r="S109" s="1715"/>
      <c r="T109" s="1715"/>
      <c r="U109" s="1717"/>
      <c r="V109" s="1717"/>
      <c r="W109" s="1717"/>
      <c r="X109" s="1717"/>
      <c r="Y109" s="1717"/>
      <c r="Z109" s="1717"/>
      <c r="AA109" s="1717"/>
      <c r="AB109" s="1715"/>
      <c r="AC109" s="1716"/>
      <c r="AD109" s="1716"/>
      <c r="AE109" s="1716"/>
      <c r="AF109" s="1716"/>
      <c r="AG109" s="1716"/>
      <c r="AH109" s="1716"/>
      <c r="AI109" s="1716"/>
      <c r="AJ109" s="1716"/>
      <c r="AK109" s="1716"/>
      <c r="AL109" s="1716"/>
      <c r="AM109" s="1716"/>
      <c r="AN109" s="1716"/>
      <c r="AO109" s="1716"/>
      <c r="AP109" s="1716"/>
      <c r="AQ109" s="1716"/>
      <c r="AR109" s="1716"/>
      <c r="AS109" s="1716"/>
      <c r="AT109" s="1716"/>
      <c r="AU109" s="1716"/>
      <c r="AV109" s="1716"/>
      <c r="AW109" s="1716"/>
      <c r="AX109" s="1716"/>
      <c r="AY109" s="1716"/>
      <c r="AZ109" s="1716"/>
      <c r="BA109" s="1716"/>
      <c r="BB109" s="1716"/>
      <c r="BC109" s="1716"/>
      <c r="BD109" s="1716"/>
      <c r="BE109" s="1716"/>
      <c r="BF109" s="1716"/>
      <c r="BG109" s="1716"/>
      <c r="BH109" s="1716"/>
      <c r="BI109" s="1716"/>
      <c r="BJ109" s="1716"/>
      <c r="BK109" s="1716"/>
      <c r="BL109" s="1716"/>
      <c r="BM109" s="1716"/>
      <c r="BN109" s="1716"/>
      <c r="BO109" s="1716"/>
      <c r="BP109" s="1716"/>
      <c r="BQ109" s="1716"/>
      <c r="BR109" s="1716"/>
      <c r="BS109" s="1716"/>
      <c r="BT109" s="1716"/>
      <c r="BU109" s="1716"/>
      <c r="BV109" s="1716"/>
      <c r="BW109" s="1716"/>
      <c r="BX109" s="1716"/>
      <c r="BY109" s="1716"/>
      <c r="BZ109" s="1716"/>
      <c r="CA109" s="1716"/>
      <c r="CB109" s="1716"/>
      <c r="CC109" s="1716"/>
      <c r="CD109" s="1716"/>
      <c r="CE109" s="1716"/>
      <c r="CF109" s="1716"/>
      <c r="CG109" s="1716"/>
      <c r="CH109" s="1716"/>
      <c r="CI109" s="1716"/>
      <c r="CJ109" s="1716"/>
      <c r="CK109" s="1716"/>
      <c r="CL109" s="1718"/>
      <c r="CM109" s="1718"/>
      <c r="CN109" s="1718"/>
      <c r="CO109" s="1718"/>
      <c r="CP109" s="1718"/>
      <c r="CQ109" s="1718"/>
      <c r="CR109" s="1718"/>
      <c r="CS109" s="1718"/>
      <c r="CT109" s="1718"/>
      <c r="CU109" s="1718"/>
      <c r="CV109" s="1718"/>
      <c r="CW109" s="1718"/>
      <c r="CX109" s="1718"/>
      <c r="CY109" s="1718"/>
      <c r="CZ109" s="1718"/>
      <c r="DA109" s="1718"/>
      <c r="DB109" s="1718"/>
      <c r="DC109" s="1718"/>
      <c r="DD109" s="1718"/>
      <c r="DE109" s="1718"/>
      <c r="DF109" s="1718"/>
      <c r="DG109" s="1718"/>
      <c r="DH109" s="1718"/>
      <c r="DI109" s="1718"/>
      <c r="DJ109" s="1718"/>
      <c r="DK109" s="1718"/>
      <c r="DL109" s="1718"/>
      <c r="DM109" s="1718"/>
      <c r="DN109" s="1718"/>
      <c r="DO109" s="1718"/>
      <c r="DP109" s="1718"/>
      <c r="DQ109" s="1718"/>
      <c r="DR109" s="1718"/>
      <c r="DS109" s="1718"/>
      <c r="DT109" s="1718"/>
      <c r="DU109" s="1718"/>
      <c r="DV109" s="1718"/>
      <c r="DW109" s="1718"/>
      <c r="DX109" s="1718"/>
      <c r="DY109" s="1718"/>
      <c r="DZ109" s="1718"/>
      <c r="EA109" s="1718"/>
      <c r="EB109" s="1718"/>
      <c r="EC109" s="1718"/>
      <c r="ED109" s="1718"/>
      <c r="EE109" s="1718"/>
      <c r="EF109" s="1718"/>
      <c r="EG109" s="1718"/>
      <c r="EH109" s="1718"/>
      <c r="EI109" s="1718"/>
      <c r="EJ109" s="1718"/>
      <c r="EK109" s="1718"/>
      <c r="EL109" s="1718"/>
      <c r="EM109" s="1718"/>
      <c r="EN109" s="1718"/>
      <c r="EO109" s="1718"/>
      <c r="EP109" s="1718"/>
      <c r="EQ109" s="1718"/>
      <c r="ER109" s="1718"/>
      <c r="ES109" s="1718"/>
      <c r="ET109" s="1718"/>
      <c r="EU109" s="1718"/>
      <c r="EV109" s="1718"/>
      <c r="EW109" s="1718"/>
      <c r="EX109" s="1718"/>
      <c r="EY109" s="1718"/>
      <c r="EZ109" s="1718"/>
      <c r="FA109" s="1718"/>
      <c r="FB109" s="1718"/>
      <c r="FC109" s="1718"/>
      <c r="FD109" s="1718"/>
      <c r="FE109" s="1718"/>
      <c r="FF109" s="1718"/>
      <c r="FG109" s="1718"/>
      <c r="FH109" s="1718"/>
      <c r="FI109" s="1718"/>
      <c r="FJ109" s="1718"/>
      <c r="FK109" s="1718"/>
      <c r="FL109" s="1718"/>
      <c r="FM109" s="1718"/>
      <c r="FN109" s="1718"/>
      <c r="FO109" s="1718"/>
      <c r="FP109" s="1718"/>
      <c r="FQ109" s="1718"/>
      <c r="FR109" s="1718"/>
      <c r="FS109" s="1718"/>
      <c r="FT109" s="1718"/>
      <c r="FU109" s="1718"/>
      <c r="FV109" s="1719"/>
      <c r="FW109" s="1713"/>
      <c r="FX109" s="1714"/>
    </row>
    <row s="55041" customFormat="1" customHeight="1" ht="24.75">
      <c r="B110" s="1435"/>
      <c r="C110" s="1436"/>
      <c r="D110" s="1436"/>
      <c r="E110" s="2347"/>
      <c r="F110" s="1720">
        <v>1</v>
      </c>
      <c r="G110" s="1721"/>
      <c r="H110" s="1722"/>
      <c r="I110" s="2494"/>
      <c r="J110" s="1723"/>
      <c r="K110" s="1723"/>
      <c r="L110" s="1723"/>
      <c r="M110" s="1723"/>
      <c r="N110" s="1723"/>
      <c r="O110" s="1724"/>
      <c r="P110" s="1724"/>
      <c r="Q110" s="1724"/>
      <c r="R110" s="1724"/>
      <c r="S110" s="1724"/>
      <c r="T110" s="1724"/>
      <c r="U110" s="1724"/>
      <c r="V110" s="1724"/>
      <c r="W110" s="1724"/>
      <c r="X110" s="1724"/>
      <c r="Y110" s="1724"/>
      <c r="Z110" s="1724"/>
      <c r="AA110" s="1724"/>
      <c r="AB110" s="1724"/>
      <c r="AC110" s="1723"/>
      <c r="AD110" s="1723"/>
      <c r="AE110" s="1723"/>
      <c r="AF110" s="1723"/>
      <c r="AG110" s="1723"/>
      <c r="AH110" s="1723"/>
      <c r="AI110" s="1723"/>
      <c r="AJ110" s="1723"/>
      <c r="AK110" s="1723"/>
      <c r="AL110" s="1723"/>
      <c r="AM110" s="1723"/>
      <c r="AN110" s="1723"/>
      <c r="AO110" s="1723"/>
      <c r="AP110" s="1723"/>
      <c r="AQ110" s="1723"/>
      <c r="AR110" s="1723"/>
      <c r="AS110" s="1723"/>
      <c r="AT110" s="1723"/>
      <c r="AU110" s="1723"/>
      <c r="AV110" s="1723"/>
      <c r="AW110" s="1723"/>
      <c r="AX110" s="1723"/>
      <c r="AY110" s="1723"/>
      <c r="AZ110" s="1723"/>
      <c r="BA110" s="1723"/>
      <c r="BB110" s="1723"/>
      <c r="BC110" s="1723"/>
      <c r="BD110" s="1723"/>
      <c r="BE110" s="1723"/>
      <c r="BF110" s="1723"/>
      <c r="BG110" s="1723"/>
      <c r="BH110" s="1723"/>
      <c r="BI110" s="1723"/>
      <c r="BJ110" s="1723"/>
      <c r="BK110" s="1723"/>
      <c r="BL110" s="1723"/>
      <c r="BM110" s="1723"/>
      <c r="BN110" s="1723"/>
      <c r="BO110" s="1723"/>
      <c r="BP110" s="1723"/>
      <c r="BQ110" s="1723"/>
      <c r="BR110" s="1723"/>
      <c r="BS110" s="1723"/>
      <c r="BT110" s="1724"/>
      <c r="BU110" s="1724"/>
      <c r="BV110" s="1724"/>
      <c r="BW110" s="1724"/>
      <c r="BX110" s="1724"/>
      <c r="BY110" s="1724"/>
      <c r="BZ110" s="1724"/>
      <c r="CA110" s="1724"/>
      <c r="CB110" s="1724"/>
      <c r="CC110" s="1724"/>
      <c r="CD110" s="1724"/>
      <c r="CE110" s="1724"/>
      <c r="CF110" s="1724"/>
      <c r="CG110" s="1724"/>
      <c r="CH110" s="1724"/>
      <c r="CI110" s="1724"/>
      <c r="CJ110" s="1724"/>
      <c r="CK110" s="1724"/>
      <c r="CL110" s="1723"/>
      <c r="CM110" s="1723"/>
      <c r="CN110" s="1723"/>
      <c r="CO110" s="1723"/>
      <c r="CP110" s="1723"/>
      <c r="CQ110" s="1723"/>
      <c r="CR110" s="1723"/>
      <c r="CS110" s="1723"/>
      <c r="CT110" s="1723"/>
      <c r="CU110" s="1723"/>
      <c r="CV110" s="1723"/>
      <c r="CW110" s="1723"/>
      <c r="CX110" s="1723"/>
      <c r="CY110" s="1724"/>
      <c r="CZ110" s="1724"/>
      <c r="DA110" s="1724"/>
      <c r="DB110" s="1724"/>
      <c r="DC110" s="1724"/>
      <c r="DD110" s="1724"/>
      <c r="DE110" s="1724"/>
      <c r="DF110" s="1724"/>
      <c r="DG110" s="1724"/>
      <c r="DH110" s="1724"/>
      <c r="DI110" s="1724"/>
      <c r="DJ110" s="1724"/>
      <c r="DK110" s="1723"/>
      <c r="DL110" s="1723"/>
      <c r="DM110" s="1723"/>
      <c r="DN110" s="1723"/>
      <c r="DO110" s="1723"/>
      <c r="DP110" s="1723"/>
      <c r="DQ110" s="1723"/>
      <c r="DR110" s="1723"/>
      <c r="DS110" s="1723"/>
      <c r="DT110" s="1723"/>
      <c r="DU110" s="1723"/>
      <c r="DV110" s="1723"/>
      <c r="DW110" s="1723"/>
      <c r="DX110" s="1723"/>
      <c r="DY110" s="1723"/>
      <c r="DZ110" s="1723"/>
      <c r="EA110" s="1723"/>
      <c r="EB110" s="1723"/>
      <c r="EC110" s="1723"/>
      <c r="ED110" s="1723"/>
      <c r="EE110" s="1723"/>
      <c r="EF110" s="1723"/>
      <c r="EG110" s="1723"/>
      <c r="EH110" s="1723"/>
      <c r="EI110" s="1723"/>
      <c r="EJ110" s="1723"/>
      <c r="EK110" s="1723"/>
      <c r="EL110" s="1723"/>
      <c r="EM110" s="1723"/>
      <c r="EN110" s="1723"/>
      <c r="EO110" s="1723"/>
      <c r="EP110" s="1723"/>
      <c r="EQ110" s="1723"/>
      <c r="ER110" s="1723"/>
      <c r="ES110" s="1723"/>
      <c r="ET110" s="1723"/>
      <c r="EU110" s="1723"/>
      <c r="EV110" s="1723"/>
      <c r="EW110" s="1723"/>
      <c r="EX110" s="1723"/>
      <c r="EY110" s="1723"/>
      <c r="EZ110" s="1723"/>
      <c r="FA110" s="1723"/>
      <c r="FB110" s="1723"/>
      <c r="FC110" s="1723"/>
      <c r="FD110" s="1723"/>
      <c r="FE110" s="1723"/>
      <c r="FF110" s="1723"/>
      <c r="FG110" s="1723"/>
      <c r="FH110" s="1723"/>
      <c r="FI110" s="1723"/>
      <c r="FJ110" s="1723"/>
      <c r="FK110" s="1723"/>
      <c r="FL110" s="1723"/>
      <c r="FM110" s="1723"/>
      <c r="FN110" s="1723"/>
      <c r="FO110" s="1723"/>
      <c r="FP110" s="1723"/>
      <c r="FQ110" s="1723"/>
      <c r="FR110" s="1723"/>
      <c r="FS110" s="1723"/>
      <c r="FT110" s="1723"/>
      <c r="FU110" s="1723"/>
      <c r="FV110" s="1723"/>
      <c r="FW110" s="1723"/>
      <c r="FX110" s="1714"/>
    </row>
    <row s="55041" customFormat="1" customHeight="1" ht="12">
      <c r="A111" s="1436"/>
      <c r="B111" s="1435"/>
      <c r="C111" s="1436"/>
      <c r="D111" s="1436"/>
      <c r="E111" s="1436"/>
      <c r="F111" s="1725"/>
      <c r="G111" s="2312" t="s">
        <v>2052</v>
      </c>
      <c r="H111" s="1726"/>
      <c r="I111" s="1726"/>
      <c r="J111" s="1726"/>
      <c r="K111" s="1726"/>
      <c r="L111" s="1726"/>
      <c r="M111" s="1726"/>
      <c r="N111" s="1726"/>
      <c r="O111" s="1726"/>
      <c r="P111" s="1726"/>
      <c r="Q111" s="1726"/>
      <c r="R111" s="1726"/>
      <c r="S111" s="1726"/>
      <c r="T111" s="1726"/>
      <c r="U111" s="1726"/>
      <c r="V111" s="1726"/>
      <c r="W111" s="1726"/>
      <c r="X111" s="1726"/>
      <c r="Y111" s="1726"/>
      <c r="Z111" s="1726"/>
      <c r="AA111" s="1726"/>
      <c r="AB111" s="1726"/>
      <c r="AC111" s="1726"/>
      <c r="AD111" s="1726"/>
      <c r="AE111" s="1726"/>
      <c r="AF111" s="1726"/>
      <c r="AG111" s="1726"/>
      <c r="AH111" s="1726"/>
      <c r="AI111" s="1726"/>
      <c r="AJ111" s="1726"/>
      <c r="AK111" s="1726"/>
      <c r="AL111" s="1726"/>
      <c r="AM111" s="1726"/>
      <c r="AN111" s="1726"/>
      <c r="AO111" s="1726"/>
      <c r="AP111" s="1726"/>
      <c r="AQ111" s="1726"/>
      <c r="AR111" s="1726"/>
      <c r="AS111" s="1726"/>
      <c r="AT111" s="1726"/>
      <c r="AU111" s="1726"/>
      <c r="AV111" s="1726"/>
      <c r="AW111" s="1726"/>
      <c r="AX111" s="1726"/>
      <c r="AY111" s="1726"/>
      <c r="AZ111" s="1726"/>
      <c r="BA111" s="1726"/>
      <c r="BB111" s="1726"/>
      <c r="BC111" s="1726"/>
      <c r="BD111" s="1726"/>
      <c r="BE111" s="1726"/>
      <c r="BF111" s="1726"/>
      <c r="BG111" s="1726"/>
      <c r="BH111" s="1726"/>
      <c r="BI111" s="1726"/>
      <c r="BJ111" s="1726"/>
      <c r="BK111" s="1726"/>
      <c r="BL111" s="1726"/>
      <c r="BM111" s="1726"/>
      <c r="BN111" s="1726"/>
      <c r="BO111" s="1726"/>
      <c r="BP111" s="1726"/>
      <c r="BQ111" s="1726"/>
      <c r="BR111" s="1726"/>
      <c r="BS111" s="1726"/>
      <c r="BT111" s="1726"/>
      <c r="BU111" s="1726"/>
      <c r="BV111" s="1726"/>
      <c r="BW111" s="1726"/>
      <c r="BX111" s="1726"/>
      <c r="BY111" s="1726"/>
      <c r="BZ111" s="1726"/>
      <c r="CA111" s="1726"/>
      <c r="CB111" s="1726"/>
      <c r="CC111" s="1726"/>
      <c r="CD111" s="1726"/>
      <c r="CE111" s="1726"/>
      <c r="CF111" s="1726"/>
      <c r="CG111" s="1726"/>
      <c r="CH111" s="1726"/>
      <c r="CI111" s="1726"/>
      <c r="CJ111" s="1726"/>
      <c r="CK111" s="1726"/>
      <c r="CL111" s="1726"/>
      <c r="CM111" s="1726"/>
      <c r="CN111" s="1726"/>
      <c r="CO111" s="1726"/>
      <c r="CP111" s="1726"/>
      <c r="CQ111" s="1726"/>
      <c r="CR111" s="1726"/>
      <c r="CS111" s="1726"/>
      <c r="CT111" s="1726"/>
      <c r="CU111" s="1726"/>
      <c r="CV111" s="1726"/>
      <c r="CW111" s="1726"/>
      <c r="CX111" s="1726"/>
      <c r="CY111" s="1726"/>
      <c r="CZ111" s="1726"/>
      <c r="DA111" s="1726"/>
      <c r="DB111" s="1726"/>
      <c r="DC111" s="1726"/>
      <c r="DD111" s="1726"/>
      <c r="DE111" s="1726"/>
      <c r="DF111" s="1726"/>
      <c r="DG111" s="1726"/>
      <c r="DH111" s="1726"/>
      <c r="DI111" s="1726"/>
      <c r="DJ111" s="1726"/>
      <c r="DK111" s="1726"/>
      <c r="DL111" s="1726"/>
      <c r="DM111" s="1726"/>
      <c r="DN111" s="1726"/>
      <c r="DO111" s="1726"/>
      <c r="DP111" s="1726"/>
      <c r="DQ111" s="1726"/>
      <c r="DR111" s="1726"/>
      <c r="DS111" s="1726"/>
      <c r="DT111" s="1726"/>
      <c r="DU111" s="1726"/>
      <c r="DV111" s="1726"/>
      <c r="DW111" s="1726"/>
      <c r="DX111" s="1726"/>
      <c r="DY111" s="1726"/>
      <c r="DZ111" s="1726"/>
      <c r="EA111" s="1726"/>
      <c r="EB111" s="1726"/>
      <c r="EC111" s="1726"/>
      <c r="ED111" s="1726"/>
      <c r="EE111" s="1726"/>
      <c r="EF111" s="1726"/>
      <c r="EG111" s="1726"/>
      <c r="EH111" s="1726"/>
      <c r="EI111" s="1726"/>
      <c r="EJ111" s="1726"/>
      <c r="EK111" s="1726"/>
      <c r="EL111" s="1726"/>
      <c r="EM111" s="1726"/>
      <c r="EN111" s="1726"/>
      <c r="EO111" s="1726"/>
      <c r="EP111" s="1726"/>
      <c r="EQ111" s="1726"/>
      <c r="ER111" s="1726"/>
      <c r="ES111" s="1726"/>
      <c r="ET111" s="1726"/>
      <c r="EU111" s="1726"/>
      <c r="EV111" s="1726"/>
      <c r="EW111" s="1726"/>
      <c r="EX111" s="1726"/>
      <c r="EY111" s="1726"/>
      <c r="EZ111" s="1726"/>
      <c r="FA111" s="1726"/>
      <c r="FB111" s="1726"/>
      <c r="FC111" s="1726"/>
      <c r="FD111" s="1726"/>
      <c r="FE111" s="1726"/>
      <c r="FF111" s="1726"/>
      <c r="FG111" s="1726"/>
      <c r="FH111" s="1726"/>
      <c r="FI111" s="1726"/>
      <c r="FJ111" s="1726"/>
      <c r="FK111" s="1726"/>
      <c r="FL111" s="1726"/>
      <c r="FM111" s="1726"/>
      <c r="FN111" s="1726"/>
      <c r="FO111" s="1726"/>
      <c r="FP111" s="1726"/>
      <c r="FQ111" s="1726"/>
      <c r="FR111" s="1726"/>
      <c r="FS111" s="1726"/>
      <c r="FT111" s="1726"/>
      <c r="FU111" s="1726"/>
      <c r="FV111" s="1726"/>
      <c r="FW111" s="1727"/>
      <c r="FX111" s="1728"/>
      <c r="FY111" s="1453"/>
      <c r="FZ111" s="1453"/>
      <c r="GA111" s="1453"/>
      <c r="GB111" s="1453"/>
    </row>
    <row r="113" s="55508" customFormat="1" customHeight="1" ht="11.25">
      <c r="A113" s="2327" t="s">
        <v>2053</v>
      </c>
    </row>
    <row r="115" s="46950" customFormat="1" customHeight="1" ht="15">
      <c r="A115" s="1135"/>
      <c r="B115" s="1136"/>
      <c r="C115" s="1136"/>
      <c r="D115" s="3090" t="s">
        <v>101</v>
      </c>
      <c r="E115" s="2889" t="s">
        <v>165</v>
      </c>
      <c r="F115" s="2890"/>
      <c r="G115" s="2891"/>
      <c r="H115" s="2895" t="str">
        <f>IF(A115="","",INDEX(DIFFERENTIATION_UNMERGE_VD,MATCH(A115,DIFFERENTIATION_ID_DIFF,0)))</f>
        <v/>
      </c>
      <c r="I115" s="2895"/>
      <c r="J115" s="2895"/>
      <c r="K115" s="2895"/>
      <c r="L115" s="2895"/>
      <c r="M115" s="2895"/>
      <c r="N115" s="2895"/>
      <c r="O115" s="2895"/>
      <c r="P115" s="2895"/>
      <c r="Q115" s="2895"/>
      <c r="R115" s="2895"/>
      <c r="S115" s="1231"/>
      <c r="T115" s="1228"/>
      <c r="U115" s="1137"/>
      <c r="V115" s="1137"/>
      <c r="W115" s="1138"/>
      <c r="X115" s="1138"/>
      <c r="Y115" s="1138"/>
      <c r="Z115" s="1138"/>
      <c r="AA115" s="1139"/>
      <c r="AB115" s="1140"/>
      <c r="AC115" s="2887"/>
      <c r="AD115" s="1141"/>
      <c r="AE115" s="1142" t="s">
        <v>28</v>
      </c>
      <c r="AF115" s="1142"/>
      <c r="AG115" s="1143" t="s">
        <v>726</v>
      </c>
      <c r="AH115" s="1144">
        <v>3</v>
      </c>
      <c r="AI115" s="1137"/>
      <c r="AJ115" s="1137"/>
      <c r="AK115" s="1137"/>
      <c r="AL115" s="1137"/>
      <c r="AM115" s="1137"/>
      <c r="AN115" s="1137"/>
      <c r="AO115" s="1137"/>
      <c r="AP115" s="1137"/>
      <c r="AQ115" s="1137"/>
      <c r="AR115" s="1137"/>
      <c r="AS115" s="1137"/>
      <c r="AT115" s="1137"/>
      <c r="AU115" s="1137"/>
      <c r="AV115" s="1137"/>
      <c r="AW115" s="1137"/>
      <c r="AX115" s="1137"/>
      <c r="AY115" s="1137"/>
      <c r="AZ115" s="1137"/>
      <c r="BA115" s="1137"/>
      <c r="BB115" s="1137"/>
      <c r="BC115" s="1137"/>
      <c r="BD115" s="1137"/>
      <c r="BE115" s="1137"/>
      <c r="BF115" s="1137"/>
      <c r="BG115" s="1137"/>
      <c r="BH115" s="1137"/>
      <c r="BI115" s="1137"/>
      <c r="BJ115" s="1137"/>
      <c r="BK115" s="1137"/>
      <c r="BL115" s="1137"/>
      <c r="BM115" s="1137"/>
      <c r="BN115" s="1137"/>
      <c r="BO115" s="1137"/>
      <c r="BP115" s="1137"/>
      <c r="BQ115" s="1137"/>
      <c r="BR115" s="1137"/>
      <c r="BS115" s="1137"/>
      <c r="BT115" s="1137"/>
      <c r="BU115" s="1137"/>
      <c r="BV115" s="1138"/>
      <c r="BW115" s="1138"/>
      <c r="BX115" s="1138"/>
      <c r="BY115" s="1138"/>
      <c r="BZ115" s="1138"/>
      <c r="CA115" s="1138"/>
      <c r="CB115" s="1138"/>
      <c r="CC115" s="1138"/>
      <c r="CD115" s="1138"/>
      <c r="CE115" s="1138"/>
    </row>
    <row s="46950" customFormat="1" customHeight="1" ht="15">
      <c r="A116" s="1135"/>
      <c r="B116" s="1136"/>
      <c r="C116" s="1136"/>
      <c r="D116" s="3091"/>
      <c r="E116" s="2889" t="s">
        <v>681</v>
      </c>
      <c r="F116" s="2890"/>
      <c r="G116" s="2891"/>
      <c r="H116" s="2895" t="str">
        <f>IF(A115="","",INDEX(DIFFERENTIATION_UNMERGE_AREA,MATCH(A115,DIFFERENTIATION_ID_DIFF,0)))</f>
        <v/>
      </c>
      <c r="I116" s="2895"/>
      <c r="J116" s="2895"/>
      <c r="K116" s="2895"/>
      <c r="L116" s="2895"/>
      <c r="M116" s="2895"/>
      <c r="N116" s="2895"/>
      <c r="O116" s="2895"/>
      <c r="P116" s="2895"/>
      <c r="Q116" s="2895"/>
      <c r="R116" s="2895"/>
      <c r="S116" s="1231"/>
      <c r="T116" s="1228"/>
      <c r="U116" s="1137"/>
      <c r="V116" s="1137"/>
      <c r="W116" s="1138"/>
      <c r="X116" s="1138"/>
      <c r="Y116" s="1138"/>
      <c r="Z116" s="1138"/>
      <c r="AA116" s="1139"/>
      <c r="AB116" s="1140"/>
      <c r="AC116" s="2887"/>
      <c r="AD116" s="1141"/>
      <c r="AE116" s="1142"/>
      <c r="AF116" s="1142"/>
      <c r="AG116" s="1143"/>
      <c r="AH116" s="1144"/>
      <c r="AI116" s="1137"/>
      <c r="AJ116" s="1137"/>
      <c r="AK116" s="1137"/>
      <c r="AL116" s="1137"/>
      <c r="AM116" s="1137"/>
      <c r="AN116" s="1137"/>
      <c r="AO116" s="1137"/>
      <c r="AP116" s="1137"/>
      <c r="AQ116" s="1137"/>
      <c r="AR116" s="1137"/>
      <c r="AS116" s="1137"/>
      <c r="AT116" s="1137"/>
      <c r="AU116" s="1137"/>
      <c r="AV116" s="1137"/>
      <c r="AW116" s="1137"/>
      <c r="AX116" s="1137"/>
      <c r="AY116" s="1137"/>
      <c r="AZ116" s="1137"/>
      <c r="BA116" s="1137"/>
      <c r="BB116" s="1137"/>
      <c r="BC116" s="1137"/>
      <c r="BD116" s="1137"/>
      <c r="BE116" s="1137"/>
      <c r="BF116" s="1137"/>
      <c r="BG116" s="1137"/>
      <c r="BH116" s="1137"/>
      <c r="BI116" s="1137"/>
      <c r="BJ116" s="1137"/>
      <c r="BK116" s="1137"/>
      <c r="BL116" s="1137"/>
      <c r="BM116" s="1137"/>
      <c r="BN116" s="1137"/>
      <c r="BO116" s="1137"/>
      <c r="BP116" s="1137"/>
      <c r="BQ116" s="1137"/>
      <c r="BR116" s="1137"/>
      <c r="BS116" s="1137"/>
      <c r="BT116" s="1137"/>
      <c r="BU116" s="1137"/>
      <c r="BV116" s="1138"/>
      <c r="BW116" s="1138"/>
      <c r="BX116" s="1138"/>
      <c r="BY116" s="1138"/>
      <c r="BZ116" s="1138"/>
      <c r="CA116" s="1138"/>
      <c r="CB116" s="1138"/>
      <c r="CC116" s="1138"/>
      <c r="CD116" s="1138"/>
      <c r="CE116" s="1138"/>
    </row>
    <row s="46950" customFormat="1" customHeight="1" ht="15">
      <c r="A117" s="1135"/>
      <c r="B117" s="1136"/>
      <c r="C117" s="1136"/>
      <c r="D117" s="3091"/>
      <c r="E117" s="2889" t="s">
        <v>682</v>
      </c>
      <c r="F117" s="2890"/>
      <c r="G117" s="2891"/>
      <c r="H117" s="2895" t="str">
        <f>IF(A115="","",INDEX(DIFFERENTIATION_UNMERGE_SYSTEM,MATCH(A115,DIFFERENTIATION_ID_DIFF,0)))</f>
        <v/>
      </c>
      <c r="I117" s="2895"/>
      <c r="J117" s="2895"/>
      <c r="K117" s="2895"/>
      <c r="L117" s="2895"/>
      <c r="M117" s="2895"/>
      <c r="N117" s="2895"/>
      <c r="O117" s="2895"/>
      <c r="P117" s="2895"/>
      <c r="Q117" s="2895"/>
      <c r="R117" s="2895"/>
      <c r="S117" s="1231"/>
      <c r="T117" s="1228"/>
      <c r="U117" s="1137"/>
      <c r="V117" s="1137"/>
      <c r="W117" s="1138"/>
      <c r="X117" s="1138"/>
      <c r="Y117" s="1138"/>
      <c r="Z117" s="1138"/>
      <c r="AA117" s="1139"/>
      <c r="AB117" s="1140"/>
      <c r="AC117" s="2887"/>
      <c r="AD117" s="1141"/>
      <c r="AE117" s="1142"/>
      <c r="AF117" s="1142"/>
      <c r="AG117" s="1143"/>
      <c r="AH117" s="1144"/>
      <c r="AI117" s="1137"/>
      <c r="AJ117" s="1137"/>
      <c r="AK117" s="1137"/>
      <c r="AL117" s="1137"/>
      <c r="AM117" s="1137"/>
      <c r="AN117" s="1137"/>
      <c r="AO117" s="1137"/>
      <c r="AP117" s="1137"/>
      <c r="AQ117" s="1137"/>
      <c r="AR117" s="1137"/>
      <c r="AS117" s="1137"/>
      <c r="AT117" s="1137"/>
      <c r="AU117" s="1137"/>
      <c r="AV117" s="1137"/>
      <c r="AW117" s="1137"/>
      <c r="AX117" s="1137"/>
      <c r="AY117" s="1137"/>
      <c r="AZ117" s="1137"/>
      <c r="BA117" s="1137"/>
      <c r="BB117" s="1137"/>
      <c r="BC117" s="1137"/>
      <c r="BD117" s="1137"/>
      <c r="BE117" s="1137"/>
      <c r="BF117" s="1137"/>
      <c r="BG117" s="1137"/>
      <c r="BH117" s="1137"/>
      <c r="BI117" s="1137"/>
      <c r="BJ117" s="1137"/>
      <c r="BK117" s="1137"/>
      <c r="BL117" s="1137"/>
      <c r="BM117" s="1137"/>
      <c r="BN117" s="1137"/>
      <c r="BO117" s="1137"/>
      <c r="BP117" s="1137"/>
      <c r="BQ117" s="1137"/>
      <c r="BR117" s="1137"/>
      <c r="BS117" s="1137"/>
      <c r="BT117" s="1137"/>
      <c r="BU117" s="1137"/>
      <c r="BV117" s="1138"/>
      <c r="BW117" s="1138"/>
      <c r="BX117" s="1138"/>
      <c r="BY117" s="1138"/>
      <c r="BZ117" s="1138"/>
      <c r="CA117" s="1138"/>
      <c r="CB117" s="1138"/>
      <c r="CC117" s="1138"/>
      <c r="CD117" s="1138"/>
      <c r="CE117" s="1138"/>
    </row>
    <row s="46950" customFormat="1" customHeight="1" ht="24.75">
      <c r="A118" s="2318"/>
      <c r="B118" s="1672"/>
      <c r="C118" s="924"/>
      <c r="D118" s="3091"/>
      <c r="E118" s="2888" t="s">
        <v>727</v>
      </c>
      <c r="F118" s="2888"/>
      <c r="G118" s="2888"/>
      <c r="H118" s="2888"/>
      <c r="I118" s="2888"/>
      <c r="J118" s="2888"/>
      <c r="K118" s="2888"/>
      <c r="L118" s="2888"/>
      <c r="M118" s="2888"/>
      <c r="N118" s="2888"/>
      <c r="O118" s="2888"/>
      <c r="P118" s="2888"/>
      <c r="Q118" s="1070">
        <f>SUMIF(T119:T120,"i",Q119:Q120)</f>
        <v>0</v>
      </c>
      <c r="R118" s="1529"/>
      <c r="S118" s="2310" t="s">
        <v>728</v>
      </c>
      <c r="T118" s="1229" t="s">
        <v>729</v>
      </c>
      <c r="U118" s="2886">
        <v>1</v>
      </c>
      <c r="V118" s="2886" t="s">
        <v>692</v>
      </c>
      <c r="W118" s="1672"/>
      <c r="X118" s="1672"/>
      <c r="Y118" s="1672"/>
      <c r="Z118" s="1672"/>
      <c r="AA118" s="2148"/>
      <c r="AB118" s="1672"/>
      <c r="AC118" s="2887"/>
      <c r="AD118" s="1141"/>
      <c r="AE118" s="1672"/>
      <c r="AF118" s="1672"/>
      <c r="AG118" s="2148"/>
      <c r="AH118" s="2148"/>
      <c r="AI118" s="2148"/>
      <c r="AJ118" s="2148"/>
      <c r="AK118" s="2148"/>
      <c r="AL118" s="2148"/>
      <c r="AM118" s="2148"/>
      <c r="AN118" s="2148"/>
      <c r="AO118" s="2148"/>
      <c r="AP118" s="2148"/>
      <c r="AQ118" s="2148"/>
      <c r="AR118" s="2148"/>
      <c r="AS118" s="2148"/>
      <c r="AT118" s="2148"/>
      <c r="AU118" s="2148"/>
      <c r="AV118" s="2148"/>
      <c r="AW118" s="2148"/>
      <c r="AX118" s="2148"/>
      <c r="AY118" s="2148"/>
      <c r="AZ118" s="2148"/>
      <c r="BA118" s="2148"/>
      <c r="BB118" s="2148"/>
      <c r="BC118" s="2148"/>
      <c r="BD118" s="2148"/>
      <c r="BE118" s="2148"/>
      <c r="BF118" s="2148"/>
      <c r="BG118" s="2148"/>
      <c r="BH118" s="2148"/>
      <c r="BI118" s="2148"/>
      <c r="BJ118" s="2148"/>
      <c r="BK118" s="2148"/>
      <c r="BL118" s="2148"/>
      <c r="BM118" s="2148"/>
      <c r="BN118" s="2148"/>
      <c r="BO118" s="2148"/>
      <c r="BP118" s="2148"/>
      <c r="BQ118" s="2148"/>
      <c r="BR118" s="2148"/>
      <c r="BS118" s="2148"/>
      <c r="BT118" s="2148"/>
      <c r="BU118" s="2148"/>
      <c r="BV118" s="1672"/>
      <c r="BW118" s="1672"/>
      <c r="BX118" s="1672"/>
      <c r="BY118" s="1672"/>
      <c r="BZ118" s="1672"/>
      <c r="CA118" s="1672"/>
      <c r="CB118" s="1672"/>
      <c r="CC118" s="1672"/>
      <c r="CD118" s="1672"/>
      <c r="CE118" s="1672"/>
    </row>
    <row s="46950" customFormat="1" customHeight="1" ht="11.25" hidden="1">
      <c r="A119" s="2305"/>
      <c r="B119" s="2148"/>
      <c r="C119" s="2148"/>
      <c r="D119" s="3091"/>
      <c r="E119" s="1147"/>
      <c r="F119" s="1147">
        <v>0</v>
      </c>
      <c r="G119" s="1147"/>
      <c r="H119" s="1147"/>
      <c r="I119" s="1147"/>
      <c r="J119" s="1147"/>
      <c r="K119" s="1147"/>
      <c r="L119" s="1147"/>
      <c r="M119" s="1147"/>
      <c r="N119" s="1147"/>
      <c r="O119" s="1147"/>
      <c r="P119" s="1147"/>
      <c r="Q119" s="1147"/>
      <c r="R119" s="1147"/>
      <c r="S119" s="1148"/>
      <c r="T119" s="1230"/>
      <c r="U119" s="2886"/>
      <c r="V119" s="2886"/>
      <c r="W119" s="2148"/>
      <c r="X119" s="2148"/>
      <c r="Y119" s="2148"/>
      <c r="Z119" s="2148"/>
      <c r="AA119" s="2148"/>
      <c r="AB119" s="1672"/>
      <c r="AC119" s="2887"/>
      <c r="AD119" s="1141"/>
      <c r="AE119" s="1672"/>
      <c r="AF119" s="1672"/>
      <c r="AG119" s="2148"/>
      <c r="AH119" s="2148"/>
      <c r="AI119" s="2148"/>
      <c r="AJ119" s="2148"/>
      <c r="AK119" s="2148"/>
      <c r="AL119" s="2148"/>
      <c r="AM119" s="2148"/>
      <c r="AN119" s="2148"/>
      <c r="AO119" s="2148"/>
      <c r="AP119" s="2148"/>
      <c r="AQ119" s="2148"/>
      <c r="AR119" s="2148"/>
      <c r="AS119" s="2148"/>
      <c r="AT119" s="2148"/>
      <c r="AU119" s="2148"/>
      <c r="AV119" s="2148"/>
      <c r="AW119" s="2148"/>
      <c r="AX119" s="2148"/>
      <c r="AY119" s="2148"/>
      <c r="AZ119" s="2148"/>
      <c r="BA119" s="2148"/>
      <c r="BB119" s="2148"/>
      <c r="BC119" s="2148"/>
      <c r="BD119" s="2148"/>
      <c r="BE119" s="2148"/>
      <c r="BF119" s="2148"/>
      <c r="BG119" s="2148"/>
      <c r="BH119" s="2148"/>
      <c r="BI119" s="2148"/>
      <c r="BJ119" s="2148"/>
      <c r="BK119" s="2148"/>
      <c r="BL119" s="2148"/>
      <c r="BM119" s="2148"/>
      <c r="BN119" s="2148"/>
      <c r="BO119" s="2148"/>
      <c r="BP119" s="2148"/>
      <c r="BQ119" s="2148"/>
      <c r="BR119" s="2148"/>
      <c r="BS119" s="2148"/>
      <c r="BT119" s="2148"/>
      <c r="BU119" s="2148"/>
      <c r="BV119" s="2148"/>
      <c r="BW119" s="2148"/>
      <c r="BX119" s="2148"/>
      <c r="BY119" s="2148"/>
      <c r="BZ119" s="2148"/>
      <c r="CA119" s="2148"/>
      <c r="CB119" s="2148"/>
      <c r="CC119" s="2148"/>
      <c r="CD119" s="2148"/>
      <c r="CE119" s="2148"/>
    </row>
    <row s="46950" customFormat="1" customHeight="1" ht="11.25">
      <c r="A120" s="2318"/>
      <c r="B120" s="1672"/>
      <c r="C120" s="924"/>
      <c r="D120" s="3091"/>
      <c r="E120" s="1161" t="s">
        <v>28</v>
      </c>
      <c r="F120" s="1680" t="s">
        <v>28</v>
      </c>
      <c r="G120" s="1680" t="s">
        <v>2054</v>
      </c>
      <c r="H120" s="1163" t="s">
        <v>28</v>
      </c>
      <c r="I120" s="1163"/>
      <c r="J120" s="1163"/>
      <c r="K120" s="1163"/>
      <c r="L120" s="1163"/>
      <c r="M120" s="1163"/>
      <c r="N120" s="1163"/>
      <c r="O120" s="1163"/>
      <c r="P120" s="1163"/>
      <c r="Q120" s="1163"/>
      <c r="R120" s="1164"/>
      <c r="S120" s="1165"/>
      <c r="T120" s="1230"/>
      <c r="U120" s="2886"/>
      <c r="V120" s="2886"/>
      <c r="W120" s="1672"/>
      <c r="X120" s="1672"/>
      <c r="Y120" s="1672"/>
      <c r="Z120" s="1672"/>
      <c r="AA120" s="2148"/>
      <c r="AB120" s="1672"/>
      <c r="AC120" s="2887"/>
      <c r="AD120" s="1141"/>
      <c r="AE120" s="1672"/>
      <c r="AF120" s="1672"/>
      <c r="AG120" s="2148"/>
      <c r="AH120" s="2148"/>
      <c r="AI120" s="2148"/>
      <c r="AJ120" s="2148"/>
      <c r="AK120" s="2148"/>
      <c r="AL120" s="2148"/>
      <c r="AM120" s="2148"/>
      <c r="AN120" s="2148"/>
      <c r="AO120" s="2148"/>
      <c r="AP120" s="2148"/>
      <c r="AQ120" s="2148"/>
      <c r="AR120" s="2148"/>
      <c r="AS120" s="2148"/>
      <c r="AT120" s="2148"/>
      <c r="AU120" s="2148"/>
      <c r="AV120" s="2148"/>
      <c r="AW120" s="2148"/>
      <c r="AX120" s="2148"/>
      <c r="AY120" s="2148"/>
      <c r="AZ120" s="2148"/>
      <c r="BA120" s="2148"/>
      <c r="BB120" s="2148"/>
      <c r="BC120" s="2148"/>
      <c r="BD120" s="2148"/>
      <c r="BE120" s="2148"/>
      <c r="BF120" s="2148"/>
      <c r="BG120" s="2148"/>
      <c r="BH120" s="2148"/>
      <c r="BI120" s="2148"/>
      <c r="BJ120" s="2148"/>
      <c r="BK120" s="2148"/>
      <c r="BL120" s="2148"/>
      <c r="BM120" s="2148"/>
      <c r="BN120" s="2148"/>
      <c r="BO120" s="2148"/>
      <c r="BP120" s="2148"/>
      <c r="BQ120" s="2148"/>
      <c r="BR120" s="2148"/>
      <c r="BS120" s="2148"/>
      <c r="BT120" s="2148"/>
      <c r="BU120" s="2148"/>
      <c r="BV120" s="1672"/>
      <c r="BW120" s="1672"/>
      <c r="BX120" s="1672"/>
      <c r="BY120" s="1672"/>
      <c r="BZ120" s="1672"/>
      <c r="CA120" s="1672"/>
      <c r="CB120" s="1672"/>
      <c r="CC120" s="1672"/>
      <c r="CD120" s="1672"/>
      <c r="CE120" s="1672"/>
    </row>
    <row s="46950" customFormat="1" customHeight="1" ht="24.75">
      <c r="A121" s="2318"/>
      <c r="B121" s="1672"/>
      <c r="C121" s="924"/>
      <c r="D121" s="3091"/>
      <c r="E121" s="2888" t="s">
        <v>730</v>
      </c>
      <c r="F121" s="2888"/>
      <c r="G121" s="2888"/>
      <c r="H121" s="2888"/>
      <c r="I121" s="2888"/>
      <c r="J121" s="2888"/>
      <c r="K121" s="2888"/>
      <c r="L121" s="2888"/>
      <c r="M121" s="2888"/>
      <c r="N121" s="2888"/>
      <c r="O121" s="2888"/>
      <c r="P121" s="2888"/>
      <c r="Q121" s="1070">
        <f>SUMIF(T122:T123,"i",Q122:Q123)</f>
        <v>0</v>
      </c>
      <c r="R121" s="1529"/>
      <c r="S121" s="2310" t="s">
        <v>731</v>
      </c>
      <c r="T121" s="1229" t="s">
        <v>729</v>
      </c>
      <c r="U121" s="2886">
        <v>1</v>
      </c>
      <c r="V121" s="2886" t="s">
        <v>692</v>
      </c>
      <c r="W121" s="1672"/>
      <c r="X121" s="1672"/>
      <c r="Y121" s="1672"/>
      <c r="Z121" s="1672"/>
      <c r="AA121" s="2148"/>
      <c r="AB121" s="1672"/>
      <c r="AC121" s="2308"/>
      <c r="AD121" s="1141"/>
      <c r="AE121" s="1672"/>
      <c r="AF121" s="1672"/>
      <c r="AG121" s="2148"/>
      <c r="AH121" s="2148"/>
      <c r="AI121" s="2148"/>
      <c r="AJ121" s="2148"/>
      <c r="AK121" s="2148"/>
      <c r="AL121" s="2148"/>
      <c r="AM121" s="2148"/>
      <c r="AN121" s="2148"/>
      <c r="AO121" s="2148"/>
      <c r="AP121" s="2148"/>
      <c r="AQ121" s="2148"/>
      <c r="AR121" s="2148"/>
      <c r="AS121" s="2148"/>
      <c r="AT121" s="2148"/>
      <c r="AU121" s="2148"/>
      <c r="AV121" s="2148"/>
      <c r="AW121" s="2148"/>
      <c r="AX121" s="2148"/>
      <c r="AY121" s="2148"/>
      <c r="AZ121" s="2148"/>
      <c r="BA121" s="2148"/>
      <c r="BB121" s="2148"/>
      <c r="BC121" s="2148"/>
      <c r="BD121" s="2148"/>
      <c r="BE121" s="2148"/>
      <c r="BF121" s="2148"/>
      <c r="BG121" s="2148"/>
      <c r="BH121" s="2148"/>
      <c r="BI121" s="2148"/>
      <c r="BJ121" s="2148"/>
      <c r="BK121" s="2148"/>
      <c r="BL121" s="2148"/>
      <c r="BM121" s="2148"/>
      <c r="BN121" s="2148"/>
      <c r="BO121" s="2148"/>
      <c r="BP121" s="2148"/>
      <c r="BQ121" s="2148"/>
      <c r="BR121" s="2148"/>
      <c r="BS121" s="2148"/>
      <c r="BT121" s="2148"/>
      <c r="BU121" s="2148"/>
      <c r="BV121" s="1672"/>
      <c r="BW121" s="1672"/>
      <c r="BX121" s="1672"/>
      <c r="BY121" s="1672"/>
      <c r="BZ121" s="1672"/>
      <c r="CA121" s="1672"/>
      <c r="CB121" s="1672"/>
      <c r="CC121" s="1672"/>
      <c r="CD121" s="1672"/>
      <c r="CE121" s="1672"/>
    </row>
    <row s="46950" customFormat="1" customHeight="1" ht="11.25" hidden="1">
      <c r="A122" s="2305"/>
      <c r="B122" s="2148"/>
      <c r="C122" s="2148"/>
      <c r="D122" s="3091"/>
      <c r="E122" s="1147"/>
      <c r="F122" s="1147">
        <v>0</v>
      </c>
      <c r="G122" s="1147"/>
      <c r="H122" s="1147"/>
      <c r="I122" s="1147"/>
      <c r="J122" s="1147"/>
      <c r="K122" s="1147"/>
      <c r="L122" s="1147"/>
      <c r="M122" s="1147"/>
      <c r="N122" s="1147"/>
      <c r="O122" s="1147"/>
      <c r="P122" s="1147"/>
      <c r="Q122" s="1147"/>
      <c r="R122" s="1147"/>
      <c r="S122" s="1148"/>
      <c r="T122" s="1230"/>
      <c r="U122" s="2886"/>
      <c r="V122" s="2886"/>
      <c r="W122" s="2148"/>
      <c r="X122" s="2148"/>
      <c r="Y122" s="2148"/>
      <c r="Z122" s="2148"/>
      <c r="AA122" s="2148"/>
      <c r="AB122" s="1672"/>
      <c r="AC122" s="2308"/>
      <c r="AD122" s="1141"/>
      <c r="AE122" s="1672"/>
      <c r="AF122" s="1672"/>
      <c r="AG122" s="2148"/>
      <c r="AH122" s="2148"/>
      <c r="AI122" s="2148"/>
      <c r="AJ122" s="2148"/>
      <c r="AK122" s="2148"/>
      <c r="AL122" s="2148"/>
      <c r="AM122" s="2148"/>
      <c r="AN122" s="2148"/>
      <c r="AO122" s="2148"/>
      <c r="AP122" s="2148"/>
      <c r="AQ122" s="2148"/>
      <c r="AR122" s="2148"/>
      <c r="AS122" s="2148"/>
      <c r="AT122" s="2148"/>
      <c r="AU122" s="2148"/>
      <c r="AV122" s="2148"/>
      <c r="AW122" s="2148"/>
      <c r="AX122" s="2148"/>
      <c r="AY122" s="2148"/>
      <c r="AZ122" s="2148"/>
      <c r="BA122" s="2148"/>
      <c r="BB122" s="2148"/>
      <c r="BC122" s="2148"/>
      <c r="BD122" s="2148"/>
      <c r="BE122" s="2148"/>
      <c r="BF122" s="2148"/>
      <c r="BG122" s="2148"/>
      <c r="BH122" s="2148"/>
      <c r="BI122" s="2148"/>
      <c r="BJ122" s="2148"/>
      <c r="BK122" s="2148"/>
      <c r="BL122" s="2148"/>
      <c r="BM122" s="2148"/>
      <c r="BN122" s="2148"/>
      <c r="BO122" s="2148"/>
      <c r="BP122" s="2148"/>
      <c r="BQ122" s="2148"/>
      <c r="BR122" s="2148"/>
      <c r="BS122" s="2148"/>
      <c r="BT122" s="2148"/>
      <c r="BU122" s="2148"/>
      <c r="BV122" s="2148"/>
      <c r="BW122" s="2148"/>
      <c r="BX122" s="2148"/>
      <c r="BY122" s="2148"/>
      <c r="BZ122" s="2148"/>
      <c r="CA122" s="2148"/>
      <c r="CB122" s="2148"/>
      <c r="CC122" s="2148"/>
      <c r="CD122" s="2148"/>
      <c r="CE122" s="2148"/>
    </row>
    <row s="46950" customFormat="1" customHeight="1" ht="11.25">
      <c r="A123" s="2318"/>
      <c r="B123" s="1672"/>
      <c r="C123" s="924"/>
      <c r="D123" s="3092"/>
      <c r="E123" s="1161" t="s">
        <v>28</v>
      </c>
      <c r="F123" s="1680" t="s">
        <v>28</v>
      </c>
      <c r="G123" s="1680" t="s">
        <v>2054</v>
      </c>
      <c r="H123" s="1163" t="s">
        <v>28</v>
      </c>
      <c r="I123" s="1163"/>
      <c r="J123" s="1163"/>
      <c r="K123" s="1163"/>
      <c r="L123" s="1163"/>
      <c r="M123" s="1163"/>
      <c r="N123" s="1163"/>
      <c r="O123" s="1163"/>
      <c r="P123" s="1163"/>
      <c r="Q123" s="1163"/>
      <c r="R123" s="1164"/>
      <c r="S123" s="1165"/>
      <c r="T123" s="1230"/>
      <c r="U123" s="2886"/>
      <c r="V123" s="2886"/>
      <c r="W123" s="1672"/>
      <c r="X123" s="1672"/>
      <c r="Y123" s="1672"/>
      <c r="Z123" s="1672"/>
      <c r="AA123" s="2148"/>
      <c r="AB123" s="1672"/>
      <c r="AC123" s="2308"/>
      <c r="AD123" s="1141"/>
      <c r="AE123" s="1672"/>
      <c r="AF123" s="1672"/>
      <c r="AG123" s="2148"/>
      <c r="AH123" s="2148"/>
      <c r="AI123" s="2148"/>
      <c r="AJ123" s="2148"/>
      <c r="AK123" s="2148"/>
      <c r="AL123" s="2148"/>
      <c r="AM123" s="2148"/>
      <c r="AN123" s="2148"/>
      <c r="AO123" s="2148"/>
      <c r="AP123" s="2148"/>
      <c r="AQ123" s="2148"/>
      <c r="AR123" s="2148"/>
      <c r="AS123" s="2148"/>
      <c r="AT123" s="2148"/>
      <c r="AU123" s="2148"/>
      <c r="AV123" s="2148"/>
      <c r="AW123" s="2148"/>
      <c r="AX123" s="2148"/>
      <c r="AY123" s="2148"/>
      <c r="AZ123" s="2148"/>
      <c r="BA123" s="2148"/>
      <c r="BB123" s="2148"/>
      <c r="BC123" s="2148"/>
      <c r="BD123" s="2148"/>
      <c r="BE123" s="2148"/>
      <c r="BF123" s="2148"/>
      <c r="BG123" s="2148"/>
      <c r="BH123" s="2148"/>
      <c r="BI123" s="2148"/>
      <c r="BJ123" s="2148"/>
      <c r="BK123" s="2148"/>
      <c r="BL123" s="2148"/>
      <c r="BM123" s="2148"/>
      <c r="BN123" s="2148"/>
      <c r="BO123" s="2148"/>
      <c r="BP123" s="2148"/>
      <c r="BQ123" s="2148"/>
      <c r="BR123" s="2148"/>
      <c r="BS123" s="2148"/>
      <c r="BT123" s="2148"/>
      <c r="BU123" s="2148"/>
      <c r="BV123" s="1672"/>
      <c r="BW123" s="1672"/>
      <c r="BX123" s="1672"/>
      <c r="BY123" s="1672"/>
      <c r="BZ123" s="1672"/>
      <c r="CA123" s="1672"/>
      <c r="CB123" s="1672"/>
      <c r="CC123" s="1672"/>
      <c r="CD123" s="1672"/>
      <c r="CE123" s="1672"/>
    </row>
    <row r="125" s="55508" customFormat="1" customHeight="1" ht="11.25">
      <c r="A125" s="2327" t="s">
        <v>2055</v>
      </c>
    </row>
    <row r="127" s="46950" customFormat="1" customHeight="1" ht="15">
      <c r="A127" s="1135"/>
      <c r="B127" s="1136"/>
      <c r="C127" s="1136"/>
      <c r="D127" s="3090" t="s">
        <v>101</v>
      </c>
      <c r="E127" s="2889" t="s">
        <v>165</v>
      </c>
      <c r="F127" s="2890"/>
      <c r="G127" s="2891"/>
      <c r="H127" s="2895" t="str">
        <f>IF(A127="","",INDEX(DIFFERENTIATION_UNMERGE_VD,MATCH(A127,DIFFERENTIATION_ID_DIFF,0)))</f>
        <v/>
      </c>
      <c r="I127" s="2895"/>
      <c r="J127" s="2895"/>
      <c r="K127" s="2895"/>
      <c r="L127" s="2895"/>
      <c r="M127" s="2895"/>
      <c r="N127" s="2895"/>
      <c r="O127" s="2895"/>
      <c r="P127" s="2895"/>
      <c r="Q127" s="2895"/>
      <c r="R127" s="2895"/>
      <c r="S127" s="1231"/>
      <c r="T127" s="1228"/>
      <c r="U127" s="1137"/>
      <c r="V127" s="1137"/>
      <c r="W127" s="1138"/>
      <c r="X127" s="1138"/>
      <c r="Y127" s="1138"/>
      <c r="Z127" s="1138"/>
      <c r="AA127" s="1139"/>
      <c r="AB127" s="1140"/>
      <c r="AC127" s="2887"/>
      <c r="AD127" s="1141"/>
      <c r="AE127" s="1142" t="s">
        <v>28</v>
      </c>
      <c r="AF127" s="1142"/>
      <c r="AG127" s="1143" t="s">
        <v>726</v>
      </c>
      <c r="AH127" s="1144">
        <v>3</v>
      </c>
      <c r="AI127" s="1137"/>
      <c r="AJ127" s="1137"/>
      <c r="AK127" s="1137"/>
      <c r="AL127" s="1137"/>
      <c r="AM127" s="1137"/>
      <c r="AN127" s="1137"/>
      <c r="AO127" s="1137"/>
      <c r="AP127" s="1137"/>
      <c r="AQ127" s="1137"/>
      <c r="AR127" s="1137"/>
      <c r="AS127" s="1137"/>
      <c r="AT127" s="1137"/>
      <c r="AU127" s="1137"/>
      <c r="AV127" s="1137"/>
      <c r="AW127" s="1137"/>
      <c r="AX127" s="1137"/>
      <c r="AY127" s="1137"/>
      <c r="AZ127" s="1137"/>
      <c r="BA127" s="1137"/>
      <c r="BB127" s="1137"/>
      <c r="BC127" s="1137"/>
      <c r="BD127" s="1137"/>
      <c r="BE127" s="1137"/>
      <c r="BF127" s="1137"/>
      <c r="BG127" s="1137"/>
      <c r="BH127" s="1137"/>
      <c r="BI127" s="1137"/>
      <c r="BJ127" s="1137"/>
      <c r="BK127" s="1137"/>
      <c r="BL127" s="1137"/>
      <c r="BM127" s="1137"/>
      <c r="BN127" s="1137"/>
      <c r="BO127" s="1137"/>
      <c r="BP127" s="1137"/>
      <c r="BQ127" s="1137"/>
      <c r="BR127" s="1137"/>
      <c r="BS127" s="1137"/>
      <c r="BT127" s="1137"/>
      <c r="BU127" s="1137"/>
      <c r="BV127" s="1138"/>
      <c r="BW127" s="1138"/>
      <c r="BX127" s="1138"/>
      <c r="BY127" s="1138"/>
      <c r="BZ127" s="1138"/>
      <c r="CA127" s="1138"/>
      <c r="CB127" s="1138"/>
      <c r="CC127" s="1138"/>
      <c r="CD127" s="1138"/>
      <c r="CE127" s="1138"/>
    </row>
    <row s="46950" customFormat="1" customHeight="1" ht="15">
      <c r="A128" s="1135"/>
      <c r="B128" s="1136"/>
      <c r="C128" s="1136"/>
      <c r="D128" s="3091"/>
      <c r="E128" s="2889" t="s">
        <v>681</v>
      </c>
      <c r="F128" s="2890"/>
      <c r="G128" s="2891"/>
      <c r="H128" s="2895" t="str">
        <f>IF(A127="","",INDEX(DIFFERENTIATION_UNMERGE_AREA,MATCH(A127,DIFFERENTIATION_ID_DIFF,0)))</f>
        <v/>
      </c>
      <c r="I128" s="2895"/>
      <c r="J128" s="2895"/>
      <c r="K128" s="2895"/>
      <c r="L128" s="2895"/>
      <c r="M128" s="2895"/>
      <c r="N128" s="2895"/>
      <c r="O128" s="2895"/>
      <c r="P128" s="2895"/>
      <c r="Q128" s="2895"/>
      <c r="R128" s="2895"/>
      <c r="S128" s="1231"/>
      <c r="T128" s="1228"/>
      <c r="U128" s="1137"/>
      <c r="V128" s="1137"/>
      <c r="W128" s="1138"/>
      <c r="X128" s="1138"/>
      <c r="Y128" s="1138"/>
      <c r="Z128" s="1138"/>
      <c r="AA128" s="1139"/>
      <c r="AB128" s="1140"/>
      <c r="AC128" s="2887"/>
      <c r="AD128" s="1141"/>
      <c r="AE128" s="1142"/>
      <c r="AF128" s="1142"/>
      <c r="AG128" s="1143"/>
      <c r="AH128" s="1144"/>
      <c r="AI128" s="1137"/>
      <c r="AJ128" s="1137"/>
      <c r="AK128" s="1137"/>
      <c r="AL128" s="1137"/>
      <c r="AM128" s="1137"/>
      <c r="AN128" s="1137"/>
      <c r="AO128" s="1137"/>
      <c r="AP128" s="1137"/>
      <c r="AQ128" s="1137"/>
      <c r="AR128" s="1137"/>
      <c r="AS128" s="1137"/>
      <c r="AT128" s="1137"/>
      <c r="AU128" s="1137"/>
      <c r="AV128" s="1137"/>
      <c r="AW128" s="1137"/>
      <c r="AX128" s="1137"/>
      <c r="AY128" s="1137"/>
      <c r="AZ128" s="1137"/>
      <c r="BA128" s="1137"/>
      <c r="BB128" s="1137"/>
      <c r="BC128" s="1137"/>
      <c r="BD128" s="1137"/>
      <c r="BE128" s="1137"/>
      <c r="BF128" s="1137"/>
      <c r="BG128" s="1137"/>
      <c r="BH128" s="1137"/>
      <c r="BI128" s="1137"/>
      <c r="BJ128" s="1137"/>
      <c r="BK128" s="1137"/>
      <c r="BL128" s="1137"/>
      <c r="BM128" s="1137"/>
      <c r="BN128" s="1137"/>
      <c r="BO128" s="1137"/>
      <c r="BP128" s="1137"/>
      <c r="BQ128" s="1137"/>
      <c r="BR128" s="1137"/>
      <c r="BS128" s="1137"/>
      <c r="BT128" s="1137"/>
      <c r="BU128" s="1137"/>
      <c r="BV128" s="1138"/>
      <c r="BW128" s="1138"/>
      <c r="BX128" s="1138"/>
      <c r="BY128" s="1138"/>
      <c r="BZ128" s="1138"/>
      <c r="CA128" s="1138"/>
      <c r="CB128" s="1138"/>
      <c r="CC128" s="1138"/>
      <c r="CD128" s="1138"/>
      <c r="CE128" s="1138"/>
    </row>
    <row s="46950" customFormat="1" customHeight="1" ht="15">
      <c r="A129" s="1135"/>
      <c r="B129" s="1136"/>
      <c r="C129" s="1136"/>
      <c r="D129" s="3091"/>
      <c r="E129" s="2889" t="s">
        <v>682</v>
      </c>
      <c r="F129" s="2890"/>
      <c r="G129" s="2891"/>
      <c r="H129" s="2895" t="str">
        <f>IF(A127="","",INDEX(DIFFERENTIATION_UNMERGE_SYSTEM,MATCH(A127,DIFFERENTIATION_ID_DIFF,0)))</f>
        <v/>
      </c>
      <c r="I129" s="2895"/>
      <c r="J129" s="2895"/>
      <c r="K129" s="2895"/>
      <c r="L129" s="2895"/>
      <c r="M129" s="2895"/>
      <c r="N129" s="2895"/>
      <c r="O129" s="2895"/>
      <c r="P129" s="2895"/>
      <c r="Q129" s="2895"/>
      <c r="R129" s="2895"/>
      <c r="S129" s="1231"/>
      <c r="T129" s="1228"/>
      <c r="U129" s="1137"/>
      <c r="V129" s="1137"/>
      <c r="W129" s="1138"/>
      <c r="X129" s="1138"/>
      <c r="Y129" s="1138"/>
      <c r="Z129" s="1138"/>
      <c r="AA129" s="1139"/>
      <c r="AB129" s="1140"/>
      <c r="AC129" s="2887"/>
      <c r="AD129" s="1141"/>
      <c r="AE129" s="1142"/>
      <c r="AF129" s="1142"/>
      <c r="AG129" s="1143"/>
      <c r="AH129" s="1144"/>
      <c r="AI129" s="1137"/>
      <c r="AJ129" s="1137"/>
      <c r="AK129" s="1137"/>
      <c r="AL129" s="1137"/>
      <c r="AM129" s="1137"/>
      <c r="AN129" s="1137"/>
      <c r="AO129" s="1137"/>
      <c r="AP129" s="1137"/>
      <c r="AQ129" s="1137"/>
      <c r="AR129" s="1137"/>
      <c r="AS129" s="1137"/>
      <c r="AT129" s="1137"/>
      <c r="AU129" s="1137"/>
      <c r="AV129" s="1137"/>
      <c r="AW129" s="1137"/>
      <c r="AX129" s="1137"/>
      <c r="AY129" s="1137"/>
      <c r="AZ129" s="1137"/>
      <c r="BA129" s="1137"/>
      <c r="BB129" s="1137"/>
      <c r="BC129" s="1137"/>
      <c r="BD129" s="1137"/>
      <c r="BE129" s="1137"/>
      <c r="BF129" s="1137"/>
      <c r="BG129" s="1137"/>
      <c r="BH129" s="1137"/>
      <c r="BI129" s="1137"/>
      <c r="BJ129" s="1137"/>
      <c r="BK129" s="1137"/>
      <c r="BL129" s="1137"/>
      <c r="BM129" s="1137"/>
      <c r="BN129" s="1137"/>
      <c r="BO129" s="1137"/>
      <c r="BP129" s="1137"/>
      <c r="BQ129" s="1137"/>
      <c r="BR129" s="1137"/>
      <c r="BS129" s="1137"/>
      <c r="BT129" s="1137"/>
      <c r="BU129" s="1137"/>
      <c r="BV129" s="1138"/>
      <c r="BW129" s="1138"/>
      <c r="BX129" s="1138"/>
      <c r="BY129" s="1138"/>
      <c r="BZ129" s="1138"/>
      <c r="CA129" s="1138"/>
      <c r="CB129" s="1138"/>
      <c r="CC129" s="1138"/>
      <c r="CD129" s="1138"/>
      <c r="CE129" s="1138"/>
    </row>
    <row s="46950" customFormat="1" customHeight="1" ht="24.75">
      <c r="A130" s="2318"/>
      <c r="B130" s="1672"/>
      <c r="C130" s="924"/>
      <c r="D130" s="3091"/>
      <c r="E130" s="2888" t="s">
        <v>727</v>
      </c>
      <c r="F130" s="2888"/>
      <c r="G130" s="2888"/>
      <c r="H130" s="2888"/>
      <c r="I130" s="2888"/>
      <c r="J130" s="2888"/>
      <c r="K130" s="2888"/>
      <c r="L130" s="2888"/>
      <c r="M130" s="2888"/>
      <c r="N130" s="2888"/>
      <c r="O130" s="2888"/>
      <c r="P130" s="2888"/>
      <c r="Q130" s="1070">
        <f>SUMIF(T131:T132,"i",Q131:Q132)</f>
        <v>0</v>
      </c>
      <c r="R130" s="1529"/>
      <c r="S130" s="2310" t="s">
        <v>728</v>
      </c>
      <c r="T130" s="1229" t="s">
        <v>729</v>
      </c>
      <c r="U130" s="2886">
        <v>1</v>
      </c>
      <c r="V130" s="2886" t="s">
        <v>692</v>
      </c>
      <c r="W130" s="1672"/>
      <c r="X130" s="1672"/>
      <c r="Y130" s="1672"/>
      <c r="Z130" s="1672"/>
      <c r="AA130" s="2148"/>
      <c r="AB130" s="1672"/>
      <c r="AC130" s="2887"/>
      <c r="AD130" s="1141"/>
      <c r="AE130" s="1672"/>
      <c r="AF130" s="1672"/>
      <c r="AG130" s="2148"/>
      <c r="AH130" s="2148"/>
      <c r="AI130" s="2148"/>
      <c r="AJ130" s="2148"/>
      <c r="AK130" s="2148"/>
      <c r="AL130" s="2148"/>
      <c r="AM130" s="2148"/>
      <c r="AN130" s="2148"/>
      <c r="AO130" s="2148"/>
      <c r="AP130" s="2148"/>
      <c r="AQ130" s="2148"/>
      <c r="AR130" s="2148"/>
      <c r="AS130" s="2148"/>
      <c r="AT130" s="2148"/>
      <c r="AU130" s="2148"/>
      <c r="AV130" s="2148"/>
      <c r="AW130" s="2148"/>
      <c r="AX130" s="2148"/>
      <c r="AY130" s="2148"/>
      <c r="AZ130" s="2148"/>
      <c r="BA130" s="2148"/>
      <c r="BB130" s="2148"/>
      <c r="BC130" s="2148"/>
      <c r="BD130" s="2148"/>
      <c r="BE130" s="2148"/>
      <c r="BF130" s="2148"/>
      <c r="BG130" s="2148"/>
      <c r="BH130" s="2148"/>
      <c r="BI130" s="2148"/>
      <c r="BJ130" s="2148"/>
      <c r="BK130" s="2148"/>
      <c r="BL130" s="2148"/>
      <c r="BM130" s="2148"/>
      <c r="BN130" s="2148"/>
      <c r="BO130" s="2148"/>
      <c r="BP130" s="2148"/>
      <c r="BQ130" s="2148"/>
      <c r="BR130" s="2148"/>
      <c r="BS130" s="2148"/>
      <c r="BT130" s="2148"/>
      <c r="BU130" s="2148"/>
      <c r="BV130" s="1672"/>
      <c r="BW130" s="1672"/>
      <c r="BX130" s="1672"/>
      <c r="BY130" s="1672"/>
      <c r="BZ130" s="1672"/>
      <c r="CA130" s="1672"/>
      <c r="CB130" s="1672"/>
      <c r="CC130" s="1672"/>
      <c r="CD130" s="1672"/>
      <c r="CE130" s="1672"/>
    </row>
    <row s="46950" customFormat="1" customHeight="1" ht="11.25" hidden="1">
      <c r="A131" s="2305"/>
      <c r="B131" s="2148"/>
      <c r="C131" s="2148"/>
      <c r="D131" s="3091"/>
      <c r="E131" s="1147"/>
      <c r="F131" s="1147">
        <v>0</v>
      </c>
      <c r="G131" s="1147"/>
      <c r="H131" s="1147"/>
      <c r="I131" s="1147"/>
      <c r="J131" s="1147"/>
      <c r="K131" s="1147"/>
      <c r="L131" s="1147"/>
      <c r="M131" s="1147"/>
      <c r="N131" s="1147"/>
      <c r="O131" s="1147"/>
      <c r="P131" s="1147"/>
      <c r="Q131" s="1147"/>
      <c r="R131" s="1147"/>
      <c r="S131" s="1148"/>
      <c r="T131" s="1230"/>
      <c r="U131" s="2886"/>
      <c r="V131" s="2886"/>
      <c r="W131" s="2148"/>
      <c r="X131" s="2148"/>
      <c r="Y131" s="2148"/>
      <c r="Z131" s="2148"/>
      <c r="AA131" s="2148"/>
      <c r="AB131" s="1672"/>
      <c r="AC131" s="2887"/>
      <c r="AD131" s="1141"/>
      <c r="AE131" s="1672"/>
      <c r="AF131" s="1672"/>
      <c r="AG131" s="2148"/>
      <c r="AH131" s="2148"/>
      <c r="AI131" s="2148"/>
      <c r="AJ131" s="2148"/>
      <c r="AK131" s="2148"/>
      <c r="AL131" s="2148"/>
      <c r="AM131" s="2148"/>
      <c r="AN131" s="2148"/>
      <c r="AO131" s="2148"/>
      <c r="AP131" s="2148"/>
      <c r="AQ131" s="2148"/>
      <c r="AR131" s="2148"/>
      <c r="AS131" s="2148"/>
      <c r="AT131" s="2148"/>
      <c r="AU131" s="2148"/>
      <c r="AV131" s="2148"/>
      <c r="AW131" s="2148"/>
      <c r="AX131" s="2148"/>
      <c r="AY131" s="2148"/>
      <c r="AZ131" s="2148"/>
      <c r="BA131" s="2148"/>
      <c r="BB131" s="2148"/>
      <c r="BC131" s="2148"/>
      <c r="BD131" s="2148"/>
      <c r="BE131" s="2148"/>
      <c r="BF131" s="2148"/>
      <c r="BG131" s="2148"/>
      <c r="BH131" s="2148"/>
      <c r="BI131" s="2148"/>
      <c r="BJ131" s="2148"/>
      <c r="BK131" s="2148"/>
      <c r="BL131" s="2148"/>
      <c r="BM131" s="2148"/>
      <c r="BN131" s="2148"/>
      <c r="BO131" s="2148"/>
      <c r="BP131" s="2148"/>
      <c r="BQ131" s="2148"/>
      <c r="BR131" s="2148"/>
      <c r="BS131" s="2148"/>
      <c r="BT131" s="2148"/>
      <c r="BU131" s="2148"/>
      <c r="BV131" s="2148"/>
      <c r="BW131" s="2148"/>
      <c r="BX131" s="2148"/>
      <c r="BY131" s="2148"/>
      <c r="BZ131" s="2148"/>
      <c r="CA131" s="2148"/>
      <c r="CB131" s="2148"/>
      <c r="CC131" s="2148"/>
      <c r="CD131" s="2148"/>
      <c r="CE131" s="2148"/>
    </row>
    <row s="46950" customFormat="1" customHeight="1" ht="11.25">
      <c r="A132" s="2318"/>
      <c r="B132" s="1672"/>
      <c r="C132" s="924"/>
      <c r="D132" s="3091"/>
      <c r="E132" s="1161" t="s">
        <v>28</v>
      </c>
      <c r="F132" s="1680" t="s">
        <v>28</v>
      </c>
      <c r="G132" s="1680" t="s">
        <v>2054</v>
      </c>
      <c r="H132" s="1163" t="s">
        <v>28</v>
      </c>
      <c r="I132" s="1163"/>
      <c r="J132" s="1163"/>
      <c r="K132" s="1163"/>
      <c r="L132" s="1163"/>
      <c r="M132" s="1163"/>
      <c r="N132" s="1163"/>
      <c r="O132" s="1163"/>
      <c r="P132" s="1163"/>
      <c r="Q132" s="1163"/>
      <c r="R132" s="1164"/>
      <c r="S132" s="1165"/>
      <c r="T132" s="1230"/>
      <c r="U132" s="2886"/>
      <c r="V132" s="2886"/>
      <c r="W132" s="1672"/>
      <c r="X132" s="1672"/>
      <c r="Y132" s="1672"/>
      <c r="Z132" s="1672"/>
      <c r="AA132" s="2148"/>
      <c r="AB132" s="1672"/>
      <c r="AC132" s="2887"/>
      <c r="AD132" s="1141"/>
      <c r="AE132" s="1672"/>
      <c r="AF132" s="1672"/>
      <c r="AG132" s="2148"/>
      <c r="AH132" s="2148"/>
      <c r="AI132" s="2148"/>
      <c r="AJ132" s="2148"/>
      <c r="AK132" s="2148"/>
      <c r="AL132" s="2148"/>
      <c r="AM132" s="2148"/>
      <c r="AN132" s="2148"/>
      <c r="AO132" s="2148"/>
      <c r="AP132" s="2148"/>
      <c r="AQ132" s="2148"/>
      <c r="AR132" s="2148"/>
      <c r="AS132" s="2148"/>
      <c r="AT132" s="2148"/>
      <c r="AU132" s="2148"/>
      <c r="AV132" s="2148"/>
      <c r="AW132" s="2148"/>
      <c r="AX132" s="2148"/>
      <c r="AY132" s="2148"/>
      <c r="AZ132" s="2148"/>
      <c r="BA132" s="2148"/>
      <c r="BB132" s="2148"/>
      <c r="BC132" s="2148"/>
      <c r="BD132" s="2148"/>
      <c r="BE132" s="2148"/>
      <c r="BF132" s="2148"/>
      <c r="BG132" s="2148"/>
      <c r="BH132" s="2148"/>
      <c r="BI132" s="2148"/>
      <c r="BJ132" s="2148"/>
      <c r="BK132" s="2148"/>
      <c r="BL132" s="2148"/>
      <c r="BM132" s="2148"/>
      <c r="BN132" s="2148"/>
      <c r="BO132" s="2148"/>
      <c r="BP132" s="2148"/>
      <c r="BQ132" s="2148"/>
      <c r="BR132" s="2148"/>
      <c r="BS132" s="2148"/>
      <c r="BT132" s="2148"/>
      <c r="BU132" s="2148"/>
      <c r="BV132" s="1672"/>
      <c r="BW132" s="1672"/>
      <c r="BX132" s="1672"/>
      <c r="BY132" s="1672"/>
      <c r="BZ132" s="1672"/>
      <c r="CA132" s="1672"/>
      <c r="CB132" s="1672"/>
      <c r="CC132" s="1672"/>
      <c r="CD132" s="1672"/>
      <c r="CE132" s="1672"/>
    </row>
    <row s="47289" customFormat="1" customHeight="1" ht="5.25" hidden="1">
      <c r="A133" s="2305"/>
      <c r="B133" s="2148"/>
      <c r="C133" s="2148"/>
      <c r="D133" s="3091"/>
      <c r="E133" s="1551"/>
      <c r="F133" s="1551"/>
      <c r="G133" s="1551"/>
      <c r="H133" s="1551"/>
      <c r="I133" s="1551"/>
      <c r="J133" s="1551"/>
      <c r="K133" s="1551"/>
      <c r="L133" s="1551"/>
      <c r="M133" s="1551"/>
      <c r="N133" s="1551"/>
      <c r="O133" s="1551"/>
      <c r="P133" s="1551"/>
      <c r="Q133" s="1552"/>
      <c r="R133" s="1553"/>
      <c r="S133" s="1554"/>
      <c r="T133" s="1229" t="s">
        <v>729</v>
      </c>
      <c r="U133" s="2886">
        <v>1</v>
      </c>
      <c r="V133" s="2886" t="s">
        <v>692</v>
      </c>
      <c r="W133" s="2148"/>
      <c r="X133" s="2148"/>
      <c r="Y133" s="2148"/>
      <c r="Z133" s="2148"/>
      <c r="AA133" s="2148"/>
      <c r="AB133" s="2148"/>
      <c r="AC133" s="1549"/>
      <c r="AD133" s="1550"/>
      <c r="AE133" s="2148"/>
      <c r="AF133" s="2148"/>
      <c r="AG133" s="2148"/>
      <c r="AH133" s="2148"/>
      <c r="AI133" s="2148"/>
      <c r="AJ133" s="2148"/>
      <c r="AK133" s="2148"/>
      <c r="AL133" s="2148"/>
      <c r="AM133" s="2148"/>
      <c r="AN133" s="2148"/>
      <c r="AO133" s="2148"/>
      <c r="AP133" s="2148"/>
      <c r="AQ133" s="2148"/>
      <c r="AR133" s="2148"/>
      <c r="AS133" s="2148"/>
      <c r="AT133" s="2148"/>
      <c r="AU133" s="2148"/>
      <c r="AV133" s="2148"/>
      <c r="AW133" s="2148"/>
      <c r="AX133" s="2148"/>
      <c r="AY133" s="2148"/>
      <c r="AZ133" s="2148"/>
      <c r="BA133" s="2148"/>
      <c r="BB133" s="2148"/>
      <c r="BC133" s="2148"/>
      <c r="BD133" s="2148"/>
      <c r="BE133" s="2148"/>
      <c r="BF133" s="2148"/>
      <c r="BG133" s="2148"/>
      <c r="BH133" s="2148"/>
      <c r="BI133" s="2148"/>
      <c r="BJ133" s="2148"/>
      <c r="BK133" s="2148"/>
      <c r="BL133" s="2148"/>
      <c r="BM133" s="2148"/>
      <c r="BN133" s="2148"/>
      <c r="BO133" s="2148"/>
      <c r="BP133" s="2148"/>
      <c r="BQ133" s="2148"/>
      <c r="BR133" s="2148"/>
      <c r="BS133" s="2148"/>
      <c r="BT133" s="2148"/>
      <c r="BU133" s="2148"/>
      <c r="BV133" s="2148"/>
      <c r="BW133" s="2148"/>
      <c r="BX133" s="2148"/>
      <c r="BY133" s="2148"/>
      <c r="BZ133" s="2148"/>
      <c r="CA133" s="2148"/>
      <c r="CB133" s="2148"/>
      <c r="CC133" s="2148"/>
      <c r="CD133" s="2148"/>
      <c r="CE133" s="2148"/>
    </row>
    <row s="47289" customFormat="1" customHeight="1" ht="5.25" hidden="1">
      <c r="A134" s="2305"/>
      <c r="B134" s="2148"/>
      <c r="C134" s="2148"/>
      <c r="D134" s="3091"/>
      <c r="E134" s="1147"/>
      <c r="F134" s="1147"/>
      <c r="G134" s="1147"/>
      <c r="H134" s="1147"/>
      <c r="I134" s="1147"/>
      <c r="J134" s="1147"/>
      <c r="K134" s="1147"/>
      <c r="L134" s="1147"/>
      <c r="M134" s="1147"/>
      <c r="N134" s="1147"/>
      <c r="O134" s="1147"/>
      <c r="P134" s="1147"/>
      <c r="Q134" s="1147"/>
      <c r="R134" s="1147"/>
      <c r="S134" s="1148"/>
      <c r="T134" s="1230"/>
      <c r="U134" s="2886"/>
      <c r="V134" s="2886"/>
      <c r="W134" s="2148"/>
      <c r="X134" s="2148"/>
      <c r="Y134" s="2148"/>
      <c r="Z134" s="2148"/>
      <c r="AA134" s="2148"/>
      <c r="AB134" s="2148"/>
      <c r="AC134" s="1549"/>
      <c r="AD134" s="1550"/>
      <c r="AE134" s="2148"/>
      <c r="AF134" s="2148"/>
      <c r="AG134" s="2148"/>
      <c r="AH134" s="2148"/>
      <c r="AI134" s="2148"/>
      <c r="AJ134" s="2148"/>
      <c r="AK134" s="2148"/>
      <c r="AL134" s="2148"/>
      <c r="AM134" s="2148"/>
      <c r="AN134" s="2148"/>
      <c r="AO134" s="2148"/>
      <c r="AP134" s="2148"/>
      <c r="AQ134" s="2148"/>
      <c r="AR134" s="2148"/>
      <c r="AS134" s="2148"/>
      <c r="AT134" s="2148"/>
      <c r="AU134" s="2148"/>
      <c r="AV134" s="2148"/>
      <c r="AW134" s="2148"/>
      <c r="AX134" s="2148"/>
      <c r="AY134" s="2148"/>
      <c r="AZ134" s="2148"/>
      <c r="BA134" s="2148"/>
      <c r="BB134" s="2148"/>
      <c r="BC134" s="2148"/>
      <c r="BD134" s="2148"/>
      <c r="BE134" s="2148"/>
      <c r="BF134" s="2148"/>
      <c r="BG134" s="2148"/>
      <c r="BH134" s="2148"/>
      <c r="BI134" s="2148"/>
      <c r="BJ134" s="2148"/>
      <c r="BK134" s="2148"/>
      <c r="BL134" s="2148"/>
      <c r="BM134" s="2148"/>
      <c r="BN134" s="2148"/>
      <c r="BO134" s="2148"/>
      <c r="BP134" s="2148"/>
      <c r="BQ134" s="2148"/>
      <c r="BR134" s="2148"/>
      <c r="BS134" s="2148"/>
      <c r="BT134" s="2148"/>
      <c r="BU134" s="2148"/>
      <c r="BV134" s="2148"/>
      <c r="BW134" s="2148"/>
      <c r="BX134" s="2148"/>
      <c r="BY134" s="2148"/>
      <c r="BZ134" s="2148"/>
      <c r="CA134" s="2148"/>
      <c r="CB134" s="2148"/>
      <c r="CC134" s="2148"/>
      <c r="CD134" s="2148"/>
      <c r="CE134" s="2148"/>
    </row>
    <row s="47289" customFormat="1" customHeight="1" ht="5.25" hidden="1">
      <c r="A135" s="2305"/>
      <c r="B135" s="2148"/>
      <c r="C135" s="2148"/>
      <c r="D135" s="3092"/>
      <c r="E135" s="1555"/>
      <c r="F135" s="1556"/>
      <c r="G135" s="1556"/>
      <c r="H135" s="1557"/>
      <c r="I135" s="1557"/>
      <c r="J135" s="1557"/>
      <c r="K135" s="1557"/>
      <c r="L135" s="1557"/>
      <c r="M135" s="1557"/>
      <c r="N135" s="1557"/>
      <c r="O135" s="1557"/>
      <c r="P135" s="1557"/>
      <c r="Q135" s="1557"/>
      <c r="R135" s="1458"/>
      <c r="S135" s="1558"/>
      <c r="T135" s="1230"/>
      <c r="U135" s="2886"/>
      <c r="V135" s="2886"/>
      <c r="W135" s="2148"/>
      <c r="X135" s="2148"/>
      <c r="Y135" s="2148"/>
      <c r="Z135" s="2148"/>
      <c r="AA135" s="2148"/>
      <c r="AB135" s="2148"/>
      <c r="AC135" s="1549"/>
      <c r="AD135" s="1550"/>
      <c r="AE135" s="2148"/>
      <c r="AF135" s="2148"/>
      <c r="AG135" s="2148"/>
      <c r="AH135" s="2148"/>
      <c r="AI135" s="2148"/>
      <c r="AJ135" s="2148"/>
      <c r="AK135" s="2148"/>
      <c r="AL135" s="2148"/>
      <c r="AM135" s="2148"/>
      <c r="AN135" s="2148"/>
      <c r="AO135" s="2148"/>
      <c r="AP135" s="2148"/>
      <c r="AQ135" s="2148"/>
      <c r="AR135" s="2148"/>
      <c r="AS135" s="2148"/>
      <c r="AT135" s="2148"/>
      <c r="AU135" s="2148"/>
      <c r="AV135" s="2148"/>
      <c r="AW135" s="2148"/>
      <c r="AX135" s="2148"/>
      <c r="AY135" s="2148"/>
      <c r="AZ135" s="2148"/>
      <c r="BA135" s="2148"/>
      <c r="BB135" s="2148"/>
      <c r="BC135" s="2148"/>
      <c r="BD135" s="2148"/>
      <c r="BE135" s="2148"/>
      <c r="BF135" s="2148"/>
      <c r="BG135" s="2148"/>
      <c r="BH135" s="2148"/>
      <c r="BI135" s="2148"/>
      <c r="BJ135" s="2148"/>
      <c r="BK135" s="2148"/>
      <c r="BL135" s="2148"/>
      <c r="BM135" s="2148"/>
      <c r="BN135" s="2148"/>
      <c r="BO135" s="2148"/>
      <c r="BP135" s="2148"/>
      <c r="BQ135" s="2148"/>
      <c r="BR135" s="2148"/>
      <c r="BS135" s="2148"/>
      <c r="BT135" s="2148"/>
      <c r="BU135" s="2148"/>
      <c r="BV135" s="2148"/>
      <c r="BW135" s="2148"/>
      <c r="BX135" s="2148"/>
      <c r="BY135" s="2148"/>
      <c r="BZ135" s="2148"/>
      <c r="CA135" s="2148"/>
      <c r="CB135" s="2148"/>
      <c r="CC135" s="2148"/>
      <c r="CD135" s="2148"/>
      <c r="CE135" s="2148"/>
    </row>
    <row customHeight="1" ht="17.25">
      <c r="D136" s="2348"/>
    </row>
    <row s="55508" customFormat="1" customHeight="1" ht="11.25">
      <c r="A137" s="2327" t="s">
        <v>2056</v>
      </c>
    </row>
    <row r="139" s="46950" customFormat="1" customHeight="1" ht="45">
      <c r="A139" s="2318"/>
      <c r="B139" s="1672"/>
      <c r="C139" s="924"/>
      <c r="D139" s="601"/>
      <c r="E139" s="3084"/>
      <c r="F139" s="2620" t="s">
        <v>101</v>
      </c>
      <c r="G139" s="3087" t="s">
        <v>28</v>
      </c>
      <c r="H139" s="801"/>
      <c r="I139" s="1149" t="s">
        <v>101</v>
      </c>
      <c r="J139" s="2319" t="s">
        <v>2057</v>
      </c>
      <c r="K139" s="1150" t="s">
        <v>663</v>
      </c>
      <c r="L139" s="2736" t="s">
        <v>663</v>
      </c>
      <c r="M139" s="3089"/>
      <c r="N139" s="1150" t="s">
        <v>663</v>
      </c>
      <c r="O139" s="1150" t="s">
        <v>663</v>
      </c>
      <c r="P139" s="1150" t="s">
        <v>663</v>
      </c>
      <c r="Q139" s="1151">
        <f>SUM(Q140:Q142)</f>
        <v>0</v>
      </c>
      <c r="R139" s="1151">
        <f>IF(R136=0,0,(Q136/R136)*100)</f>
        <v>0</v>
      </c>
      <c r="S139" s="2691"/>
      <c r="T139" s="1229" t="s">
        <v>729</v>
      </c>
      <c r="U139" s="601"/>
      <c r="V139" s="601"/>
      <c r="AC139" s="601"/>
    </row>
    <row s="46950" customFormat="1" customHeight="1" ht="11.25">
      <c r="A140" s="2318"/>
      <c r="B140" s="1672"/>
      <c r="C140" s="924"/>
      <c r="D140" s="601"/>
      <c r="E140" s="3085"/>
      <c r="F140" s="2620"/>
      <c r="G140" s="3087"/>
      <c r="H140" s="2639"/>
      <c r="I140" s="3027" t="s">
        <v>1138</v>
      </c>
      <c r="J140" s="3081"/>
      <c r="K140" s="3082"/>
      <c r="L140" s="1152"/>
      <c r="M140" s="1153" t="s">
        <v>101</v>
      </c>
      <c r="N140" s="2307"/>
      <c r="O140" s="1154"/>
      <c r="P140" s="1155"/>
      <c r="Q140" s="1154"/>
      <c r="R140" s="1156">
        <v>0</v>
      </c>
      <c r="S140" s="2691"/>
      <c r="T140" s="1229"/>
      <c r="U140" s="601"/>
      <c r="V140" s="601"/>
      <c r="AC140" s="601"/>
    </row>
    <row s="46950" customFormat="1" customHeight="1" ht="11.25">
      <c r="A141" s="2318"/>
      <c r="B141" s="1672"/>
      <c r="C141" s="924"/>
      <c r="D141" s="601"/>
      <c r="E141" s="3085"/>
      <c r="F141" s="2620"/>
      <c r="G141" s="3087"/>
      <c r="H141" s="2639"/>
      <c r="I141" s="3027"/>
      <c r="J141" s="3081"/>
      <c r="K141" s="3083"/>
      <c r="L141" s="1157"/>
      <c r="M141" s="1158"/>
      <c r="N141" s="1159" t="s">
        <v>2058</v>
      </c>
      <c r="O141" s="1159"/>
      <c r="P141" s="1159"/>
      <c r="Q141" s="1159"/>
      <c r="R141" s="1160"/>
      <c r="S141" s="2691"/>
      <c r="T141" s="1229"/>
      <c r="U141" s="601"/>
      <c r="V141" s="601"/>
      <c r="AC141" s="601"/>
    </row>
    <row s="46950" customFormat="1" customHeight="1" ht="11.25">
      <c r="A142" s="2318"/>
      <c r="B142" s="1672"/>
      <c r="C142" s="924"/>
      <c r="D142" s="601"/>
      <c r="E142" s="3086"/>
      <c r="F142" s="2620"/>
      <c r="G142" s="3088"/>
      <c r="H142" s="1157" t="s">
        <v>28</v>
      </c>
      <c r="I142" s="1158"/>
      <c r="J142" s="1159" t="s">
        <v>2059</v>
      </c>
      <c r="K142" s="1159"/>
      <c r="L142" s="1159"/>
      <c r="M142" s="1159"/>
      <c r="N142" s="1159"/>
      <c r="O142" s="1159"/>
      <c r="P142" s="1159"/>
      <c r="Q142" s="1159"/>
      <c r="R142" s="1160"/>
      <c r="S142" s="2691"/>
      <c r="T142" s="1229"/>
      <c r="U142" s="601"/>
      <c r="V142" s="601"/>
      <c r="AC142" s="601"/>
    </row>
    <row r="147" s="46950" customFormat="1" customHeight="1" ht="11.25">
      <c r="A147" s="2318"/>
      <c r="B147" s="1672"/>
      <c r="C147" s="924"/>
      <c r="D147" s="601"/>
      <c r="E147" s="2342"/>
      <c r="F147" s="2342"/>
      <c r="G147" s="2342"/>
      <c r="H147" s="2639"/>
      <c r="I147" s="3027" t="s">
        <v>1138</v>
      </c>
      <c r="J147" s="3081"/>
      <c r="K147" s="3082"/>
      <c r="L147" s="1152"/>
      <c r="M147" s="1153" t="s">
        <v>101</v>
      </c>
      <c r="N147" s="2307"/>
      <c r="O147" s="1154"/>
      <c r="P147" s="1155"/>
      <c r="Q147" s="1154"/>
      <c r="R147" s="1156">
        <v>0</v>
      </c>
      <c r="S147" s="601"/>
      <c r="T147" s="1229"/>
      <c r="U147" s="601"/>
      <c r="V147" s="601"/>
      <c r="AC147" s="601"/>
    </row>
    <row s="46950" customFormat="1" customHeight="1" ht="11.25">
      <c r="A148" s="2318"/>
      <c r="B148" s="1672"/>
      <c r="C148" s="924"/>
      <c r="D148" s="601"/>
      <c r="E148" s="2342"/>
      <c r="F148" s="2342"/>
      <c r="G148" s="2342"/>
      <c r="H148" s="2639"/>
      <c r="I148" s="3027"/>
      <c r="J148" s="3081"/>
      <c r="K148" s="3083"/>
      <c r="L148" s="1157"/>
      <c r="M148" s="1158"/>
      <c r="N148" s="1159" t="s">
        <v>2058</v>
      </c>
      <c r="O148" s="1159"/>
      <c r="P148" s="1159"/>
      <c r="Q148" s="1159"/>
      <c r="R148" s="1160"/>
      <c r="S148" s="601"/>
      <c r="T148" s="1229"/>
      <c r="U148" s="601"/>
      <c r="V148" s="601"/>
      <c r="AC148" s="601"/>
    </row>
    <row r="150" s="46950" customFormat="1" customHeight="1" ht="11.25">
      <c r="A150" s="2318"/>
      <c r="B150" s="1672"/>
      <c r="C150" s="924"/>
      <c r="D150" s="601"/>
      <c r="E150" s="2349"/>
      <c r="F150" s="2347"/>
      <c r="G150" s="2347"/>
      <c r="H150" s="2350"/>
      <c r="I150" s="2342"/>
      <c r="J150" s="2343"/>
      <c r="K150" s="2343"/>
      <c r="L150" s="1152"/>
      <c r="M150" s="1153" t="s">
        <v>101</v>
      </c>
      <c r="N150" s="2307"/>
      <c r="O150" s="1154"/>
      <c r="P150" s="1155"/>
      <c r="Q150" s="1154"/>
      <c r="R150" s="1156">
        <v>0</v>
      </c>
      <c r="S150" s="601"/>
      <c r="T150" s="1229"/>
      <c r="U150" s="601"/>
      <c r="V150" s="601"/>
      <c r="AC150" s="601"/>
    </row>
    <row r="152" s="55508" customFormat="1" customHeight="1" ht="17.25">
      <c r="A152" s="2327" t="s">
        <v>2060</v>
      </c>
    </row>
    <row customHeight="1" ht="17.25">
      <c r="G153" s="2351"/>
      <c r="H153" s="2351"/>
      <c r="I153" s="2351"/>
      <c r="M153" s="2347"/>
    </row>
    <row s="47026" customFormat="1" customHeight="1" ht="17.25">
      <c r="A154" s="2352"/>
      <c r="C154" s="2354"/>
      <c r="D154" s="3041"/>
      <c r="E154" s="2655"/>
      <c r="F154" s="2657"/>
      <c r="G154" s="3043"/>
      <c r="H154" s="3041"/>
      <c r="I154" s="3041">
        <v>1</v>
      </c>
      <c r="J154" s="3013"/>
      <c r="K154" s="2697" t="s">
        <v>63</v>
      </c>
      <c r="L154" s="2620"/>
      <c r="M154" s="2620" t="s">
        <v>101</v>
      </c>
      <c r="N154" s="3016" t="str">
        <f>IF(Z154="","",INDEX(TERRITORY_MR_LIST,MATCH(Z154,TERRITORY_LIST_ID,0)))</f>
        <v/>
      </c>
      <c r="O154" s="2697" t="s">
        <v>63</v>
      </c>
      <c r="P154" s="2620"/>
      <c r="Q154" s="2620" t="s">
        <v>101</v>
      </c>
      <c r="R154" s="3014" t="s">
        <v>28</v>
      </c>
      <c r="S154" s="2619" t="s">
        <v>63</v>
      </c>
      <c r="T154" s="2323"/>
      <c r="U154" s="2323" t="s">
        <v>101</v>
      </c>
      <c r="V154" s="2355" t="s">
        <v>28</v>
      </c>
      <c r="W154" s="2313"/>
      <c r="Y154" s="1779"/>
      <c r="Z154" s="1779"/>
      <c r="AA154" s="1779"/>
      <c r="AB154" s="1779"/>
      <c r="AC154" s="1779"/>
      <c r="AD154" s="1779"/>
      <c r="AE154" s="1779"/>
      <c r="AF154" s="1779"/>
      <c r="AG154" s="1779"/>
      <c r="AH154" s="1779"/>
      <c r="AI154" s="1779"/>
      <c r="AJ154" s="1779"/>
      <c r="AK154" s="1779"/>
      <c r="AL154" s="2356"/>
      <c r="AM154" s="2356"/>
      <c r="AN154" s="1779"/>
      <c r="AO154" s="1779"/>
      <c r="AP154" s="1779"/>
      <c r="AQ154" s="1779"/>
    </row>
    <row s="47026" customFormat="1" customHeight="1" ht="17.25">
      <c r="A155" s="2352"/>
      <c r="C155" s="2357"/>
      <c r="D155" s="3041"/>
      <c r="E155" s="2655"/>
      <c r="F155" s="2658"/>
      <c r="G155" s="3043"/>
      <c r="H155" s="3041"/>
      <c r="I155" s="3041"/>
      <c r="J155" s="3013"/>
      <c r="K155" s="2698"/>
      <c r="L155" s="2620"/>
      <c r="M155" s="2620"/>
      <c r="N155" s="3016"/>
      <c r="O155" s="2698"/>
      <c r="P155" s="2620"/>
      <c r="Q155" s="2620"/>
      <c r="R155" s="3014"/>
      <c r="S155" s="2619"/>
      <c r="T155" s="829"/>
      <c r="U155" s="830"/>
      <c r="V155" s="830" t="s">
        <v>532</v>
      </c>
      <c r="W155" s="831"/>
      <c r="Y155" s="1771"/>
      <c r="Z155" s="1771"/>
      <c r="AA155" s="1771"/>
      <c r="AB155" s="1771"/>
      <c r="AC155" s="1771"/>
      <c r="AD155" s="1771"/>
      <c r="AE155" s="1771"/>
      <c r="AF155" s="1771"/>
      <c r="AG155" s="1771"/>
      <c r="AH155" s="1771"/>
      <c r="AI155" s="1771"/>
      <c r="AJ155" s="1771"/>
      <c r="AK155" s="1771"/>
    </row>
    <row s="47026" customFormat="1" customHeight="1" ht="17.25">
      <c r="A156" s="2352"/>
      <c r="C156" s="2357"/>
      <c r="D156" s="3015"/>
      <c r="E156" s="3042"/>
      <c r="F156" s="2658"/>
      <c r="G156" s="3044"/>
      <c r="H156" s="3015"/>
      <c r="I156" s="3015"/>
      <c r="J156" s="3045"/>
      <c r="K156" s="2698"/>
      <c r="L156" s="3015"/>
      <c r="M156" s="3015"/>
      <c r="N156" s="3017"/>
      <c r="O156" s="2624"/>
      <c r="P156" s="829"/>
      <c r="Q156" s="830"/>
      <c r="R156" s="830" t="s">
        <v>321</v>
      </c>
      <c r="S156" s="2358"/>
      <c r="T156" s="2358"/>
      <c r="U156" s="2358"/>
      <c r="V156" s="2358"/>
      <c r="W156" s="831"/>
      <c r="Y156" s="1771"/>
      <c r="Z156" s="1771"/>
      <c r="AA156" s="1771"/>
      <c r="AB156" s="1771"/>
      <c r="AC156" s="1771"/>
      <c r="AD156" s="1771"/>
      <c r="AE156" s="1771"/>
      <c r="AF156" s="1771"/>
      <c r="AG156" s="1771"/>
      <c r="AH156" s="1771"/>
      <c r="AI156" s="1771"/>
      <c r="AJ156" s="1771"/>
      <c r="AK156" s="1771"/>
    </row>
    <row s="47026" customFormat="1" customHeight="1" ht="17.25">
      <c r="A157" s="2352"/>
      <c r="C157" s="2357"/>
      <c r="D157" s="3015"/>
      <c r="E157" s="3042"/>
      <c r="F157" s="2658"/>
      <c r="G157" s="3044"/>
      <c r="H157" s="3015"/>
      <c r="I157" s="3015"/>
      <c r="J157" s="3045"/>
      <c r="K157" s="2624"/>
      <c r="L157" s="829"/>
      <c r="M157" s="830"/>
      <c r="N157" s="830" t="s">
        <v>385</v>
      </c>
      <c r="O157" s="830"/>
      <c r="P157" s="830"/>
      <c r="Q157" s="830"/>
      <c r="R157" s="830"/>
      <c r="S157" s="2358"/>
      <c r="T157" s="2358"/>
      <c r="U157" s="2358"/>
      <c r="V157" s="2358"/>
      <c r="W157" s="831"/>
      <c r="Y157" s="1771"/>
      <c r="Z157" s="1771"/>
      <c r="AA157" s="1771"/>
      <c r="AB157" s="1771"/>
      <c r="AC157" s="1771"/>
      <c r="AD157" s="1771"/>
      <c r="AE157" s="1771"/>
      <c r="AF157" s="1771"/>
      <c r="AG157" s="1771"/>
      <c r="AH157" s="1771"/>
      <c r="AI157" s="1771"/>
      <c r="AJ157" s="1771"/>
      <c r="AK157" s="1771"/>
    </row>
    <row s="47026" customFormat="1" customHeight="1" ht="17.25">
      <c r="A158" s="2352"/>
      <c r="C158" s="2357"/>
      <c r="D158" s="3015"/>
      <c r="E158" s="3042"/>
      <c r="F158" s="2659"/>
      <c r="G158" s="3044"/>
      <c r="H158" s="829"/>
      <c r="I158" s="830"/>
      <c r="J158" s="830" t="s">
        <v>386</v>
      </c>
      <c r="K158" s="830"/>
      <c r="L158" s="830"/>
      <c r="M158" s="830"/>
      <c r="N158" s="830"/>
      <c r="O158" s="830"/>
      <c r="P158" s="830"/>
      <c r="Q158" s="830"/>
      <c r="R158" s="830"/>
      <c r="S158" s="2358"/>
      <c r="T158" s="2358"/>
      <c r="U158" s="2358"/>
      <c r="V158" s="2358"/>
      <c r="W158" s="831"/>
      <c r="Y158" s="1771"/>
      <c r="Z158" s="1771"/>
      <c r="AA158" s="1771"/>
      <c r="AB158" s="1771"/>
      <c r="AC158" s="1771"/>
      <c r="AD158" s="1771"/>
      <c r="AE158" s="1771"/>
      <c r="AF158" s="1771"/>
      <c r="AG158" s="1771"/>
      <c r="AH158" s="1771"/>
      <c r="AI158" s="1771"/>
      <c r="AJ158" s="1771"/>
      <c r="AK158" s="1771"/>
    </row>
    <row customHeight="1" ht="17.25">
      <c r="G159" s="2351"/>
      <c r="H159" s="2351"/>
      <c r="I159" s="2351"/>
      <c r="M159" s="2347"/>
    </row>
    <row s="47026" customFormat="1" customHeight="1" ht="17.25">
      <c r="A160" s="2352"/>
      <c r="C160" s="2354"/>
      <c r="D160" s="2342"/>
      <c r="E160" s="2359"/>
      <c r="F160" s="2296"/>
      <c r="G160" s="2360"/>
      <c r="H160" s="3041"/>
      <c r="I160" s="3041">
        <v>1</v>
      </c>
      <c r="J160" s="3013"/>
      <c r="K160" s="2697" t="s">
        <v>63</v>
      </c>
      <c r="L160" s="2620"/>
      <c r="M160" s="2620" t="s">
        <v>101</v>
      </c>
      <c r="N160" s="3016" t="str">
        <f>IF(Z160="","",INDEX(TERRITORY_MR_LIST,MATCH(Z160,TERRITORY_LIST_ID,0)))</f>
        <v/>
      </c>
      <c r="O160" s="2697" t="s">
        <v>63</v>
      </c>
      <c r="P160" s="2620"/>
      <c r="Q160" s="2620" t="s">
        <v>101</v>
      </c>
      <c r="R160" s="3014" t="s">
        <v>28</v>
      </c>
      <c r="S160" s="2619" t="s">
        <v>63</v>
      </c>
      <c r="T160" s="2323"/>
      <c r="U160" s="2323" t="s">
        <v>101</v>
      </c>
      <c r="V160" s="2355" t="s">
        <v>28</v>
      </c>
      <c r="W160" s="2313"/>
      <c r="Y160" s="1779"/>
      <c r="Z160" s="1779"/>
      <c r="AA160" s="1779"/>
      <c r="AB160" s="1779"/>
      <c r="AC160" s="1779"/>
      <c r="AD160" s="1779"/>
      <c r="AE160" s="1779"/>
      <c r="AF160" s="1779"/>
      <c r="AG160" s="1779"/>
      <c r="AH160" s="1779"/>
      <c r="AI160" s="1779"/>
      <c r="AJ160" s="1779"/>
      <c r="AK160" s="1779"/>
      <c r="AL160" s="2356"/>
      <c r="AM160" s="2356"/>
      <c r="AN160" s="1779"/>
      <c r="AO160" s="1779"/>
      <c r="AP160" s="1779"/>
      <c r="AQ160" s="1779"/>
    </row>
    <row s="47026" customFormat="1" customHeight="1" ht="17.25">
      <c r="A161" s="2352"/>
      <c r="C161" s="2357"/>
      <c r="D161" s="2342"/>
      <c r="E161" s="2359"/>
      <c r="F161" s="2296"/>
      <c r="G161" s="2360"/>
      <c r="H161" s="3041"/>
      <c r="I161" s="3041"/>
      <c r="J161" s="3013"/>
      <c r="K161" s="2698"/>
      <c r="L161" s="2620"/>
      <c r="M161" s="2620"/>
      <c r="N161" s="3016"/>
      <c r="O161" s="2698"/>
      <c r="P161" s="2620"/>
      <c r="Q161" s="2620"/>
      <c r="R161" s="3014"/>
      <c r="S161" s="2619"/>
      <c r="T161" s="829"/>
      <c r="U161" s="830"/>
      <c r="V161" s="830" t="s">
        <v>532</v>
      </c>
      <c r="W161" s="831"/>
      <c r="Y161" s="1771"/>
      <c r="Z161" s="1771"/>
      <c r="AA161" s="1771"/>
      <c r="AB161" s="1771"/>
      <c r="AC161" s="1771"/>
      <c r="AD161" s="1771"/>
      <c r="AE161" s="1771"/>
      <c r="AF161" s="1771"/>
      <c r="AG161" s="1771"/>
      <c r="AH161" s="1771"/>
      <c r="AI161" s="1771"/>
      <c r="AJ161" s="1771"/>
      <c r="AK161" s="1771"/>
    </row>
    <row s="47026" customFormat="1" customHeight="1" ht="17.25">
      <c r="A162" s="2352"/>
      <c r="C162" s="2357"/>
      <c r="D162" s="2342"/>
      <c r="E162" s="2359"/>
      <c r="F162" s="2296"/>
      <c r="G162" s="2360"/>
      <c r="H162" s="3015"/>
      <c r="I162" s="3015"/>
      <c r="J162" s="3045"/>
      <c r="K162" s="2698"/>
      <c r="L162" s="3015"/>
      <c r="M162" s="3015"/>
      <c r="N162" s="3017"/>
      <c r="O162" s="2624"/>
      <c r="P162" s="829"/>
      <c r="Q162" s="830"/>
      <c r="R162" s="830" t="s">
        <v>321</v>
      </c>
      <c r="S162" s="2358"/>
      <c r="T162" s="2358"/>
      <c r="U162" s="2358"/>
      <c r="V162" s="2358"/>
      <c r="W162" s="831"/>
      <c r="Y162" s="1771"/>
      <c r="Z162" s="1771"/>
      <c r="AA162" s="1771"/>
      <c r="AB162" s="1771"/>
      <c r="AC162" s="1771"/>
      <c r="AD162" s="1771"/>
      <c r="AE162" s="1771"/>
      <c r="AF162" s="1771"/>
      <c r="AG162" s="1771"/>
      <c r="AH162" s="1771"/>
      <c r="AI162" s="1771"/>
      <c r="AJ162" s="1771"/>
      <c r="AK162" s="1771"/>
    </row>
    <row s="47026" customFormat="1" customHeight="1" ht="17.25">
      <c r="A163" s="2352"/>
      <c r="C163" s="2357"/>
      <c r="D163" s="2342"/>
      <c r="E163" s="2359"/>
      <c r="F163" s="2296"/>
      <c r="G163" s="2360"/>
      <c r="H163" s="3015"/>
      <c r="I163" s="3015"/>
      <c r="J163" s="3045"/>
      <c r="K163" s="2624"/>
      <c r="L163" s="829"/>
      <c r="M163" s="830"/>
      <c r="N163" s="830" t="s">
        <v>385</v>
      </c>
      <c r="O163" s="830"/>
      <c r="P163" s="830"/>
      <c r="Q163" s="830"/>
      <c r="R163" s="830"/>
      <c r="S163" s="2358"/>
      <c r="T163" s="2358"/>
      <c r="U163" s="2358"/>
      <c r="V163" s="2358"/>
      <c r="W163" s="831"/>
      <c r="Y163" s="1771"/>
      <c r="Z163" s="1771"/>
      <c r="AA163" s="1771"/>
      <c r="AB163" s="1771"/>
      <c r="AC163" s="1771"/>
      <c r="AD163" s="1771"/>
      <c r="AE163" s="1771"/>
      <c r="AF163" s="1771"/>
      <c r="AG163" s="1771"/>
      <c r="AH163" s="1771"/>
      <c r="AI163" s="1771"/>
      <c r="AJ163" s="1771"/>
      <c r="AK163" s="1771"/>
    </row>
    <row customHeight="1" ht="17.25">
      <c r="G164" s="2351"/>
      <c r="H164" s="2351"/>
      <c r="I164" s="2351"/>
      <c r="M164" s="2347"/>
    </row>
    <row s="47026" customFormat="1" customHeight="1" ht="17.25">
      <c r="A165" s="2352"/>
      <c r="C165" s="2354"/>
      <c r="D165" s="2342"/>
      <c r="E165" s="2359"/>
      <c r="F165" s="2296"/>
      <c r="G165" s="2360"/>
      <c r="H165" s="2342"/>
      <c r="I165" s="2342"/>
      <c r="J165" s="2361"/>
      <c r="K165" s="2272"/>
      <c r="L165" s="2620"/>
      <c r="M165" s="2620" t="s">
        <v>101</v>
      </c>
      <c r="N165" s="3016" t="str">
        <f>IF(Z165="","",INDEX(TERRITORY_MR_LIST,MATCH(Z165,TERRITORY_LIST_ID,0)))</f>
        <v/>
      </c>
      <c r="O165" s="2697" t="s">
        <v>63</v>
      </c>
      <c r="P165" s="2620"/>
      <c r="Q165" s="2620" t="s">
        <v>101</v>
      </c>
      <c r="R165" s="3014" t="s">
        <v>28</v>
      </c>
      <c r="S165" s="2619" t="s">
        <v>63</v>
      </c>
      <c r="T165" s="2323"/>
      <c r="U165" s="2323" t="s">
        <v>101</v>
      </c>
      <c r="V165" s="2355" t="s">
        <v>28</v>
      </c>
      <c r="W165" s="2313"/>
      <c r="Y165" s="1779"/>
      <c r="Z165" s="1779"/>
      <c r="AA165" s="1779"/>
      <c r="AB165" s="1779"/>
      <c r="AC165" s="1779"/>
      <c r="AD165" s="1779"/>
      <c r="AE165" s="1779"/>
      <c r="AF165" s="1779"/>
      <c r="AG165" s="1779"/>
      <c r="AH165" s="1779"/>
      <c r="AI165" s="1779"/>
      <c r="AJ165" s="1779"/>
      <c r="AK165" s="1779"/>
      <c r="AL165" s="2356"/>
      <c r="AM165" s="2356"/>
      <c r="AN165" s="1779"/>
      <c r="AO165" s="1779"/>
      <c r="AP165" s="1779"/>
      <c r="AQ165" s="1779"/>
    </row>
    <row s="47026" customFormat="1" customHeight="1" ht="17.25">
      <c r="A166" s="2352"/>
      <c r="C166" s="2357"/>
      <c r="D166" s="2342"/>
      <c r="E166" s="2359"/>
      <c r="F166" s="2296"/>
      <c r="G166" s="2360"/>
      <c r="H166" s="2342"/>
      <c r="I166" s="2342"/>
      <c r="J166" s="2361"/>
      <c r="K166" s="2272"/>
      <c r="L166" s="2620"/>
      <c r="M166" s="2620"/>
      <c r="N166" s="3016"/>
      <c r="O166" s="2698"/>
      <c r="P166" s="2620"/>
      <c r="Q166" s="2620"/>
      <c r="R166" s="3014"/>
      <c r="S166" s="2619"/>
      <c r="T166" s="829"/>
      <c r="U166" s="830"/>
      <c r="V166" s="830" t="s">
        <v>532</v>
      </c>
      <c r="W166" s="831"/>
      <c r="Y166" s="1771"/>
      <c r="Z166" s="1771"/>
      <c r="AA166" s="1771"/>
      <c r="AB166" s="1771"/>
      <c r="AC166" s="1771"/>
      <c r="AD166" s="1771"/>
      <c r="AE166" s="1771"/>
      <c r="AF166" s="1771"/>
      <c r="AG166" s="1771"/>
      <c r="AH166" s="1771"/>
      <c r="AI166" s="1771"/>
      <c r="AJ166" s="1771"/>
      <c r="AK166" s="1771"/>
    </row>
    <row s="47026" customFormat="1" customHeight="1" ht="17.25">
      <c r="A167" s="2352"/>
      <c r="C167" s="2357"/>
      <c r="D167" s="2342"/>
      <c r="E167" s="2359"/>
      <c r="F167" s="2296"/>
      <c r="G167" s="2360"/>
      <c r="H167" s="2342"/>
      <c r="I167" s="2342"/>
      <c r="J167" s="2361"/>
      <c r="K167" s="2272"/>
      <c r="L167" s="3015"/>
      <c r="M167" s="3015"/>
      <c r="N167" s="3017"/>
      <c r="O167" s="2624"/>
      <c r="P167" s="829"/>
      <c r="Q167" s="830"/>
      <c r="R167" s="830" t="s">
        <v>321</v>
      </c>
      <c r="S167" s="2358"/>
      <c r="T167" s="2358"/>
      <c r="U167" s="2358"/>
      <c r="V167" s="2358"/>
      <c r="W167" s="831"/>
      <c r="Y167" s="1771"/>
      <c r="Z167" s="1771"/>
      <c r="AA167" s="1771"/>
      <c r="AB167" s="1771"/>
      <c r="AC167" s="1771"/>
      <c r="AD167" s="1771"/>
      <c r="AE167" s="1771"/>
      <c r="AF167" s="1771"/>
      <c r="AG167" s="1771"/>
      <c r="AH167" s="1771"/>
      <c r="AI167" s="1771"/>
      <c r="AJ167" s="1771"/>
      <c r="AK167" s="1771"/>
    </row>
    <row customHeight="1" ht="17.25">
      <c r="G168" s="2351"/>
      <c r="H168" s="2351"/>
      <c r="I168" s="2351"/>
      <c r="M168" s="2347"/>
    </row>
    <row s="47026" customFormat="1" customHeight="1" ht="17.25">
      <c r="A169" s="2352"/>
      <c r="C169" s="2354"/>
      <c r="D169" s="2342"/>
      <c r="E169" s="2359"/>
      <c r="F169" s="2296"/>
      <c r="G169" s="2360"/>
      <c r="H169" s="2342"/>
      <c r="I169" s="2342"/>
      <c r="J169" s="2361"/>
      <c r="K169" s="2272"/>
      <c r="L169" s="2268"/>
      <c r="M169" s="2268"/>
      <c r="N169" s="2560"/>
      <c r="O169" s="2299"/>
      <c r="P169" s="2620"/>
      <c r="Q169" s="2620" t="s">
        <v>101</v>
      </c>
      <c r="R169" s="3014" t="s">
        <v>28</v>
      </c>
      <c r="S169" s="2619" t="s">
        <v>63</v>
      </c>
      <c r="T169" s="2323"/>
      <c r="U169" s="2323" t="s">
        <v>101</v>
      </c>
      <c r="V169" s="2355" t="s">
        <v>28</v>
      </c>
      <c r="W169" s="2313"/>
      <c r="Y169" s="1779"/>
      <c r="Z169" s="1779"/>
      <c r="AA169" s="1779"/>
      <c r="AB169" s="1779"/>
      <c r="AC169" s="1779"/>
      <c r="AD169" s="1779"/>
      <c r="AE169" s="1779"/>
      <c r="AF169" s="1779"/>
      <c r="AG169" s="1779"/>
      <c r="AH169" s="1779"/>
      <c r="AI169" s="1779"/>
      <c r="AJ169" s="1779"/>
      <c r="AK169" s="1779"/>
      <c r="AL169" s="2356"/>
      <c r="AM169" s="2356"/>
      <c r="AN169" s="1779"/>
      <c r="AO169" s="1779"/>
      <c r="AP169" s="1779"/>
      <c r="AQ169" s="1779"/>
    </row>
    <row s="47026" customFormat="1" customHeight="1" ht="17.25">
      <c r="A170" s="2352"/>
      <c r="C170" s="2357"/>
      <c r="D170" s="2342"/>
      <c r="E170" s="2359"/>
      <c r="F170" s="2296"/>
      <c r="G170" s="2360"/>
      <c r="H170" s="2342"/>
      <c r="I170" s="2342"/>
      <c r="J170" s="2361"/>
      <c r="K170" s="2272"/>
      <c r="L170" s="2268"/>
      <c r="M170" s="2268"/>
      <c r="N170" s="2560"/>
      <c r="O170" s="2299"/>
      <c r="P170" s="2620"/>
      <c r="Q170" s="2620"/>
      <c r="R170" s="3014"/>
      <c r="S170" s="2619"/>
      <c r="T170" s="829"/>
      <c r="U170" s="830"/>
      <c r="V170" s="830" t="s">
        <v>532</v>
      </c>
      <c r="W170" s="831"/>
      <c r="Y170" s="1771"/>
      <c r="Z170" s="1771"/>
      <c r="AA170" s="1771"/>
      <c r="AB170" s="1771"/>
      <c r="AC170" s="1771"/>
      <c r="AD170" s="1771"/>
      <c r="AE170" s="1771"/>
      <c r="AF170" s="1771"/>
      <c r="AG170" s="1771"/>
      <c r="AH170" s="1771"/>
      <c r="AI170" s="1771"/>
      <c r="AJ170" s="1771"/>
      <c r="AK170" s="1771"/>
    </row>
    <row customHeight="1" ht="17.25">
      <c r="G171" s="2351"/>
      <c r="H171" s="2351"/>
      <c r="I171" s="2351"/>
      <c r="M171" s="2347"/>
    </row>
    <row s="47026" customFormat="1" customHeight="1" ht="17.25">
      <c r="A172" s="2352"/>
      <c r="C172" s="2354"/>
      <c r="D172" s="2342"/>
      <c r="E172" s="2359"/>
      <c r="F172" s="2296"/>
      <c r="G172" s="2360"/>
      <c r="H172" s="2268"/>
      <c r="I172" s="2268"/>
      <c r="J172" s="2269"/>
      <c r="K172" s="2360"/>
      <c r="L172" s="2268"/>
      <c r="M172" s="2268"/>
      <c r="N172" s="2360"/>
      <c r="O172" s="2360"/>
      <c r="P172" s="2268"/>
      <c r="Q172" s="2268"/>
      <c r="R172" s="2270"/>
      <c r="S172" s="2360"/>
      <c r="T172" s="2323"/>
      <c r="U172" s="2323" t="s">
        <v>101</v>
      </c>
      <c r="V172" s="2355" t="s">
        <v>28</v>
      </c>
      <c r="W172" s="2313"/>
      <c r="Y172" s="1779"/>
      <c r="Z172" s="1779"/>
      <c r="AA172" s="1779"/>
      <c r="AB172" s="1779"/>
      <c r="AC172" s="1779"/>
      <c r="AD172" s="1779"/>
      <c r="AE172" s="1779"/>
      <c r="AF172" s="1779"/>
      <c r="AG172" s="1779"/>
      <c r="AH172" s="1779"/>
      <c r="AI172" s="1779"/>
      <c r="AJ172" s="1779"/>
      <c r="AK172" s="1779"/>
      <c r="AL172" s="2356"/>
      <c r="AM172" s="2356"/>
      <c r="AN172" s="1779"/>
      <c r="AO172" s="1779"/>
      <c r="AP172" s="1779"/>
      <c r="AQ172" s="1779"/>
    </row>
    <row r="174" s="55508" customFormat="1" customHeight="1" ht="17.25">
      <c r="A174" s="2327" t="s">
        <v>2061</v>
      </c>
    </row>
    <row customHeight="1" ht="17.25">
      <c r="G175" s="2351"/>
      <c r="H175" s="2351"/>
      <c r="I175" s="2351"/>
      <c r="M175" s="2347"/>
    </row>
    <row s="47026" customFormat="1" customHeight="1" ht="17.25">
      <c r="A176" s="2352"/>
      <c r="C176" s="2354"/>
      <c r="D176" s="3041"/>
      <c r="E176" s="2655"/>
      <c r="F176" s="2657"/>
      <c r="G176" s="3043"/>
      <c r="H176" s="3041"/>
      <c r="I176" s="3041">
        <v>1</v>
      </c>
      <c r="J176" s="3013"/>
      <c r="K176" s="2697" t="s">
        <v>63</v>
      </c>
      <c r="L176" s="2620"/>
      <c r="M176" s="2620" t="s">
        <v>101</v>
      </c>
      <c r="N176" s="3016" t="str">
        <f>IF(Z176="","",INDEX(TERRITORY_MR_LIST,MATCH(Z176,TERRITORY_LIST_ID,0)))</f>
        <v/>
      </c>
      <c r="O176" s="2697" t="s">
        <v>63</v>
      </c>
      <c r="P176" s="2620"/>
      <c r="Q176" s="2620" t="s">
        <v>101</v>
      </c>
      <c r="R176" s="3014" t="s">
        <v>28</v>
      </c>
      <c r="S176" s="2918" t="s">
        <v>19</v>
      </c>
      <c r="T176" s="2314"/>
      <c r="U176" s="2314" t="s">
        <v>101</v>
      </c>
      <c r="V176" s="1946"/>
      <c r="W176" s="3013"/>
      <c r="Y176" s="1779"/>
      <c r="Z176" s="1779"/>
      <c r="AA176" s="1779"/>
      <c r="AB176" s="1779"/>
      <c r="AC176" s="1779"/>
      <c r="AD176" s="1779"/>
      <c r="AE176" s="1779"/>
      <c r="AF176" s="1779"/>
      <c r="AG176" s="1779"/>
      <c r="AH176" s="1779"/>
      <c r="AI176" s="1779"/>
      <c r="AJ176" s="1779"/>
      <c r="AK176" s="1779"/>
      <c r="AL176" s="2356"/>
      <c r="AM176" s="2356"/>
      <c r="AN176" s="1779"/>
      <c r="AO176" s="1779"/>
      <c r="AP176" s="1779"/>
      <c r="AQ176" s="1779"/>
    </row>
    <row s="47026" customFormat="1" customHeight="1" ht="17.25">
      <c r="A177" s="2352"/>
      <c r="C177" s="2357"/>
      <c r="D177" s="3041"/>
      <c r="E177" s="2655"/>
      <c r="F177" s="2658"/>
      <c r="G177" s="3043"/>
      <c r="H177" s="3041"/>
      <c r="I177" s="3041"/>
      <c r="J177" s="3013"/>
      <c r="K177" s="2698"/>
      <c r="L177" s="2620"/>
      <c r="M177" s="2620"/>
      <c r="N177" s="3016"/>
      <c r="O177" s="2698"/>
      <c r="P177" s="2620"/>
      <c r="Q177" s="2620"/>
      <c r="R177" s="3014"/>
      <c r="S177" s="2918"/>
      <c r="T177" s="1947"/>
      <c r="U177" s="1948"/>
      <c r="V177" s="1948"/>
      <c r="W177" s="3013"/>
      <c r="Y177" s="1771"/>
      <c r="Z177" s="1771"/>
      <c r="AA177" s="1771"/>
      <c r="AB177" s="1771"/>
      <c r="AC177" s="1771"/>
      <c r="AD177" s="1771"/>
      <c r="AE177" s="1771"/>
      <c r="AF177" s="1771"/>
      <c r="AG177" s="1771"/>
      <c r="AH177" s="1771"/>
      <c r="AI177" s="1771"/>
      <c r="AJ177" s="1771"/>
      <c r="AK177" s="1771"/>
    </row>
    <row s="47026" customFormat="1" customHeight="1" ht="17.25">
      <c r="A178" s="2352"/>
      <c r="C178" s="2357"/>
      <c r="D178" s="3015"/>
      <c r="E178" s="3042"/>
      <c r="F178" s="2658"/>
      <c r="G178" s="3044"/>
      <c r="H178" s="3015"/>
      <c r="I178" s="3015"/>
      <c r="J178" s="3045"/>
      <c r="K178" s="2698"/>
      <c r="L178" s="3015"/>
      <c r="M178" s="3015"/>
      <c r="N178" s="3017"/>
      <c r="O178" s="2624"/>
      <c r="P178" s="829"/>
      <c r="Q178" s="830"/>
      <c r="R178" s="830" t="s">
        <v>321</v>
      </c>
      <c r="S178" s="2358"/>
      <c r="T178" s="2358"/>
      <c r="U178" s="2358"/>
      <c r="V178" s="2358"/>
      <c r="W178" s="1945"/>
      <c r="Y178" s="1771"/>
      <c r="Z178" s="1771"/>
      <c r="AA178" s="1771"/>
      <c r="AB178" s="1771"/>
      <c r="AC178" s="1771"/>
      <c r="AD178" s="1771"/>
      <c r="AE178" s="1771"/>
      <c r="AF178" s="1771"/>
      <c r="AG178" s="1771"/>
      <c r="AH178" s="1771"/>
      <c r="AI178" s="1771"/>
      <c r="AJ178" s="1771"/>
      <c r="AK178" s="1771"/>
    </row>
    <row s="47026" customFormat="1" customHeight="1" ht="17.25">
      <c r="A179" s="2352"/>
      <c r="C179" s="2357"/>
      <c r="D179" s="3015"/>
      <c r="E179" s="3042"/>
      <c r="F179" s="2658"/>
      <c r="G179" s="3044"/>
      <c r="H179" s="3015"/>
      <c r="I179" s="3015"/>
      <c r="J179" s="3045"/>
      <c r="K179" s="2624"/>
      <c r="L179" s="829"/>
      <c r="M179" s="830"/>
      <c r="N179" s="830" t="s">
        <v>385</v>
      </c>
      <c r="O179" s="830"/>
      <c r="P179" s="830"/>
      <c r="Q179" s="830"/>
      <c r="R179" s="830"/>
      <c r="S179" s="2358"/>
      <c r="T179" s="2358"/>
      <c r="U179" s="2358"/>
      <c r="V179" s="2358"/>
      <c r="W179" s="831"/>
      <c r="Y179" s="1771"/>
      <c r="Z179" s="1771"/>
      <c r="AA179" s="1771"/>
      <c r="AB179" s="1771"/>
      <c r="AC179" s="1771"/>
      <c r="AD179" s="1771"/>
      <c r="AE179" s="1771"/>
      <c r="AF179" s="1771"/>
      <c r="AG179" s="1771"/>
      <c r="AH179" s="1771"/>
      <c r="AI179" s="1771"/>
      <c r="AJ179" s="1771"/>
      <c r="AK179" s="1771"/>
    </row>
    <row s="47026" customFormat="1" customHeight="1" ht="17.25">
      <c r="A180" s="2352"/>
      <c r="C180" s="2357"/>
      <c r="D180" s="3015"/>
      <c r="E180" s="3042"/>
      <c r="F180" s="2659"/>
      <c r="G180" s="3044"/>
      <c r="H180" s="829"/>
      <c r="I180" s="830"/>
      <c r="J180" s="830" t="s">
        <v>386</v>
      </c>
      <c r="K180" s="830"/>
      <c r="L180" s="830"/>
      <c r="M180" s="830"/>
      <c r="N180" s="830"/>
      <c r="O180" s="830"/>
      <c r="P180" s="830"/>
      <c r="Q180" s="830"/>
      <c r="R180" s="830"/>
      <c r="S180" s="2358"/>
      <c r="T180" s="2358"/>
      <c r="U180" s="2358"/>
      <c r="V180" s="2358"/>
      <c r="W180" s="831"/>
      <c r="Y180" s="1771"/>
      <c r="Z180" s="1771"/>
      <c r="AA180" s="1771"/>
      <c r="AB180" s="1771"/>
      <c r="AC180" s="1771"/>
      <c r="AD180" s="1771"/>
      <c r="AE180" s="1771"/>
      <c r="AF180" s="1771"/>
      <c r="AG180" s="1771"/>
      <c r="AH180" s="1771"/>
      <c r="AI180" s="1771"/>
      <c r="AJ180" s="1771"/>
      <c r="AK180" s="1771"/>
    </row>
    <row customHeight="1" ht="17.25">
      <c r="A181" s="2362"/>
    </row>
    <row s="47026" customFormat="1" customHeight="1" ht="17.25">
      <c r="A182" s="2352"/>
      <c r="C182" s="2354"/>
      <c r="D182" s="2342"/>
      <c r="E182" s="2359"/>
      <c r="F182" s="2296"/>
      <c r="G182" s="2360"/>
      <c r="H182" s="3041"/>
      <c r="I182" s="3041">
        <v>1</v>
      </c>
      <c r="J182" s="3013"/>
      <c r="K182" s="2697" t="s">
        <v>63</v>
      </c>
      <c r="L182" s="2620"/>
      <c r="M182" s="2620" t="s">
        <v>101</v>
      </c>
      <c r="N182" s="3016" t="str">
        <f>IF(Z182="","",INDEX(TERRITORY_MR_LIST,MATCH(Z182,TERRITORY_LIST_ID,0)))</f>
        <v/>
      </c>
      <c r="O182" s="2697" t="s">
        <v>63</v>
      </c>
      <c r="P182" s="2620"/>
      <c r="Q182" s="2620" t="s">
        <v>101</v>
      </c>
      <c r="R182" s="3014" t="s">
        <v>28</v>
      </c>
      <c r="S182" s="2918" t="s">
        <v>19</v>
      </c>
      <c r="T182" s="2314"/>
      <c r="U182" s="2314" t="s">
        <v>101</v>
      </c>
      <c r="V182" s="1946"/>
      <c r="W182" s="3013"/>
      <c r="Y182" s="1779"/>
      <c r="Z182" s="1779"/>
      <c r="AA182" s="1779"/>
      <c r="AB182" s="1779"/>
      <c r="AC182" s="1779"/>
      <c r="AD182" s="1779"/>
      <c r="AE182" s="1779"/>
      <c r="AF182" s="1779"/>
      <c r="AG182" s="1779"/>
      <c r="AH182" s="1779"/>
      <c r="AI182" s="1779"/>
      <c r="AJ182" s="1779"/>
      <c r="AK182" s="1779"/>
      <c r="AL182" s="2356"/>
      <c r="AM182" s="2356"/>
      <c r="AN182" s="1779"/>
      <c r="AO182" s="1779"/>
      <c r="AP182" s="1779"/>
      <c r="AQ182" s="1779"/>
    </row>
    <row s="47026" customFormat="1" customHeight="1" ht="17.25">
      <c r="A183" s="2352"/>
      <c r="C183" s="2357"/>
      <c r="D183" s="2342"/>
      <c r="E183" s="2359"/>
      <c r="F183" s="2296"/>
      <c r="G183" s="2360"/>
      <c r="H183" s="3041"/>
      <c r="I183" s="3041"/>
      <c r="J183" s="3013"/>
      <c r="K183" s="2698"/>
      <c r="L183" s="2620"/>
      <c r="M183" s="2620"/>
      <c r="N183" s="3016"/>
      <c r="O183" s="2698"/>
      <c r="P183" s="2620"/>
      <c r="Q183" s="2620"/>
      <c r="R183" s="3014"/>
      <c r="S183" s="2918"/>
      <c r="T183" s="1947"/>
      <c r="U183" s="1948"/>
      <c r="V183" s="1948"/>
      <c r="W183" s="3013"/>
      <c r="Y183" s="1771"/>
      <c r="Z183" s="1771"/>
      <c r="AA183" s="1771"/>
      <c r="AB183" s="1771"/>
      <c r="AC183" s="1771"/>
      <c r="AD183" s="1771"/>
      <c r="AE183" s="1771"/>
      <c r="AF183" s="1771"/>
      <c r="AG183" s="1771"/>
      <c r="AH183" s="1771"/>
      <c r="AI183" s="1771"/>
      <c r="AJ183" s="1771"/>
      <c r="AK183" s="1771"/>
    </row>
    <row s="47026" customFormat="1" customHeight="1" ht="17.25">
      <c r="A184" s="2352"/>
      <c r="C184" s="2357"/>
      <c r="D184" s="2342"/>
      <c r="E184" s="2359"/>
      <c r="F184" s="2296"/>
      <c r="G184" s="2360"/>
      <c r="H184" s="3015"/>
      <c r="I184" s="3015"/>
      <c r="J184" s="3045"/>
      <c r="K184" s="2698"/>
      <c r="L184" s="3015"/>
      <c r="M184" s="3015"/>
      <c r="N184" s="3017"/>
      <c r="O184" s="2624"/>
      <c r="P184" s="829"/>
      <c r="Q184" s="830"/>
      <c r="R184" s="830" t="s">
        <v>321</v>
      </c>
      <c r="S184" s="2358"/>
      <c r="T184" s="2358"/>
      <c r="U184" s="2358"/>
      <c r="V184" s="2358"/>
      <c r="W184" s="1945"/>
      <c r="Y184" s="1771"/>
      <c r="Z184" s="1771"/>
      <c r="AA184" s="1771"/>
      <c r="AB184" s="1771"/>
      <c r="AC184" s="1771"/>
      <c r="AD184" s="1771"/>
      <c r="AE184" s="1771"/>
      <c r="AF184" s="1771"/>
      <c r="AG184" s="1771"/>
      <c r="AH184" s="1771"/>
      <c r="AI184" s="1771"/>
      <c r="AJ184" s="1771"/>
      <c r="AK184" s="1771"/>
    </row>
    <row s="47026" customFormat="1" customHeight="1" ht="17.25">
      <c r="A185" s="2352"/>
      <c r="C185" s="2357"/>
      <c r="D185" s="2342"/>
      <c r="E185" s="2359"/>
      <c r="F185" s="2296"/>
      <c r="G185" s="2360"/>
      <c r="H185" s="3015"/>
      <c r="I185" s="3015"/>
      <c r="J185" s="3045"/>
      <c r="K185" s="2624"/>
      <c r="L185" s="829"/>
      <c r="M185" s="830"/>
      <c r="N185" s="830" t="s">
        <v>385</v>
      </c>
      <c r="O185" s="830"/>
      <c r="P185" s="830"/>
      <c r="Q185" s="830"/>
      <c r="R185" s="830"/>
      <c r="S185" s="2358"/>
      <c r="T185" s="2358"/>
      <c r="U185" s="2358"/>
      <c r="V185" s="2358"/>
      <c r="W185" s="831"/>
      <c r="Y185" s="1771"/>
      <c r="Z185" s="1771"/>
      <c r="AA185" s="1771"/>
      <c r="AB185" s="1771"/>
      <c r="AC185" s="1771"/>
      <c r="AD185" s="1771"/>
      <c r="AE185" s="1771"/>
      <c r="AF185" s="1771"/>
      <c r="AG185" s="1771"/>
      <c r="AH185" s="1771"/>
      <c r="AI185" s="1771"/>
      <c r="AJ185" s="1771"/>
      <c r="AK185" s="1771"/>
    </row>
    <row customHeight="1" ht="17.25">
      <c r="A186" s="2362"/>
    </row>
    <row s="47026" customFormat="1" customHeight="1" ht="17.25">
      <c r="A187" s="2352"/>
      <c r="C187" s="2354"/>
      <c r="D187" s="2342"/>
      <c r="E187" s="2359"/>
      <c r="F187" s="2296"/>
      <c r="G187" s="2360"/>
      <c r="H187" s="2342"/>
      <c r="I187" s="2342"/>
      <c r="J187" s="2363"/>
      <c r="K187" s="2360"/>
      <c r="L187" s="2620"/>
      <c r="M187" s="2620" t="s">
        <v>101</v>
      </c>
      <c r="N187" s="3016" t="str">
        <f>IF(Z187="","",INDEX(TERRITORY_MR_LIST,MATCH(Z187,TERRITORY_LIST_ID,0)))</f>
        <v/>
      </c>
      <c r="O187" s="2697" t="s">
        <v>63</v>
      </c>
      <c r="P187" s="2620"/>
      <c r="Q187" s="2620" t="s">
        <v>101</v>
      </c>
      <c r="R187" s="3014" t="s">
        <v>28</v>
      </c>
      <c r="S187" s="2918" t="s">
        <v>19</v>
      </c>
      <c r="T187" s="2314"/>
      <c r="U187" s="2314" t="s">
        <v>101</v>
      </c>
      <c r="V187" s="1946"/>
      <c r="W187" s="3013"/>
      <c r="Y187" s="1779"/>
      <c r="Z187" s="1779"/>
      <c r="AA187" s="1779"/>
      <c r="AB187" s="1779"/>
      <c r="AC187" s="1779"/>
      <c r="AD187" s="1779"/>
      <c r="AE187" s="1779"/>
      <c r="AF187" s="1779"/>
      <c r="AG187" s="1779"/>
      <c r="AH187" s="1779"/>
      <c r="AI187" s="1779"/>
      <c r="AJ187" s="1779"/>
      <c r="AK187" s="1779"/>
      <c r="AL187" s="2356"/>
      <c r="AM187" s="2356"/>
      <c r="AN187" s="1779"/>
      <c r="AO187" s="1779"/>
      <c r="AP187" s="1779"/>
      <c r="AQ187" s="1779"/>
    </row>
    <row s="47026" customFormat="1" customHeight="1" ht="17.25">
      <c r="A188" s="2352"/>
      <c r="C188" s="2357"/>
      <c r="D188" s="2342"/>
      <c r="E188" s="2359"/>
      <c r="F188" s="2296"/>
      <c r="G188" s="2360"/>
      <c r="H188" s="2342"/>
      <c r="I188" s="2342"/>
      <c r="J188" s="2363"/>
      <c r="K188" s="2360"/>
      <c r="L188" s="2620"/>
      <c r="M188" s="2620"/>
      <c r="N188" s="3016"/>
      <c r="O188" s="2698"/>
      <c r="P188" s="2620"/>
      <c r="Q188" s="2620"/>
      <c r="R188" s="3014"/>
      <c r="S188" s="2918"/>
      <c r="T188" s="1947"/>
      <c r="U188" s="1948"/>
      <c r="V188" s="1948"/>
      <c r="W188" s="3013"/>
      <c r="Y188" s="1771"/>
      <c r="Z188" s="1771"/>
      <c r="AA188" s="1771"/>
      <c r="AB188" s="1771"/>
      <c r="AC188" s="1771"/>
      <c r="AD188" s="1771"/>
      <c r="AE188" s="1771"/>
      <c r="AF188" s="1771"/>
      <c r="AG188" s="1771"/>
      <c r="AH188" s="1771"/>
      <c r="AI188" s="1771"/>
      <c r="AJ188" s="1771"/>
      <c r="AK188" s="1771"/>
    </row>
    <row s="47026" customFormat="1" customHeight="1" ht="17.25">
      <c r="A189" s="2352"/>
      <c r="C189" s="2357"/>
      <c r="D189" s="2342"/>
      <c r="E189" s="2359"/>
      <c r="F189" s="2296"/>
      <c r="G189" s="2360"/>
      <c r="H189" s="2342"/>
      <c r="I189" s="2342"/>
      <c r="J189" s="2363"/>
      <c r="K189" s="2360"/>
      <c r="L189" s="3015"/>
      <c r="M189" s="3015"/>
      <c r="N189" s="3017"/>
      <c r="O189" s="2624"/>
      <c r="P189" s="829"/>
      <c r="Q189" s="830"/>
      <c r="R189" s="830" t="s">
        <v>321</v>
      </c>
      <c r="S189" s="2358"/>
      <c r="T189" s="2358"/>
      <c r="U189" s="2358"/>
      <c r="V189" s="2358"/>
      <c r="W189" s="1945"/>
      <c r="Y189" s="1771"/>
      <c r="Z189" s="1771"/>
      <c r="AA189" s="1771"/>
      <c r="AB189" s="1771"/>
      <c r="AC189" s="1771"/>
      <c r="AD189" s="1771"/>
      <c r="AE189" s="1771"/>
      <c r="AF189" s="1771"/>
      <c r="AG189" s="1771"/>
      <c r="AH189" s="1771"/>
      <c r="AI189" s="1771"/>
      <c r="AJ189" s="1771"/>
      <c r="AK189" s="1771"/>
    </row>
    <row customHeight="1" ht="17.25">
      <c r="A190" s="2362"/>
    </row>
    <row s="47026" customFormat="1" customHeight="1" ht="17.25">
      <c r="A191" s="2352"/>
      <c r="C191" s="2354"/>
      <c r="D191" s="2342"/>
      <c r="E191" s="2359"/>
      <c r="F191" s="2296"/>
      <c r="G191" s="2360"/>
      <c r="H191" s="2342"/>
      <c r="I191" s="2342"/>
      <c r="J191" s="2363"/>
      <c r="K191" s="2360"/>
      <c r="L191" s="2342"/>
      <c r="M191" s="2342"/>
      <c r="N191" s="2560"/>
      <c r="O191" s="2299"/>
      <c r="P191" s="2620"/>
      <c r="Q191" s="2620" t="s">
        <v>101</v>
      </c>
      <c r="R191" s="3014" t="s">
        <v>28</v>
      </c>
      <c r="S191" s="2918" t="s">
        <v>19</v>
      </c>
      <c r="T191" s="2314"/>
      <c r="U191" s="2314" t="s">
        <v>101</v>
      </c>
      <c r="V191" s="1946"/>
      <c r="W191" s="3013"/>
      <c r="Y191" s="1779"/>
      <c r="Z191" s="1779"/>
      <c r="AA191" s="1779"/>
      <c r="AB191" s="1779"/>
      <c r="AC191" s="1779"/>
      <c r="AD191" s="1779"/>
      <c r="AE191" s="1779"/>
      <c r="AF191" s="1779"/>
      <c r="AG191" s="1779"/>
      <c r="AH191" s="1779"/>
      <c r="AI191" s="1779"/>
      <c r="AJ191" s="1779"/>
      <c r="AK191" s="1779"/>
      <c r="AL191" s="2356"/>
      <c r="AM191" s="2356"/>
      <c r="AN191" s="1779"/>
      <c r="AO191" s="1779"/>
      <c r="AP191" s="1779"/>
      <c r="AQ191" s="1779"/>
    </row>
    <row s="47026" customFormat="1" customHeight="1" ht="17.25">
      <c r="A192" s="2352"/>
      <c r="C192" s="2357"/>
      <c r="D192" s="2342"/>
      <c r="E192" s="2359"/>
      <c r="F192" s="2296"/>
      <c r="G192" s="2360"/>
      <c r="H192" s="2342"/>
      <c r="I192" s="2342"/>
      <c r="J192" s="2363"/>
      <c r="K192" s="2360"/>
      <c r="L192" s="2342"/>
      <c r="M192" s="2342"/>
      <c r="N192" s="2560"/>
      <c r="O192" s="2299"/>
      <c r="P192" s="2620"/>
      <c r="Q192" s="2620"/>
      <c r="R192" s="3014"/>
      <c r="S192" s="2918"/>
      <c r="T192" s="1947"/>
      <c r="U192" s="1948"/>
      <c r="V192" s="1948"/>
      <c r="W192" s="3013"/>
      <c r="Y192" s="1771"/>
      <c r="Z192" s="1771"/>
      <c r="AA192" s="1771"/>
      <c r="AB192" s="1771"/>
      <c r="AC192" s="1771"/>
      <c r="AD192" s="1771"/>
      <c r="AE192" s="1771"/>
      <c r="AF192" s="1771"/>
      <c r="AG192" s="1771"/>
      <c r="AH192" s="1771"/>
      <c r="AI192" s="1771"/>
      <c r="AJ192" s="1771"/>
      <c r="AK192" s="1771"/>
    </row>
    <row customHeight="1" ht="17.25">
      <c r="A193" s="2362"/>
    </row>
    <row customHeight="1" ht="16.5">
      <c r="A194" s="2352"/>
      <c r="B194" s="2353"/>
      <c r="C194" s="2357"/>
      <c r="D194" s="3065"/>
      <c r="E194" s="2691"/>
      <c r="F194" s="2691"/>
      <c r="G194" s="2639"/>
      <c r="H194" s="3066"/>
      <c r="I194" s="3079"/>
      <c r="J194" s="2664"/>
      <c r="K194" s="2649"/>
      <c r="L194" s="2649"/>
      <c r="M194" s="2649"/>
      <c r="N194" s="3077"/>
      <c r="O194" s="2649"/>
      <c r="P194" s="2649"/>
      <c r="Q194" s="2649"/>
      <c r="R194" s="3075"/>
      <c r="S194" s="2649"/>
      <c r="T194" s="2295"/>
      <c r="U194" s="2295"/>
      <c r="V194" s="2364"/>
      <c r="W194" s="1808"/>
    </row>
    <row customHeight="1" ht="16.5">
      <c r="A195" s="2352"/>
      <c r="B195" s="2353"/>
      <c r="C195" s="2357"/>
      <c r="D195" s="3065"/>
      <c r="E195" s="2691"/>
      <c r="F195" s="2691"/>
      <c r="G195" s="2639"/>
      <c r="H195" s="3067"/>
      <c r="I195" s="3080"/>
      <c r="J195" s="2665"/>
      <c r="K195" s="2650"/>
      <c r="L195" s="2650"/>
      <c r="M195" s="2650"/>
      <c r="N195" s="3078"/>
      <c r="O195" s="2650"/>
      <c r="P195" s="2650"/>
      <c r="Q195" s="2650"/>
      <c r="R195" s="3076"/>
      <c r="S195" s="2650"/>
      <c r="T195" s="1809"/>
      <c r="U195" s="1809"/>
      <c r="V195" s="1809"/>
      <c r="W195" s="1810"/>
    </row>
    <row customHeight="1" ht="17.25">
      <c r="A196" s="2352"/>
      <c r="B196" s="2353"/>
      <c r="C196" s="2357"/>
      <c r="D196" s="3065"/>
      <c r="E196" s="2691"/>
      <c r="F196" s="2691"/>
      <c r="G196" s="2639"/>
      <c r="H196" s="3067"/>
      <c r="I196" s="3080"/>
      <c r="J196" s="3068"/>
      <c r="K196" s="2650"/>
      <c r="L196" s="2650"/>
      <c r="M196" s="2650"/>
      <c r="N196" s="3076"/>
      <c r="O196" s="2650"/>
      <c r="P196" s="2298"/>
      <c r="Q196" s="1809"/>
      <c r="R196" s="1809"/>
      <c r="S196" s="2365"/>
      <c r="T196" s="2365"/>
      <c r="U196" s="2365"/>
      <c r="V196" s="2365"/>
      <c r="W196" s="1810"/>
    </row>
    <row customHeight="1" ht="17.25">
      <c r="A197" s="2352"/>
      <c r="B197" s="2353"/>
      <c r="C197" s="2357"/>
      <c r="D197" s="3065"/>
      <c r="E197" s="2691"/>
      <c r="F197" s="2691"/>
      <c r="G197" s="2639"/>
      <c r="H197" s="3067"/>
      <c r="I197" s="3080"/>
      <c r="J197" s="3068"/>
      <c r="K197" s="2650"/>
      <c r="L197" s="1809"/>
      <c r="M197" s="1809"/>
      <c r="N197" s="1809"/>
      <c r="O197" s="1809"/>
      <c r="P197" s="1809"/>
      <c r="Q197" s="1809"/>
      <c r="R197" s="1809"/>
      <c r="S197" s="2365"/>
      <c r="T197" s="2365"/>
      <c r="U197" s="2365"/>
      <c r="V197" s="2365"/>
      <c r="W197" s="1810"/>
    </row>
    <row customHeight="1" ht="17.25">
      <c r="A198" s="2352"/>
      <c r="B198" s="2353"/>
      <c r="C198" s="2357"/>
      <c r="D198" s="3065"/>
      <c r="E198" s="2691"/>
      <c r="F198" s="2691"/>
      <c r="G198" s="2639"/>
      <c r="H198" s="1811"/>
      <c r="I198" s="1812"/>
      <c r="J198" s="1812"/>
      <c r="K198" s="1812"/>
      <c r="L198" s="1812"/>
      <c r="M198" s="1812"/>
      <c r="N198" s="1812"/>
      <c r="O198" s="1812"/>
      <c r="P198" s="1812"/>
      <c r="Q198" s="1812"/>
      <c r="R198" s="1812"/>
      <c r="S198" s="2366"/>
      <c r="T198" s="2366"/>
      <c r="U198" s="2366"/>
      <c r="V198" s="2366"/>
      <c r="W198" s="1814"/>
    </row>
    <row r="200" s="55508" customFormat="1" customHeight="1" ht="17.25">
      <c r="A200" s="2327" t="s">
        <v>2062</v>
      </c>
    </row>
    <row customHeight="1" ht="17.25">
      <c r="G201" s="2351"/>
      <c r="H201" s="2351"/>
      <c r="I201" s="2351"/>
      <c r="M201" s="2347"/>
    </row>
    <row s="46950" customFormat="1" customHeight="1" ht="15">
      <c r="D202" s="3035"/>
      <c r="E202" s="2711"/>
      <c r="F202" s="2711"/>
      <c r="G202" s="2697"/>
      <c r="H202" s="2076"/>
      <c r="I202" s="3039">
        <v>1</v>
      </c>
      <c r="J202" s="3013"/>
      <c r="K202" s="2091"/>
      <c r="L202" s="2697" t="s">
        <v>63</v>
      </c>
      <c r="M202" s="2697" t="s">
        <v>63</v>
      </c>
      <c r="N202" s="2076"/>
      <c r="O202" s="2620" t="s">
        <v>101</v>
      </c>
      <c r="P202" s="3029"/>
      <c r="Q202" s="2092"/>
      <c r="R202" s="2697" t="s">
        <v>63</v>
      </c>
      <c r="S202" s="2697" t="s">
        <v>63</v>
      </c>
      <c r="T202" s="2367"/>
      <c r="U202" s="2620" t="s">
        <v>101</v>
      </c>
      <c r="V202" s="3036" t="str">
        <f>IF(AK202="","",INDEX(TERRITORY_MR_LIST,MATCH(AK202,TERRITORY_LIST_ID,0)))</f>
        <v/>
      </c>
      <c r="W202" s="2093"/>
      <c r="X202" s="2697" t="s">
        <v>63</v>
      </c>
      <c r="Y202" s="2697" t="s">
        <v>19</v>
      </c>
      <c r="Z202" s="2076"/>
      <c r="AA202" s="2620" t="s">
        <v>101</v>
      </c>
      <c r="AB202" s="3038"/>
      <c r="AC202" s="2094"/>
      <c r="AD202" s="2697" t="s">
        <v>63</v>
      </c>
      <c r="AE202" s="2697" t="s">
        <v>19</v>
      </c>
      <c r="AF202" s="2074"/>
      <c r="AG202" s="2323" t="s">
        <v>101</v>
      </c>
      <c r="AH202" s="2084"/>
      <c r="AI202" s="2313"/>
    </row>
    <row s="46950" customFormat="1" customHeight="1" ht="15">
      <c r="D203" s="3035"/>
      <c r="E203" s="2711"/>
      <c r="F203" s="2711"/>
      <c r="G203" s="2698"/>
      <c r="H203" s="2076"/>
      <c r="I203" s="3039"/>
      <c r="J203" s="3013"/>
      <c r="K203" s="2075"/>
      <c r="L203" s="2698"/>
      <c r="M203" s="2698"/>
      <c r="N203" s="2076"/>
      <c r="O203" s="2620"/>
      <c r="P203" s="3029"/>
      <c r="Q203" s="2072"/>
      <c r="R203" s="2698"/>
      <c r="S203" s="2698"/>
      <c r="T203" s="2367"/>
      <c r="U203" s="2620"/>
      <c r="V203" s="3037"/>
      <c r="W203" s="2073"/>
      <c r="X203" s="2698"/>
      <c r="Y203" s="2698"/>
      <c r="Z203" s="2076"/>
      <c r="AA203" s="2620"/>
      <c r="AB203" s="3007"/>
      <c r="AC203" s="2077"/>
      <c r="AD203" s="2624"/>
      <c r="AE203" s="2624"/>
      <c r="AF203" s="2078"/>
      <c r="AG203" s="2079"/>
      <c r="AH203" s="3030" t="s">
        <v>2063</v>
      </c>
      <c r="AI203" s="3031"/>
    </row>
    <row s="46950" customFormat="1" customHeight="1" ht="15">
      <c r="D204" s="3035"/>
      <c r="E204" s="2711"/>
      <c r="F204" s="2711"/>
      <c r="G204" s="2698"/>
      <c r="H204" s="2076"/>
      <c r="I204" s="3039"/>
      <c r="J204" s="3013"/>
      <c r="K204" s="2075"/>
      <c r="L204" s="2698"/>
      <c r="M204" s="2698"/>
      <c r="N204" s="2076"/>
      <c r="O204" s="2620"/>
      <c r="P204" s="3029"/>
      <c r="Q204" s="2072"/>
      <c r="R204" s="2698"/>
      <c r="S204" s="2698"/>
      <c r="T204" s="2367"/>
      <c r="U204" s="2620"/>
      <c r="V204" s="3037"/>
      <c r="W204" s="2073"/>
      <c r="X204" s="2698"/>
      <c r="Y204" s="2698"/>
      <c r="Z204" s="2115"/>
      <c r="AA204" s="2081"/>
      <c r="AB204" s="3032" t="s">
        <v>2064</v>
      </c>
      <c r="AC204" s="3032"/>
      <c r="AD204" s="3032"/>
      <c r="AE204" s="3032"/>
      <c r="AF204" s="3032"/>
      <c r="AG204" s="3032"/>
      <c r="AH204" s="3032"/>
      <c r="AI204" s="3033"/>
    </row>
    <row s="46950" customFormat="1" customHeight="1" ht="15">
      <c r="D205" s="3035"/>
      <c r="E205" s="2711"/>
      <c r="F205" s="2711"/>
      <c r="G205" s="2698"/>
      <c r="H205" s="2076"/>
      <c r="I205" s="3039"/>
      <c r="J205" s="3013"/>
      <c r="K205" s="2075"/>
      <c r="L205" s="2698"/>
      <c r="M205" s="2698"/>
      <c r="N205" s="2076"/>
      <c r="O205" s="2620"/>
      <c r="P205" s="3034"/>
      <c r="Q205" s="2072"/>
      <c r="R205" s="2698"/>
      <c r="S205" s="2698"/>
      <c r="T205" s="2368"/>
      <c r="U205" s="2116"/>
      <c r="V205" s="3030" t="s">
        <v>163</v>
      </c>
      <c r="W205" s="3030"/>
      <c r="X205" s="3030"/>
      <c r="Y205" s="3030"/>
      <c r="Z205" s="3030"/>
      <c r="AA205" s="3030"/>
      <c r="AB205" s="3030"/>
      <c r="AC205" s="3030"/>
      <c r="AD205" s="3030"/>
      <c r="AE205" s="3030"/>
      <c r="AF205" s="3030"/>
      <c r="AG205" s="3030"/>
      <c r="AH205" s="3030"/>
      <c r="AI205" s="3031"/>
    </row>
    <row s="46950" customFormat="1" customHeight="1" ht="11.25">
      <c r="D206" s="3035"/>
      <c r="E206" s="2711"/>
      <c r="F206" s="2711"/>
      <c r="G206" s="2698"/>
      <c r="H206" s="2080"/>
      <c r="I206" s="3039"/>
      <c r="J206" s="3040"/>
      <c r="K206" s="2075"/>
      <c r="L206" s="2698"/>
      <c r="M206" s="2698"/>
      <c r="N206" s="2080"/>
      <c r="O206" s="2081"/>
      <c r="P206" s="3030" t="s">
        <v>2065</v>
      </c>
      <c r="Q206" s="3030"/>
      <c r="R206" s="3030"/>
      <c r="S206" s="3030"/>
      <c r="T206" s="3030"/>
      <c r="U206" s="3030"/>
      <c r="V206" s="3030"/>
      <c r="W206" s="3030"/>
      <c r="X206" s="3030"/>
      <c r="Y206" s="3030"/>
      <c r="Z206" s="3030"/>
      <c r="AA206" s="3030"/>
      <c r="AB206" s="3030"/>
      <c r="AC206" s="3030"/>
      <c r="AD206" s="3030"/>
      <c r="AE206" s="3030"/>
      <c r="AF206" s="3030"/>
      <c r="AG206" s="3030"/>
      <c r="AH206" s="3030"/>
      <c r="AI206" s="3031"/>
    </row>
    <row s="47293" customFormat="1" customHeight="1" ht="11.25">
      <c r="D207" s="3035"/>
      <c r="E207" s="2711"/>
      <c r="F207" s="2711"/>
      <c r="G207" s="2624"/>
      <c r="H207" s="2082"/>
      <c r="I207" s="2083"/>
      <c r="J207" s="3030" t="s">
        <v>386</v>
      </c>
      <c r="K207" s="3030"/>
      <c r="L207" s="3030"/>
      <c r="M207" s="3030"/>
      <c r="N207" s="3030"/>
      <c r="O207" s="3030"/>
      <c r="P207" s="3030"/>
      <c r="Q207" s="3030"/>
      <c r="R207" s="3030"/>
      <c r="S207" s="3030"/>
      <c r="T207" s="3030"/>
      <c r="U207" s="3030"/>
      <c r="V207" s="3030"/>
      <c r="W207" s="3030"/>
      <c r="X207" s="3030"/>
      <c r="Y207" s="3030"/>
      <c r="Z207" s="3030"/>
      <c r="AA207" s="3030"/>
      <c r="AB207" s="3030"/>
      <c r="AC207" s="3030"/>
      <c r="AD207" s="3030"/>
      <c r="AE207" s="3030"/>
      <c r="AF207" s="3030"/>
      <c r="AG207" s="3030"/>
      <c r="AH207" s="3030"/>
      <c r="AI207" s="3031"/>
      <c r="BK207" s="2086"/>
    </row>
    <row customHeight="1" ht="17.25">
      <c r="G208" s="2351"/>
      <c r="I208" s="2351"/>
      <c r="J208" s="2351"/>
      <c r="N208" s="2347"/>
    </row>
    <row s="46950" customFormat="1" customHeight="1" ht="15">
      <c r="D209" s="3035"/>
      <c r="E209" s="2711"/>
      <c r="F209" s="2711"/>
      <c r="G209" s="2691"/>
      <c r="H209" s="2111"/>
      <c r="I209" s="2693"/>
      <c r="J209" s="2664"/>
      <c r="K209" s="2297"/>
      <c r="L209" s="2649"/>
      <c r="M209" s="2649"/>
      <c r="N209" s="2096"/>
      <c r="O209" s="2649"/>
      <c r="P209" s="2664"/>
      <c r="Q209" s="2301"/>
      <c r="R209" s="2649"/>
      <c r="S209" s="2649"/>
      <c r="T209" s="2369"/>
      <c r="U209" s="2649"/>
      <c r="V209" s="2664"/>
      <c r="W209" s="2099"/>
      <c r="X209" s="2649"/>
      <c r="Y209" s="2649"/>
      <c r="Z209" s="2096"/>
      <c r="AA209" s="2649"/>
      <c r="AB209" s="2664"/>
      <c r="AC209" s="2100"/>
      <c r="AD209" s="2649"/>
      <c r="AE209" s="2649"/>
      <c r="AF209" s="2295"/>
      <c r="AG209" s="2295"/>
      <c r="AH209" s="2101"/>
      <c r="AI209" s="1808"/>
    </row>
    <row s="46950" customFormat="1" customHeight="1" ht="15">
      <c r="D210" s="3035"/>
      <c r="E210" s="2711"/>
      <c r="F210" s="2711"/>
      <c r="G210" s="2691"/>
      <c r="H210" s="2112"/>
      <c r="I210" s="2694"/>
      <c r="J210" s="2665"/>
      <c r="K210" s="2122"/>
      <c r="L210" s="2650"/>
      <c r="M210" s="2650"/>
      <c r="N210" s="2102"/>
      <c r="O210" s="2650"/>
      <c r="P210" s="2665"/>
      <c r="Q210" s="2302"/>
      <c r="R210" s="2650"/>
      <c r="S210" s="2650"/>
      <c r="T210" s="2370"/>
      <c r="U210" s="2650"/>
      <c r="V210" s="2665"/>
      <c r="W210" s="2105"/>
      <c r="X210" s="2650"/>
      <c r="Y210" s="2650"/>
      <c r="Z210" s="2102"/>
      <c r="AA210" s="2650"/>
      <c r="AB210" s="2665"/>
      <c r="AC210" s="2106"/>
      <c r="AD210" s="2650"/>
      <c r="AE210" s="2650"/>
      <c r="AF210" s="2300"/>
      <c r="AG210" s="2300"/>
      <c r="AH210" s="2689"/>
      <c r="AI210" s="2690"/>
    </row>
    <row s="46950" customFormat="1" customHeight="1" ht="15">
      <c r="D211" s="3035"/>
      <c r="E211" s="2711"/>
      <c r="F211" s="2711"/>
      <c r="G211" s="2691"/>
      <c r="H211" s="2112"/>
      <c r="I211" s="2694"/>
      <c r="J211" s="2665"/>
      <c r="K211" s="2122"/>
      <c r="L211" s="2650"/>
      <c r="M211" s="2650"/>
      <c r="N211" s="2102"/>
      <c r="O211" s="2650"/>
      <c r="P211" s="2665"/>
      <c r="Q211" s="2302"/>
      <c r="R211" s="2650"/>
      <c r="S211" s="2650"/>
      <c r="T211" s="2370"/>
      <c r="U211" s="2650"/>
      <c r="V211" s="2665"/>
      <c r="W211" s="2105"/>
      <c r="X211" s="2650"/>
      <c r="Y211" s="2650"/>
      <c r="Z211" s="2298"/>
      <c r="AA211" s="2300"/>
      <c r="AB211" s="2689"/>
      <c r="AC211" s="2689"/>
      <c r="AD211" s="2689"/>
      <c r="AE211" s="2689"/>
      <c r="AF211" s="2689"/>
      <c r="AG211" s="2689"/>
      <c r="AH211" s="2689"/>
      <c r="AI211" s="2690"/>
    </row>
    <row s="46950" customFormat="1" customHeight="1" ht="15">
      <c r="D212" s="3035"/>
      <c r="E212" s="2711"/>
      <c r="F212" s="2711"/>
      <c r="G212" s="2691"/>
      <c r="H212" s="2112"/>
      <c r="I212" s="2694"/>
      <c r="J212" s="2665"/>
      <c r="K212" s="2122"/>
      <c r="L212" s="2650"/>
      <c r="M212" s="2650"/>
      <c r="N212" s="2102"/>
      <c r="O212" s="2650"/>
      <c r="P212" s="2665"/>
      <c r="Q212" s="2302"/>
      <c r="R212" s="2650"/>
      <c r="S212" s="2650"/>
      <c r="T212" s="2371"/>
      <c r="U212" s="2109"/>
      <c r="V212" s="2689"/>
      <c r="W212" s="2689"/>
      <c r="X212" s="2689"/>
      <c r="Y212" s="2689"/>
      <c r="Z212" s="2689"/>
      <c r="AA212" s="2689"/>
      <c r="AB212" s="2689"/>
      <c r="AC212" s="2689"/>
      <c r="AD212" s="2689"/>
      <c r="AE212" s="2689"/>
      <c r="AF212" s="2689"/>
      <c r="AG212" s="2689"/>
      <c r="AH212" s="2689"/>
      <c r="AI212" s="2690"/>
    </row>
    <row s="46950" customFormat="1" customHeight="1" ht="11.25">
      <c r="D213" s="3035"/>
      <c r="E213" s="2711"/>
      <c r="F213" s="2711"/>
      <c r="G213" s="2691"/>
      <c r="H213" s="2113"/>
      <c r="I213" s="2694"/>
      <c r="J213" s="2665"/>
      <c r="K213" s="2122"/>
      <c r="L213" s="2650"/>
      <c r="M213" s="2650"/>
      <c r="N213" s="2300"/>
      <c r="O213" s="2300"/>
      <c r="P213" s="2689"/>
      <c r="Q213" s="2689"/>
      <c r="R213" s="2689"/>
      <c r="S213" s="2689"/>
      <c r="T213" s="2689"/>
      <c r="U213" s="2689"/>
      <c r="V213" s="2689"/>
      <c r="W213" s="2689"/>
      <c r="X213" s="2689"/>
      <c r="Y213" s="2689"/>
      <c r="Z213" s="2689"/>
      <c r="AA213" s="2689"/>
      <c r="AB213" s="2689"/>
      <c r="AC213" s="2689"/>
      <c r="AD213" s="2689"/>
      <c r="AE213" s="2689"/>
      <c r="AF213" s="2689"/>
      <c r="AG213" s="2689"/>
      <c r="AH213" s="2689"/>
      <c r="AI213" s="2690"/>
    </row>
    <row s="47293" customFormat="1" customHeight="1" ht="11.25">
      <c r="D214" s="3035"/>
      <c r="E214" s="2711"/>
      <c r="F214" s="2711"/>
      <c r="G214" s="2696"/>
      <c r="H214" s="2110"/>
      <c r="I214" s="2114"/>
      <c r="J214" s="2699"/>
      <c r="K214" s="2699"/>
      <c r="L214" s="2699"/>
      <c r="M214" s="2699"/>
      <c r="N214" s="2699"/>
      <c r="O214" s="2699"/>
      <c r="P214" s="2699"/>
      <c r="Q214" s="2699"/>
      <c r="R214" s="2699"/>
      <c r="S214" s="2699"/>
      <c r="T214" s="2699"/>
      <c r="U214" s="2699"/>
      <c r="V214" s="2699"/>
      <c r="W214" s="2699"/>
      <c r="X214" s="2699"/>
      <c r="Y214" s="2699"/>
      <c r="Z214" s="2699"/>
      <c r="AA214" s="2699"/>
      <c r="AB214" s="2699"/>
      <c r="AC214" s="2699"/>
      <c r="AD214" s="2699"/>
      <c r="AE214" s="2699"/>
      <c r="AF214" s="2699"/>
      <c r="AG214" s="2699"/>
      <c r="AH214" s="2699"/>
      <c r="AI214" s="2700"/>
      <c r="BK214" s="2086"/>
    </row>
    <row customHeight="1" ht="17.25">
      <c r="A215" s="2362"/>
    </row>
  </sheetData>
  <sheetProtection formatColumns="0" formatRows="0" sort="0" autoFilter="0" insertRows="0" insertColumns="1" deleteRows="0" deleteColumns="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52BFC95-BDE6-9AB4-8527-8FD57D27A3C5}"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1" style="55799" width="43.140625"/>
    <col min="2" max="2" style="55799" width="43.140625" hidden="1"/>
    <col min="3" max="3" style="55799" width="43.140625"/>
    <col min="4" max="5" style="55799" width="36.421875" customWidth="1"/>
    <col min="6" max="8" style="55800" width="36.421875" customWidth="1"/>
  </cols>
  <sheetData>
    <row customHeight="1" ht="9">
      <c r="A1" s="1358" t="s">
        <v>2066</v>
      </c>
      <c r="B1" s="1358"/>
      <c r="C1" s="1494" t="s">
        <v>2067</v>
      </c>
      <c r="D1" s="1492" t="s">
        <v>924</v>
      </c>
      <c r="E1" s="1492" t="s">
        <v>970</v>
      </c>
      <c r="F1" s="1492" t="s">
        <v>1023</v>
      </c>
      <c r="G1" s="1492" t="s">
        <v>1010</v>
      </c>
      <c r="H1" s="1492" t="s">
        <v>1741</v>
      </c>
    </row>
    <row customHeight="1" ht="9">
      <c r="A2" s="1495" t="s">
        <v>2068</v>
      </c>
      <c r="B2" s="1495"/>
      <c r="C2" s="1496" t="str">
        <f>INDEX(TEMPLATE_NUMBER_FORM_LIST,MATCH(TEMPLATE_SPHERE,TEMPLATE_SPHERE_LIST,0))</f>
        <v>10</v>
      </c>
      <c r="D2" s="1495" t="s">
        <v>113</v>
      </c>
      <c r="E2" s="1495" t="s">
        <v>145</v>
      </c>
      <c r="F2" s="1497" t="s">
        <v>145</v>
      </c>
      <c r="G2" s="1495" t="s">
        <v>145</v>
      </c>
      <c r="H2" s="1498"/>
    </row>
    <row customHeight="1" ht="63">
      <c r="A3" s="1358"/>
      <c r="B3" s="1358" t="s">
        <v>101</v>
      </c>
      <c r="C3" s="1496"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D3" s="1496" t="s">
        <v>2069</v>
      </c>
      <c r="E3" s="1496"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F3" s="1497"/>
      <c r="G3" s="1498"/>
      <c r="H3" s="1358"/>
    </row>
    <row customHeight="1" ht="243">
      <c r="A4" s="1358" t="s">
        <v>2070</v>
      </c>
      <c r="B4" s="1358" t="s">
        <v>105</v>
      </c>
      <c r="C4" s="1496" t="str">
        <f>IF(TEMPLATE_SPHERE="HEAT",D4,IF(TEMPLATE_SPHERE="TKO",H4,E4))</f>
        <v>Форма 1. Информация об организации, осуществляющей водоотведение (общая информация)</v>
      </c>
      <c r="D4" s="1495" t="s">
        <v>2071</v>
      </c>
      <c r="E4" s="1496"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4" s="1495"/>
      <c r="G4" s="1495"/>
      <c r="H4" s="1358" t="s">
        <v>2072</v>
      </c>
    </row>
    <row customHeight="1" ht="117">
      <c r="A5" s="1358" t="s">
        <v>2073</v>
      </c>
      <c r="B5" s="1358" t="s">
        <v>92</v>
      </c>
      <c r="C5" s="1496"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D5" s="1358" t="s">
        <v>2074</v>
      </c>
      <c r="E5" s="1361"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F5" s="1498"/>
      <c r="G5" s="1498"/>
      <c r="H5" s="1358" t="s">
        <v>2075</v>
      </c>
    </row>
    <row customHeight="1" ht="90">
      <c r="A6" s="1358" t="s">
        <v>2076</v>
      </c>
      <c r="B6" s="1358" t="s">
        <v>93</v>
      </c>
      <c r="C6" s="1496" t="str">
        <f>IF(TEMPLATE_SPHERE="HEAT",D6,E6)</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D6" s="1361"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1361"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6" s="1358"/>
      <c r="G6" s="1358"/>
      <c r="H6" s="1498"/>
    </row>
    <row customHeight="1" ht="45">
      <c r="A7" s="1358" t="s">
        <v>2077</v>
      </c>
      <c r="B7" s="1358" t="s">
        <v>120</v>
      </c>
      <c r="C7" s="1496"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1358" t="s">
        <v>2078</v>
      </c>
      <c r="E7" s="1358" t="s">
        <v>2079</v>
      </c>
      <c r="F7" s="1498"/>
      <c r="G7" s="1498"/>
      <c r="H7" s="1498"/>
    </row>
    <row customHeight="1" ht="108">
      <c r="A8" s="1358" t="s">
        <v>2080</v>
      </c>
      <c r="B8" s="1358" t="s">
        <v>94</v>
      </c>
      <c r="C8" s="1496"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1358" t="s">
        <v>1279</v>
      </c>
      <c r="E8" s="1358" t="s">
        <v>2081</v>
      </c>
      <c r="F8" s="1498"/>
      <c r="G8" s="1498"/>
      <c r="H8" s="1498"/>
    </row>
    <row customHeight="1" ht="99">
      <c r="A9" s="1358" t="s">
        <v>2082</v>
      </c>
      <c r="B9" s="1358"/>
      <c r="C9" s="1358" t="s">
        <v>2083</v>
      </c>
      <c r="D9" s="1358"/>
      <c r="E9" s="1358"/>
      <c r="F9" s="1498"/>
      <c r="G9" s="1498"/>
      <c r="H9" s="1498"/>
    </row>
    <row customHeight="1" ht="126">
      <c r="A10" s="1358" t="s">
        <v>2084</v>
      </c>
      <c r="B10" s="1358"/>
      <c r="C10" s="1358" t="s">
        <v>2085</v>
      </c>
      <c r="D10" s="1358"/>
      <c r="E10" s="1358"/>
      <c r="F10" s="1498"/>
      <c r="G10" s="1498"/>
      <c r="H10" s="1498"/>
    </row>
    <row customHeight="1" ht="108">
      <c r="A11" s="1358" t="s">
        <v>2086</v>
      </c>
      <c r="B11" s="1358"/>
      <c r="C11" s="1358" t="s">
        <v>2087</v>
      </c>
      <c r="D11" s="1358"/>
      <c r="E11" s="1358"/>
      <c r="F11" s="1498"/>
      <c r="G11" s="1498"/>
      <c r="H11" s="1498"/>
    </row>
    <row customHeight="1" ht="54">
      <c r="A12" s="1358" t="s">
        <v>2088</v>
      </c>
      <c r="B12" s="1358"/>
      <c r="C12" s="1358" t="s">
        <v>2089</v>
      </c>
      <c r="D12" s="1358"/>
      <c r="E12" s="1358"/>
      <c r="F12" s="1498"/>
      <c r="G12" s="1498"/>
      <c r="H12" s="1498"/>
    </row>
    <row customHeight="1" ht="45">
      <c r="A13" s="1358" t="s">
        <v>2090</v>
      </c>
      <c r="B13" s="1358"/>
      <c r="C13" s="1358" t="s">
        <v>2091</v>
      </c>
      <c r="D13" s="1358"/>
      <c r="E13" s="1358"/>
      <c r="F13" s="1498"/>
      <c r="G13" s="1498"/>
      <c r="H13" s="1498"/>
    </row>
    <row customHeight="1" ht="117">
      <c r="A14" s="1358" t="s">
        <v>2092</v>
      </c>
      <c r="B14" s="1358"/>
      <c r="C14" s="1358" t="s">
        <v>2093</v>
      </c>
      <c r="D14" s="1358"/>
      <c r="E14" s="1358"/>
      <c r="F14" s="1498"/>
      <c r="G14" s="1498"/>
      <c r="H14" s="1498"/>
    </row>
    <row customHeight="1" ht="117">
      <c r="A15" s="1358" t="s">
        <v>2094</v>
      </c>
      <c r="B15" s="1358"/>
      <c r="C15" s="1358" t="s">
        <v>2095</v>
      </c>
      <c r="D15" s="1358"/>
      <c r="E15" s="1358"/>
      <c r="F15" s="1498"/>
      <c r="G15" s="1498"/>
      <c r="H15" s="1498"/>
    </row>
    <row customHeight="1" ht="63">
      <c r="A16" s="1358" t="s">
        <v>2096</v>
      </c>
      <c r="B16" s="1358"/>
      <c r="C16" s="1358" t="s">
        <v>2097</v>
      </c>
      <c r="D16" s="1358"/>
      <c r="E16" s="1358"/>
      <c r="F16" s="1498"/>
      <c r="G16" s="1498"/>
      <c r="H16" s="1498"/>
    </row>
    <row customHeight="1" ht="54">
      <c r="A17" s="1358" t="s">
        <v>2098</v>
      </c>
      <c r="B17" s="1358"/>
      <c r="C17" s="1496" t="s">
        <v>2099</v>
      </c>
      <c r="D17" s="1358"/>
      <c r="E17" s="1358"/>
      <c r="F17" s="1498"/>
      <c r="G17" s="1498"/>
      <c r="H17" s="1498"/>
    </row>
    <row customHeight="1" ht="27">
      <c r="A18" s="1358" t="s">
        <v>2100</v>
      </c>
      <c r="B18" s="1358"/>
      <c r="C18" s="1496" t="s">
        <v>2101</v>
      </c>
      <c r="D18" s="1358"/>
      <c r="E18" s="1358"/>
      <c r="F18" s="1498"/>
      <c r="G18" s="1498"/>
      <c r="H18" s="1498"/>
    </row>
    <row customHeight="1" ht="54">
      <c r="A19" s="1358" t="s">
        <v>2102</v>
      </c>
      <c r="B19" s="1358"/>
      <c r="C19" s="1496" t="s">
        <v>2103</v>
      </c>
      <c r="D19" s="1358"/>
      <c r="E19" s="1358"/>
      <c r="F19" s="1498"/>
      <c r="G19" s="1498"/>
      <c r="H19" s="1498"/>
    </row>
    <row customHeight="1" ht="36">
      <c r="A20" s="1358" t="s">
        <v>2104</v>
      </c>
      <c r="B20" s="1358"/>
      <c r="C20" s="1496" t="s">
        <v>2105</v>
      </c>
      <c r="D20" s="1358"/>
      <c r="E20" s="1358"/>
      <c r="F20" s="1498"/>
      <c r="G20" s="1498"/>
      <c r="H20" s="1498"/>
    </row>
    <row customHeight="1" ht="36">
      <c r="A21" s="1358" t="s">
        <v>2106</v>
      </c>
      <c r="B21" s="1358"/>
      <c r="C21" s="1496" t="s">
        <v>2107</v>
      </c>
      <c r="D21" s="1358"/>
      <c r="E21" s="1358"/>
      <c r="F21" s="1498"/>
      <c r="G21" s="1498"/>
      <c r="H21" s="1498"/>
    </row>
    <row customHeight="1" ht="27">
      <c r="A22" s="1358" t="s">
        <v>2108</v>
      </c>
      <c r="B22" s="1358"/>
      <c r="C22" s="1496" t="s">
        <v>2109</v>
      </c>
      <c r="D22" s="1358"/>
      <c r="E22" s="1358"/>
      <c r="F22" s="1498"/>
      <c r="G22" s="1498"/>
      <c r="H22" s="1498"/>
    </row>
    <row customHeight="1" ht="36">
      <c r="A23" s="1358" t="s">
        <v>2110</v>
      </c>
      <c r="B23" s="1358"/>
      <c r="C23" s="1496" t="s">
        <v>2111</v>
      </c>
      <c r="D23" s="1358"/>
      <c r="E23" s="1358"/>
      <c r="F23" s="1498"/>
      <c r="G23" s="1498"/>
      <c r="H23" s="1498"/>
    </row>
    <row customHeight="1" ht="28.5">
      <c r="A24" s="1358" t="s">
        <v>2112</v>
      </c>
      <c r="B24" s="1358"/>
      <c r="C24" s="1496" t="s">
        <v>2113</v>
      </c>
      <c r="D24" s="1358"/>
      <c r="E24" s="1358"/>
      <c r="F24" s="1498"/>
      <c r="G24" s="1498"/>
      <c r="H24" s="1498"/>
    </row>
    <row customHeight="1" ht="36">
      <c r="A25" s="1358" t="s">
        <v>2114</v>
      </c>
      <c r="B25" s="1358"/>
      <c r="C25" s="1496" t="s">
        <v>2115</v>
      </c>
      <c r="D25" s="1358"/>
      <c r="E25" s="1358"/>
      <c r="F25" s="1498"/>
      <c r="G25" s="1498"/>
      <c r="H25" s="1498"/>
    </row>
    <row customHeight="1" ht="27">
      <c r="A26" s="1358" t="s">
        <v>2116</v>
      </c>
      <c r="B26" s="1358"/>
      <c r="C26" s="1496" t="s">
        <v>2117</v>
      </c>
      <c r="D26" s="1358"/>
      <c r="E26" s="1358"/>
      <c r="F26" s="1498"/>
      <c r="G26" s="1498"/>
      <c r="H26" s="1498"/>
    </row>
    <row customHeight="1" ht="36">
      <c r="A27" s="1358" t="s">
        <v>2118</v>
      </c>
      <c r="B27" s="1358"/>
      <c r="C27" s="1496" t="s">
        <v>2119</v>
      </c>
      <c r="D27" s="1358"/>
      <c r="E27" s="1358"/>
      <c r="F27" s="1498"/>
      <c r="G27" s="1498"/>
      <c r="H27" s="1498"/>
    </row>
    <row customHeight="1" ht="28.5">
      <c r="A28" s="1358" t="s">
        <v>2120</v>
      </c>
      <c r="B28" s="1358"/>
      <c r="C28" s="1496" t="s">
        <v>2121</v>
      </c>
      <c r="D28" s="1358"/>
      <c r="E28" s="1358"/>
      <c r="F28" s="1498"/>
      <c r="G28" s="1498"/>
      <c r="H28" s="1498"/>
    </row>
    <row customHeight="1" ht="126">
      <c r="A29" s="1358" t="s">
        <v>2122</v>
      </c>
      <c r="B29" s="1358" t="s">
        <v>1693</v>
      </c>
      <c r="C29" s="1496" t="str">
        <f>IF(TEMPLATE_SPHERE="HEAT",D29,IF(TEMPLATE_SPHERE="TKO",H29,E29))</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D29" s="1358" t="s">
        <v>2123</v>
      </c>
      <c r="E29" s="1361"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F29" s="1498"/>
      <c r="G29" s="1498"/>
      <c r="H29" s="1358" t="s">
        <v>2124</v>
      </c>
    </row>
    <row customHeight="1" ht="36">
      <c r="A30" s="1358" t="s">
        <v>2125</v>
      </c>
      <c r="B30" s="1358"/>
      <c r="C30" s="1496"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D30" s="1358" t="s">
        <v>2126</v>
      </c>
      <c r="E30" s="1361"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F30" s="1498"/>
      <c r="G30" s="1498"/>
      <c r="H30" s="1498"/>
    </row>
    <row customHeight="1" ht="54">
      <c r="A31" s="1358" t="s">
        <v>2127</v>
      </c>
      <c r="B31" s="1358"/>
      <c r="C31" s="1496" t="str">
        <f>IF(TEMPLATE_SPHERE="HEAT",D31,IF(TEMPLATE_SPHERE="TKO",H31,E31))</f>
        <v>Форма 1. Информация об организации, осуществляющей водоотведение (общая информация)</v>
      </c>
      <c r="D31" s="1358" t="s">
        <v>2128</v>
      </c>
      <c r="E31" s="1361"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31" s="1498"/>
      <c r="G31" s="1498"/>
      <c r="H31" s="1498"/>
    </row>
    <row customHeight="1" ht="198">
      <c r="A32" s="1358" t="s">
        <v>2129</v>
      </c>
      <c r="B32" s="1358"/>
      <c r="C32" s="1496" t="str">
        <f>IF(TEMPLATE_SPHERE="HEAT",D32,IF(TEMPLATE_SPHERE="TKO",H32,E32))</f>
        <v>Форма 7. Информация об инвестиционных программах организации водоотведения и отчетах об их исполнении</v>
      </c>
      <c r="D32" s="1358" t="s">
        <v>2130</v>
      </c>
      <c r="E32" s="1361"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водоотведения и отчетах об их исполнении</v>
      </c>
      <c r="F32" s="1498"/>
      <c r="G32" s="1498"/>
      <c r="H32" s="1358" t="s">
        <v>2131</v>
      </c>
    </row>
    <row customHeight="1" ht="9">
      <c r="A33" s="1358"/>
      <c r="B33" s="1358"/>
      <c r="C33" s="1496"/>
      <c r="D33" s="1358"/>
      <c r="E33" s="1358"/>
      <c r="F33" s="1498"/>
      <c r="G33" s="1498"/>
      <c r="H33" s="1498"/>
    </row>
    <row customHeight="1" ht="9">
      <c r="A34" s="1358"/>
      <c r="B34" s="1358" t="s">
        <v>1629</v>
      </c>
      <c r="C34" s="1496">
        <f>INDEX(TEMPLATE_NAME_FORM_LIST,B34,MATCH(TEMPLATE_SPHERE,TEMPLATE_SPHERE_LIST,0))</f>
        <v>0</v>
      </c>
      <c r="D34" s="1358"/>
      <c r="E34" s="1358"/>
      <c r="F34" s="1498"/>
      <c r="G34" s="1498"/>
      <c r="H34" s="1498"/>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A1FCD31C-5D6F-4F1D-3829-FE87CDFB570F}" mc:Ignorable="x14ac xr xr2 xr3">
  <sheetPr>
    <tabColor rgb="FFFFCC99"/>
  </sheetPr>
  <dimension ref="A1:AY154"/>
  <sheetViews>
    <sheetView topLeftCell="A1" showGridLines="0" workbookViewId="0">
      <selection activeCell="A1" sqref="A1"/>
    </sheetView>
  </sheetViews>
  <sheetFormatPr defaultColWidth="9.140625" customHeight="1" defaultRowHeight="9"/>
  <cols>
    <col min="1" max="2" style="55799" width="9.140625"/>
    <col min="3" max="7" style="55843" width="8.00390625" customWidth="1"/>
    <col min="8" max="12" style="55843" width="8.57421875" customWidth="1"/>
    <col min="13" max="14" style="55843" width="27.7109375" customWidth="1"/>
    <col min="15" max="19" style="55843" width="5.140625" customWidth="1"/>
    <col min="20" max="24" style="55843" width="27.7109375" customWidth="1"/>
    <col min="25" max="25" style="55844" width="1.8515625" customWidth="1"/>
    <col min="26" max="26" style="55799" width="27.7109375" customWidth="1"/>
    <col min="27" max="27" style="55845" width="27.7109375" customWidth="1"/>
    <col min="28" max="29" style="55799" width="27.7109375" customWidth="1"/>
    <col min="30" max="30" style="55799" width="3.8515625" customWidth="1"/>
    <col min="31" max="34" style="55799" width="9.140625"/>
  </cols>
  <sheetData>
    <row s="55801" customFormat="1" customHeight="1" ht="18">
      <c r="A1" s="1410"/>
      <c r="B1" s="1410"/>
      <c r="C1" s="1410" t="s">
        <v>2132</v>
      </c>
      <c r="D1" s="1410"/>
      <c r="E1" s="1410"/>
      <c r="F1" s="1410"/>
      <c r="G1" s="1410"/>
      <c r="H1" s="1410" t="s">
        <v>2133</v>
      </c>
      <c r="I1" s="1410"/>
      <c r="J1" s="1410"/>
      <c r="K1" s="1410"/>
      <c r="L1" s="1410"/>
      <c r="M1" s="1410" t="s">
        <v>2134</v>
      </c>
      <c r="N1" s="1410" t="s">
        <v>2135</v>
      </c>
      <c r="O1" s="3104" t="s">
        <v>2136</v>
      </c>
      <c r="P1" s="3104"/>
      <c r="Q1" s="3104"/>
      <c r="R1" s="3104"/>
      <c r="S1" s="3104"/>
      <c r="T1" s="3104" t="s">
        <v>2134</v>
      </c>
      <c r="U1" s="3104"/>
      <c r="V1" s="3104"/>
      <c r="W1" s="3104"/>
      <c r="X1" s="3104"/>
      <c r="Y1" s="1511"/>
      <c r="Z1" s="3104" t="s">
        <v>2137</v>
      </c>
      <c r="AA1" s="3104"/>
      <c r="AB1" s="3104"/>
      <c r="AC1" s="3104"/>
      <c r="AD1" s="3104"/>
    </row>
    <row customHeight="1" ht="18">
      <c r="A2" s="1358"/>
      <c r="B2" s="1358"/>
      <c r="C2" s="1353" t="s">
        <v>924</v>
      </c>
      <c r="D2" s="1353" t="s">
        <v>970</v>
      </c>
      <c r="E2" s="1353" t="s">
        <v>1023</v>
      </c>
      <c r="F2" s="1353" t="s">
        <v>1010</v>
      </c>
      <c r="G2" s="1353" t="s">
        <v>1741</v>
      </c>
      <c r="H2" s="1355"/>
      <c r="I2" s="1355"/>
      <c r="J2" s="1355"/>
      <c r="K2" s="1355"/>
      <c r="L2" s="1355"/>
      <c r="M2" s="1355"/>
      <c r="N2" s="1355"/>
      <c r="O2" s="1353" t="s">
        <v>924</v>
      </c>
      <c r="P2" s="1353" t="s">
        <v>970</v>
      </c>
      <c r="Q2" s="1353" t="s">
        <v>1010</v>
      </c>
      <c r="R2" s="1353" t="s">
        <v>1023</v>
      </c>
      <c r="S2" s="1353" t="s">
        <v>1741</v>
      </c>
      <c r="T2" s="1353" t="s">
        <v>924</v>
      </c>
      <c r="U2" s="1353" t="s">
        <v>970</v>
      </c>
      <c r="V2" s="1353" t="s">
        <v>1010</v>
      </c>
      <c r="W2" s="1353" t="s">
        <v>1023</v>
      </c>
      <c r="X2" s="1353" t="s">
        <v>1741</v>
      </c>
      <c r="Y2" s="1353"/>
      <c r="Z2" s="1353" t="s">
        <v>924</v>
      </c>
      <c r="AA2" s="1362" t="s">
        <v>970</v>
      </c>
      <c r="AB2" s="1353" t="s">
        <v>1010</v>
      </c>
      <c r="AC2" s="1353" t="s">
        <v>1023</v>
      </c>
      <c r="AD2" s="1353" t="s">
        <v>1741</v>
      </c>
    </row>
    <row customHeight="1" ht="162">
      <c r="A3" s="1357" t="s">
        <v>26</v>
      </c>
      <c r="B3" s="1357"/>
      <c r="C3" s="3108" t="s">
        <v>2138</v>
      </c>
      <c r="D3" s="3109"/>
      <c r="E3" s="3109"/>
      <c r="F3" s="3110"/>
      <c r="G3" s="1355"/>
      <c r="H3" s="1355"/>
      <c r="I3" s="1355"/>
      <c r="J3" s="1355"/>
      <c r="K3" s="1355"/>
      <c r="L3" s="1355"/>
      <c r="M3" s="1355"/>
      <c r="N3" s="1356" t="str">
        <f>INDEX(TEMPLATE_ORG_DATA_POINT,1,MATCH(TEMPLATE_SPHERE,TEMPLATE_SPHERE_LIST_FOR_NOTE,0))</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3" s="1355"/>
      <c r="P3" s="1355"/>
      <c r="Q3" s="1355"/>
      <c r="R3" s="1355"/>
      <c r="S3" s="1355"/>
      <c r="T3" s="1355"/>
      <c r="U3" s="1355"/>
      <c r="V3" s="1355"/>
      <c r="W3" s="1355"/>
      <c r="X3" s="1355"/>
      <c r="Y3" s="1512"/>
      <c r="Z3" s="1358" t="s">
        <v>2139</v>
      </c>
      <c r="AA3" s="1355" t="s">
        <v>2140</v>
      </c>
      <c r="AB3" s="1358" t="s">
        <v>2141</v>
      </c>
      <c r="AC3" s="1358" t="s">
        <v>2142</v>
      </c>
      <c r="AD3" s="1358"/>
      <c r="AG3" s="1358"/>
      <c r="AH3" s="1358"/>
    </row>
    <row customHeight="1" ht="9">
      <c r="A4" s="1357"/>
      <c r="B4" s="1357"/>
      <c r="C4" s="1355"/>
      <c r="D4" s="1355"/>
      <c r="E4" s="1355"/>
      <c r="F4" s="1355"/>
      <c r="G4" s="1355"/>
      <c r="H4" s="1355"/>
      <c r="I4" s="1355"/>
      <c r="J4" s="1355"/>
      <c r="K4" s="1355"/>
      <c r="L4" s="1355"/>
      <c r="M4" s="1355"/>
      <c r="N4" s="1355"/>
      <c r="O4" s="1355"/>
      <c r="P4" s="1355"/>
      <c r="Q4" s="1355"/>
      <c r="R4" s="1355"/>
      <c r="S4" s="1355"/>
      <c r="T4" s="1355"/>
      <c r="U4" s="1355"/>
      <c r="V4" s="1355"/>
      <c r="W4" s="1355"/>
      <c r="X4" s="1355"/>
      <c r="Y4" s="1512"/>
      <c r="Z4" s="1358"/>
      <c r="AA4" s="1361"/>
      <c r="AB4" s="1358"/>
      <c r="AC4" s="1358"/>
      <c r="AD4" s="1358"/>
    </row>
    <row customHeight="1" ht="9">
      <c r="A5" s="1357"/>
      <c r="B5" s="1357"/>
      <c r="C5" s="1355"/>
      <c r="D5" s="1355"/>
      <c r="E5" s="1355"/>
      <c r="F5" s="1355"/>
      <c r="G5" s="1355"/>
      <c r="H5" s="1355"/>
      <c r="I5" s="1355"/>
      <c r="J5" s="1355"/>
      <c r="K5" s="1355"/>
      <c r="L5" s="1355"/>
      <c r="M5" s="1355"/>
      <c r="N5" s="1355"/>
      <c r="O5" s="1355"/>
      <c r="P5" s="1355"/>
      <c r="Q5" s="1355"/>
      <c r="R5" s="1355"/>
      <c r="S5" s="1355"/>
      <c r="T5" s="1355"/>
      <c r="U5" s="1355"/>
      <c r="V5" s="1355"/>
      <c r="W5" s="1355"/>
      <c r="X5" s="1355"/>
      <c r="Y5" s="1512"/>
      <c r="Z5" s="1358"/>
      <c r="AA5" s="1361"/>
      <c r="AB5" s="1358"/>
      <c r="AC5" s="1358"/>
      <c r="AD5" s="1358"/>
    </row>
    <row customHeight="1" ht="9">
      <c r="A6" s="1357"/>
      <c r="B6" s="1357"/>
      <c r="C6" s="1355"/>
      <c r="D6" s="1355"/>
      <c r="E6" s="1355"/>
      <c r="F6" s="1355"/>
      <c r="G6" s="1355"/>
      <c r="H6" s="1355"/>
      <c r="I6" s="1355"/>
      <c r="J6" s="1355"/>
      <c r="K6" s="1355"/>
      <c r="L6" s="1355"/>
      <c r="M6" s="1355"/>
      <c r="N6" s="1355"/>
      <c r="O6" s="1355"/>
      <c r="P6" s="1355"/>
      <c r="Q6" s="1355"/>
      <c r="R6" s="1355"/>
      <c r="S6" s="1355"/>
      <c r="T6" s="1355"/>
      <c r="U6" s="1355"/>
      <c r="V6" s="1355"/>
      <c r="W6" s="1355"/>
      <c r="X6" s="1355"/>
      <c r="Y6" s="1512"/>
      <c r="Z6" s="1358"/>
      <c r="AA6" s="1361"/>
      <c r="AB6" s="1358"/>
      <c r="AC6" s="1358"/>
      <c r="AD6" s="1358"/>
    </row>
    <row customHeight="1" ht="9">
      <c r="A7" s="1357"/>
      <c r="B7" s="1357"/>
      <c r="C7" s="1355"/>
      <c r="D7" s="1355"/>
      <c r="E7" s="1355"/>
      <c r="F7" s="1355"/>
      <c r="G7" s="1355"/>
      <c r="H7" s="1355"/>
      <c r="I7" s="1355"/>
      <c r="J7" s="1355"/>
      <c r="K7" s="1355"/>
      <c r="L7" s="1355"/>
      <c r="M7" s="1355"/>
      <c r="N7" s="1355"/>
      <c r="O7" s="1355"/>
      <c r="P7" s="1355"/>
      <c r="Q7" s="1355"/>
      <c r="R7" s="1355"/>
      <c r="S7" s="1355"/>
      <c r="T7" s="1355"/>
      <c r="U7" s="1355"/>
      <c r="V7" s="1355"/>
      <c r="W7" s="1355"/>
      <c r="X7" s="1355"/>
      <c r="Y7" s="1512"/>
      <c r="Z7" s="1358"/>
      <c r="AA7" s="1361"/>
      <c r="AB7" s="1358"/>
      <c r="AC7" s="1358"/>
      <c r="AD7" s="1358"/>
    </row>
    <row customHeight="1" ht="9">
      <c r="A8" s="1357"/>
      <c r="B8" s="1357"/>
      <c r="C8" s="1355"/>
      <c r="D8" s="1355"/>
      <c r="E8" s="1355"/>
      <c r="F8" s="1355"/>
      <c r="G8" s="1355"/>
      <c r="H8" s="1355"/>
      <c r="I8" s="1355"/>
      <c r="J8" s="1355"/>
      <c r="K8" s="1355"/>
      <c r="L8" s="1355"/>
      <c r="M8" s="1355"/>
      <c r="N8" s="1355"/>
      <c r="O8" s="1355"/>
      <c r="P8" s="1355"/>
      <c r="Q8" s="1355"/>
      <c r="R8" s="1355"/>
      <c r="S8" s="1355"/>
      <c r="T8" s="1355"/>
      <c r="U8" s="1355"/>
      <c r="V8" s="1355"/>
      <c r="W8" s="1355"/>
      <c r="X8" s="1355"/>
      <c r="Y8" s="1512"/>
      <c r="Z8" s="1358"/>
      <c r="AA8" s="1361"/>
      <c r="AB8" s="1358"/>
      <c r="AC8" s="1358"/>
      <c r="AD8" s="1358"/>
    </row>
    <row customHeight="1" ht="9">
      <c r="A9" s="1357"/>
      <c r="B9" s="1357"/>
      <c r="C9" s="1355"/>
      <c r="D9" s="1355"/>
      <c r="E9" s="1355"/>
      <c r="F9" s="1355"/>
      <c r="G9" s="1355"/>
      <c r="H9" s="1355"/>
      <c r="I9" s="1355"/>
      <c r="J9" s="1355"/>
      <c r="K9" s="1355"/>
      <c r="L9" s="1355"/>
      <c r="M9" s="1355"/>
      <c r="N9" s="1355"/>
      <c r="O9" s="1355"/>
      <c r="P9" s="1355"/>
      <c r="Q9" s="1355"/>
      <c r="R9" s="1355"/>
      <c r="S9" s="1355"/>
      <c r="T9" s="1355"/>
      <c r="U9" s="1355"/>
      <c r="V9" s="1355"/>
      <c r="W9" s="1355"/>
      <c r="X9" s="1355"/>
      <c r="Y9" s="1512"/>
      <c r="Z9" s="1358"/>
      <c r="AA9" s="1361"/>
      <c r="AB9" s="1358"/>
      <c r="AC9" s="1358"/>
      <c r="AD9" s="1358"/>
    </row>
    <row customHeight="1" ht="9">
      <c r="A10" s="1411"/>
      <c r="B10" s="1411"/>
      <c r="C10" s="1411"/>
      <c r="D10" s="1411"/>
      <c r="E10" s="1411"/>
      <c r="F10" s="1411"/>
      <c r="G10" s="1411"/>
      <c r="H10" s="1411"/>
      <c r="I10" s="1411"/>
      <c r="J10" s="1411"/>
      <c r="K10" s="1411"/>
      <c r="L10" s="1411"/>
      <c r="M10" s="1411"/>
      <c r="N10" s="1411"/>
      <c r="O10" s="1411"/>
      <c r="P10" s="1411"/>
      <c r="Q10" s="1411"/>
      <c r="R10" s="1411"/>
      <c r="S10" s="1411"/>
      <c r="T10" s="1411"/>
      <c r="U10" s="1411"/>
      <c r="V10" s="1411"/>
      <c r="W10" s="1411"/>
      <c r="X10" s="1411"/>
      <c r="Y10" s="1411"/>
      <c r="Z10" s="1411"/>
      <c r="AA10" s="1411"/>
      <c r="AB10" s="1411"/>
      <c r="AC10" s="1411"/>
      <c r="AD10" s="1411"/>
    </row>
    <row customHeight="1" ht="45">
      <c r="A11" s="3105" t="s">
        <v>33</v>
      </c>
      <c r="B11" s="1411">
        <v>1</v>
      </c>
      <c r="C11" s="3111" t="s">
        <v>1680</v>
      </c>
      <c r="D11" s="3111" t="s">
        <v>1676</v>
      </c>
      <c r="E11" s="3111" t="s">
        <v>1773</v>
      </c>
      <c r="F11" s="3111" t="s">
        <v>2143</v>
      </c>
      <c r="G11" s="3111"/>
      <c r="H11" s="1410" t="s">
        <v>2144</v>
      </c>
      <c r="I11" s="1410"/>
      <c r="J11" s="1410"/>
      <c r="K11" s="1410"/>
      <c r="L11" s="1410"/>
      <c r="M11" s="1356" t="str">
        <f>IF(TEMPLATE_SPHERE="HEAT",T11,U11)</f>
        <v>Количество поданных заявлений </v>
      </c>
      <c r="N11" s="1356" t="str">
        <f>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1" s="1355"/>
      <c r="P11" s="1355"/>
      <c r="Q11" s="1355"/>
      <c r="R11" s="1355"/>
      <c r="S11" s="1355"/>
      <c r="T11" s="1355" t="s">
        <v>2145</v>
      </c>
      <c r="U11" s="1355" t="s">
        <v>2146</v>
      </c>
      <c r="V11" s="1355"/>
      <c r="W11" s="1355"/>
      <c r="X11" s="1355"/>
      <c r="Y11" s="1512"/>
      <c r="Z11" s="1358" t="s">
        <v>2147</v>
      </c>
      <c r="AA11" s="1361"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1" s="1358"/>
      <c r="AC11" s="1358"/>
      <c r="AD11" s="1358"/>
    </row>
    <row customHeight="1" ht="45">
      <c r="A12" s="3105"/>
      <c r="B12" s="1411">
        <v>2</v>
      </c>
      <c r="C12" s="3112"/>
      <c r="D12" s="3112"/>
      <c r="E12" s="3112"/>
      <c r="F12" s="3112"/>
      <c r="G12" s="3112"/>
      <c r="H12" s="1410" t="s">
        <v>2148</v>
      </c>
      <c r="I12" s="1410"/>
      <c r="J12" s="1410"/>
      <c r="K12" s="1410"/>
      <c r="L12" s="1410"/>
      <c r="M12" s="1356" t="str">
        <f>IF(TEMPLATE_SPHERE="HEAT",T12,U12)</f>
        <v>Количество исполненных заявлений </v>
      </c>
      <c r="N12" s="1356" t="str">
        <f>IF(TEMPLATE_SPHERE="HEAT",Z12,AA12)</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2" s="1355"/>
      <c r="P12" s="1355"/>
      <c r="Q12" s="1355"/>
      <c r="R12" s="1355"/>
      <c r="S12" s="1355"/>
      <c r="T12" s="1355" t="s">
        <v>2149</v>
      </c>
      <c r="U12" s="1355" t="s">
        <v>2150</v>
      </c>
      <c r="V12" s="1355"/>
      <c r="W12" s="1355"/>
      <c r="X12" s="1355"/>
      <c r="Y12" s="1512"/>
      <c r="Z12" s="1358" t="s">
        <v>2151</v>
      </c>
      <c r="AA12" s="1361"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2" s="1358"/>
      <c r="AC12" s="1358"/>
      <c r="AD12" s="1358"/>
    </row>
    <row customHeight="1" ht="72">
      <c r="A13" s="3105"/>
      <c r="B13" s="1411">
        <v>3</v>
      </c>
      <c r="C13" s="3112"/>
      <c r="D13" s="3112"/>
      <c r="E13" s="3112"/>
      <c r="F13" s="3112"/>
      <c r="G13" s="3112"/>
      <c r="H13" s="3104" t="s">
        <v>2152</v>
      </c>
      <c r="I13" s="1410"/>
      <c r="J13" s="1410"/>
      <c r="K13" s="1410"/>
      <c r="L13" s="1410"/>
      <c r="M13" s="1356"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1356" t="str">
        <f>IF(TEMPLATE_SPHERE="HEAT",Z13,AA13)</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O13" s="1355"/>
      <c r="P13" s="1356"/>
      <c r="Q13" s="1356"/>
      <c r="R13" s="1356"/>
      <c r="S13" s="1355"/>
      <c r="T13" s="1355" t="s">
        <v>2153</v>
      </c>
      <c r="U13" s="1356" t="s">
        <v>2154</v>
      </c>
      <c r="V13" s="1356"/>
      <c r="W13" s="1356"/>
      <c r="X13" s="1355"/>
      <c r="Y13" s="1512"/>
      <c r="Z13" s="1358" t="s">
        <v>2155</v>
      </c>
      <c r="AA13" s="1361"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AB13" s="1358"/>
      <c r="AC13" s="1358"/>
      <c r="AD13" s="1358"/>
    </row>
    <row customHeight="1" ht="45">
      <c r="A14" s="3105"/>
      <c r="B14" s="1411">
        <v>4</v>
      </c>
      <c r="C14" s="3112"/>
      <c r="D14" s="3112"/>
      <c r="E14" s="3112"/>
      <c r="F14" s="3112"/>
      <c r="G14" s="3112"/>
      <c r="H14" s="3104"/>
      <c r="I14" s="1413"/>
      <c r="J14" s="1413"/>
      <c r="K14" s="1413"/>
      <c r="L14" s="1413"/>
      <c r="M14" s="1359" t="str">
        <f>IF(TEMPLATE_SPHERE="HEAT",T14,U14)</f>
        <v>Причины отказа в заключении договора о подключении (технологическом присоединении) к централизованной системе водоотведения</v>
      </c>
      <c r="N14" s="1356"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1355"/>
      <c r="P14" s="1356"/>
      <c r="Q14" s="1356"/>
      <c r="R14" s="1356"/>
      <c r="S14" s="1355"/>
      <c r="T14" s="1355" t="s">
        <v>2156</v>
      </c>
      <c r="U14" s="1356"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водоотведения</v>
      </c>
      <c r="V14" s="1356"/>
      <c r="W14" s="1356"/>
      <c r="X14" s="1355"/>
      <c r="Y14" s="1512"/>
      <c r="Z14" s="1358" t="s">
        <v>2157</v>
      </c>
      <c r="AA14" s="1361" t="s">
        <v>2157</v>
      </c>
      <c r="AB14" s="1358"/>
      <c r="AC14" s="1358"/>
      <c r="AD14" s="1358"/>
    </row>
    <row customHeight="1" ht="108">
      <c r="A15" s="3105"/>
      <c r="B15" s="1411">
        <v>5</v>
      </c>
      <c r="C15" s="3112"/>
      <c r="D15" s="3112"/>
      <c r="E15" s="3112"/>
      <c r="F15" s="3112"/>
      <c r="G15" s="3112"/>
      <c r="H15" s="3106" t="s">
        <v>2158</v>
      </c>
      <c r="I15" s="1412"/>
      <c r="J15" s="1412"/>
      <c r="K15" s="1412"/>
      <c r="L15" s="1412"/>
      <c r="M15" s="1361" t="str">
        <f>IF(TEMPLATE_SPHERE="HEAT",T15,U15)</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N15" s="1360" t="str">
        <f>IF(TEMPLATE_SPHERE="HEAT",Z15,AA15)</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15" s="1355"/>
      <c r="P15" s="1356"/>
      <c r="Q15" s="1356"/>
      <c r="R15" s="1356"/>
      <c r="S15" s="1355"/>
      <c r="T15" s="1355" t="s">
        <v>2159</v>
      </c>
      <c r="U15" s="1356"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V15" s="1356"/>
      <c r="W15" s="1356"/>
      <c r="X15" s="1355"/>
      <c r="Y15" s="1512"/>
      <c r="Z15" s="1358" t="s">
        <v>2160</v>
      </c>
      <c r="AA15" s="1361"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AB15" s="1358"/>
      <c r="AC15" s="1358"/>
      <c r="AD15" s="1358"/>
    </row>
    <row customHeight="1" ht="108">
      <c r="A16" s="1411"/>
      <c r="B16" s="1411">
        <v>6</v>
      </c>
      <c r="C16" s="3113"/>
      <c r="D16" s="3113"/>
      <c r="E16" s="3113"/>
      <c r="F16" s="3113"/>
      <c r="G16" s="3113"/>
      <c r="H16" s="3107"/>
      <c r="I16" s="1474"/>
      <c r="J16" s="1474"/>
      <c r="K16" s="1474"/>
      <c r="L16" s="1474"/>
      <c r="M16" s="1404"/>
      <c r="N16" s="1360" t="str">
        <f>IF(TEMPLATE_SPHERE="HEAT",Z16,AA16)</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O16" s="1355"/>
      <c r="P16" s="1356"/>
      <c r="Q16" s="1356"/>
      <c r="R16" s="1356"/>
      <c r="S16" s="1355"/>
      <c r="T16" s="1355"/>
      <c r="U16" s="1356"/>
      <c r="V16" s="1356"/>
      <c r="W16" s="1356"/>
      <c r="X16" s="1355"/>
      <c r="Y16" s="1512"/>
      <c r="Z16" s="1358" t="s">
        <v>2160</v>
      </c>
      <c r="AA16" s="1361"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AB16" s="1358"/>
      <c r="AC16" s="1358"/>
      <c r="AD16" s="1358"/>
    </row>
    <row customHeight="1" ht="9">
      <c r="A17" s="1411"/>
      <c r="B17" s="1411"/>
      <c r="C17" s="1411">
        <v>22</v>
      </c>
      <c r="D17" s="1411">
        <v>21</v>
      </c>
      <c r="E17" s="1411">
        <v>42</v>
      </c>
      <c r="F17" s="1411">
        <v>63</v>
      </c>
      <c r="G17" s="1411"/>
      <c r="H17" s="1411"/>
      <c r="I17" s="1411"/>
      <c r="J17" s="1411"/>
      <c r="K17" s="1411"/>
      <c r="L17" s="1411"/>
      <c r="M17" s="1411"/>
      <c r="N17" s="1411"/>
      <c r="O17" s="1411"/>
      <c r="P17" s="1411"/>
      <c r="Q17" s="1411"/>
      <c r="R17" s="1411"/>
      <c r="S17" s="1411"/>
      <c r="T17" s="1411"/>
      <c r="U17" s="1411"/>
      <c r="V17" s="1411"/>
      <c r="W17" s="1411"/>
      <c r="X17" s="1411"/>
      <c r="Y17" s="1411"/>
      <c r="Z17" s="1411"/>
      <c r="AA17" s="1411"/>
      <c r="AB17" s="1411"/>
      <c r="AC17" s="1411"/>
      <c r="AD17" s="1411"/>
    </row>
    <row customHeight="1" ht="27">
      <c r="A18" s="1357" t="s">
        <v>1776</v>
      </c>
      <c r="B18" s="1411">
        <v>1</v>
      </c>
      <c r="C18" s="1355" t="s">
        <v>2144</v>
      </c>
      <c r="D18" s="1479" t="s">
        <v>2144</v>
      </c>
      <c r="E18" s="1355" t="s">
        <v>2144</v>
      </c>
      <c r="F18" s="1355" t="s">
        <v>2144</v>
      </c>
      <c r="G18" s="1355"/>
      <c r="H18" s="1514"/>
      <c r="I18" s="1517">
        <f>INDEX(TEMPLATE_NUMBER_POINT_FHD,B18,MATCH(TEMPLATE_SPHERE,TEMPLATE_SPHERE_LIST_FOR_NOTE,0))</f>
        <v>1</v>
      </c>
      <c r="J18" s="1517" t="str">
        <f>INDEX(TEMPLATE_DATA_POINT_FHD,B18,MATCH(TEMPLATE_SPHERE,TEMPLATE_SPHERE_LIST_FOR_NOTE,0))</f>
        <v>Выручка от регулируемых видов деятельности в сфере водоотведения</v>
      </c>
      <c r="K18" s="1517" t="str">
        <f>INDEX(TEMPLATE_NOTE_POINT_FHD,B18,MATCH(TEMPLATE_SPHERE,TEMPLATE_SPHERE_LIST_FOR_NOTE,0))</f>
        <v>Указывается выручка с распределением по видам деятельности.</v>
      </c>
      <c r="L18" s="1356">
        <f>IF(I18=0,"",I18)</f>
        <v>1</v>
      </c>
      <c r="M18" s="1356" t="str">
        <f>IF(J18=0,"",J18)</f>
        <v>Выручка от регулируемых видов деятельности в сфере водоотведения</v>
      </c>
      <c r="N18" s="1356" t="str">
        <f>IF(K18=0,"",K18)</f>
        <v>Указывается выручка с распределением по видам деятельности.</v>
      </c>
      <c r="O18" s="1469">
        <v>1</v>
      </c>
      <c r="P18" s="1469">
        <v>1</v>
      </c>
      <c r="Q18" s="1469">
        <v>1</v>
      </c>
      <c r="R18" s="1469">
        <v>1</v>
      </c>
      <c r="S18" s="1469"/>
      <c r="T18" s="1476" t="s">
        <v>2161</v>
      </c>
      <c r="U18" s="1358" t="s">
        <v>2162</v>
      </c>
      <c r="V18" s="1358" t="s">
        <v>2163</v>
      </c>
      <c r="W18" s="1358" t="s">
        <v>2164</v>
      </c>
      <c r="X18" s="1355"/>
      <c r="Y18" s="1512"/>
      <c r="Z18" s="1358" t="s">
        <v>2165</v>
      </c>
      <c r="AA18" s="1361" t="s">
        <v>2166</v>
      </c>
      <c r="AB18" s="1361" t="s">
        <v>2166</v>
      </c>
      <c r="AC18" s="1361" t="s">
        <v>2166</v>
      </c>
      <c r="AD18" s="1358"/>
    </row>
    <row customHeight="1" ht="36">
      <c r="A19" s="1357"/>
      <c r="B19" s="1411">
        <v>2</v>
      </c>
      <c r="C19" s="1355" t="s">
        <v>2148</v>
      </c>
      <c r="D19" s="1479" t="s">
        <v>2148</v>
      </c>
      <c r="E19" s="1355" t="s">
        <v>2148</v>
      </c>
      <c r="F19" s="1355" t="s">
        <v>2148</v>
      </c>
      <c r="G19" s="1355"/>
      <c r="H19" s="1514"/>
      <c r="I19" s="1517">
        <f>INDEX(TEMPLATE_NUMBER_POINT_FHD,B19,MATCH(TEMPLATE_SPHERE,TEMPLATE_SPHERE_LIST_FOR_NOTE,0))</f>
        <v>2</v>
      </c>
      <c r="J19" s="1517" t="str">
        <f>INDEX(TEMPLATE_DATA_POINT_FHD,B19,MATCH(TEMPLATE_SPHERE,TEMPLATE_SPHERE_LIST_FOR_NOTE,0))</f>
        <v>Себестоимость производимых товаров (оказываемых услуг) по регулируемым видам деятельности в сфере водоотведения, включая:</v>
      </c>
      <c r="K19" s="1517" t="str">
        <f>INDEX(TEMPLATE_NOTE_POINT_FHD,B19,MATCH(TEMPLATE_SPHERE,TEMPLATE_SPHERE_LIST_FOR_NOTE,0))</f>
        <v>Указывается суммарная себестоимость производимых товаров.</v>
      </c>
      <c r="L19" s="1356">
        <f>IF(I19=0,"",I19)</f>
        <v>2</v>
      </c>
      <c r="M19" s="1356" t="str">
        <f>IF(J19=0,"",J19)</f>
        <v>Себестоимость производимых товаров (оказываемых услуг) по регулируемым видам деятельности в сфере водоотведения, включая:</v>
      </c>
      <c r="N19" s="1356" t="str">
        <f>IF(K19=0,"",K19)</f>
        <v>Указывается суммарная себестоимость производимых товаров.</v>
      </c>
      <c r="O19" s="1469">
        <v>2</v>
      </c>
      <c r="P19" s="1469">
        <v>2</v>
      </c>
      <c r="Q19" s="1469">
        <v>2</v>
      </c>
      <c r="R19" s="1469">
        <v>2</v>
      </c>
      <c r="S19" s="1469"/>
      <c r="T19" s="1476" t="s">
        <v>2167</v>
      </c>
      <c r="U19" s="1358" t="s">
        <v>2168</v>
      </c>
      <c r="V19" s="1358" t="s">
        <v>2169</v>
      </c>
      <c r="W19" s="1358" t="s">
        <v>2170</v>
      </c>
      <c r="X19" s="1355"/>
      <c r="Y19" s="1512"/>
      <c r="Z19" s="1358" t="s">
        <v>2171</v>
      </c>
      <c r="AA19" s="1361" t="s">
        <v>2171</v>
      </c>
      <c r="AB19" s="1361" t="s">
        <v>2171</v>
      </c>
      <c r="AC19" s="1361" t="s">
        <v>2171</v>
      </c>
      <c r="AD19" s="1358"/>
    </row>
    <row customHeight="1" ht="27">
      <c r="A20" s="1357"/>
      <c r="B20" s="1411">
        <v>3</v>
      </c>
      <c r="C20" s="1355">
        <v>1</v>
      </c>
      <c r="D20" s="1479"/>
      <c r="E20" s="1355"/>
      <c r="F20" s="1355"/>
      <c r="G20" s="1355"/>
      <c r="H20" s="1514"/>
      <c r="I20" s="1517" t="str">
        <f>INDEX(TEMPLATE_NUMBER_POINT_FHD,B20,MATCH(TEMPLATE_SPHERE,TEMPLATE_SPHERE_LIST_FOR_NOTE,0))</f>
        <v>2.1</v>
      </c>
      <c r="J20" s="1517" t="str">
        <f>INDEX(TEMPLATE_DATA_POINT_FHD,B20,MATCH(TEMPLATE_SPHERE,TEMPLATE_SPHERE_LIST_FOR_NOTE,0))</f>
        <v>Расходы на оплату услуг по приему, транспортировке и очистке сточных вод другими организациями</v>
      </c>
      <c r="K20" s="1517">
        <f>INDEX(TEMPLATE_NOTE_POINT_FHD,B20,MATCH(TEMPLATE_SPHERE,TEMPLATE_SPHERE_LIST_FOR_NOTE,0))</f>
        <v>0</v>
      </c>
      <c r="L20" s="1356" t="str">
        <f>IF(I20=0,"",I20)</f>
        <v>2.1</v>
      </c>
      <c r="M20" s="1356" t="str">
        <f>IF(J20=0,"",J20)</f>
        <v>Расходы на оплату услуг по приему, транспортировке и очистке сточных вод другими организациями</v>
      </c>
      <c r="N20" s="1356" t="str">
        <f>IF(K20=0,"",K20)</f>
        <v/>
      </c>
      <c r="O20" s="1469" t="s">
        <v>825</v>
      </c>
      <c r="P20" s="1469" t="s">
        <v>825</v>
      </c>
      <c r="Q20" s="1469" t="s">
        <v>825</v>
      </c>
      <c r="R20" s="1469" t="s">
        <v>825</v>
      </c>
      <c r="S20" s="1469"/>
      <c r="T20" s="1476" t="s">
        <v>2172</v>
      </c>
      <c r="U20" s="1358" t="s">
        <v>2173</v>
      </c>
      <c r="V20" s="1358" t="s">
        <v>2174</v>
      </c>
      <c r="W20" s="1358" t="s">
        <v>2175</v>
      </c>
      <c r="X20" s="1355"/>
      <c r="Y20" s="1512"/>
      <c r="Z20" s="1358"/>
      <c r="AA20" s="1361"/>
      <c r="AB20" s="1358"/>
      <c r="AC20" s="1358"/>
      <c r="AD20" s="1358"/>
    </row>
    <row customHeight="1" ht="36">
      <c r="A21" s="1357"/>
      <c r="B21" s="1411">
        <v>4</v>
      </c>
      <c r="C21" s="1355">
        <v>2</v>
      </c>
      <c r="D21" s="1479"/>
      <c r="E21" s="1355"/>
      <c r="F21" s="1355"/>
      <c r="G21" s="1355"/>
      <c r="H21" s="1514"/>
      <c r="I21" s="1517">
        <f>INDEX(TEMPLATE_NUMBER_POINT_FHD,B21,MATCH(TEMPLATE_SPHERE,TEMPLATE_SPHERE_LIST_FOR_NOTE,0))</f>
        <v>0</v>
      </c>
      <c r="J21" s="1517">
        <f>INDEX(TEMPLATE_DATA_POINT_FHD,B21,MATCH(TEMPLATE_SPHERE,TEMPLATE_SPHERE_LIST_FOR_NOTE,0))</f>
        <v>0</v>
      </c>
      <c r="K21" s="1517">
        <f>INDEX(TEMPLATE_NOTE_POINT_FHD,B21,MATCH(TEMPLATE_SPHERE,TEMPLATE_SPHERE_LIST_FOR_NOTE,0))</f>
        <v>0</v>
      </c>
      <c r="L21" s="1356" t="str">
        <f>IF(I21=0,"",I21)</f>
        <v/>
      </c>
      <c r="M21" s="1356" t="str">
        <f>IF(J21=0,"",J21)</f>
        <v/>
      </c>
      <c r="N21" s="1356" t="str">
        <f>IF(K21=0,"",K21)</f>
        <v/>
      </c>
      <c r="O21" s="1469" t="s">
        <v>425</v>
      </c>
      <c r="P21" s="1469"/>
      <c r="Q21" s="1469"/>
      <c r="R21" s="1469"/>
      <c r="S21" s="1469"/>
      <c r="T21" s="1476" t="s">
        <v>2176</v>
      </c>
      <c r="U21" s="1358"/>
      <c r="V21" s="1358"/>
      <c r="W21" s="1358"/>
      <c r="X21" s="1355"/>
      <c r="Y21" s="1512"/>
      <c r="Z21" s="1358" t="s">
        <v>2177</v>
      </c>
      <c r="AA21" s="1361"/>
      <c r="AB21" s="1358"/>
      <c r="AC21" s="1358"/>
      <c r="AD21" s="1358"/>
    </row>
    <row customHeight="1" ht="36">
      <c r="A22" s="1357"/>
      <c r="B22" s="1411">
        <v>5</v>
      </c>
      <c r="C22" s="1355">
        <v>3</v>
      </c>
      <c r="D22" s="1479"/>
      <c r="E22" s="1355"/>
      <c r="F22" s="1355"/>
      <c r="G22" s="1403"/>
      <c r="H22" s="1470"/>
      <c r="I22" s="1517">
        <f>INDEX(TEMPLATE_NUMBER_POINT_FHD,B22,MATCH(TEMPLATE_SPHERE,TEMPLATE_SPHERE_LIST_FOR_NOTE,0))</f>
        <v>0</v>
      </c>
      <c r="J22" s="1517">
        <f>INDEX(TEMPLATE_DATA_POINT_FHD,B22,MATCH(TEMPLATE_SPHERE,TEMPLATE_SPHERE_LIST_FOR_NOTE,0))</f>
        <v>0</v>
      </c>
      <c r="K22" s="1517">
        <f>INDEX(TEMPLATE_NOTE_POINT_FHD,B22,MATCH(TEMPLATE_SPHERE,TEMPLATE_SPHERE_LIST_FOR_NOTE,0))</f>
        <v>0</v>
      </c>
      <c r="L22" s="1356" t="str">
        <f>IF(I22=0,"",I22)</f>
        <v/>
      </c>
      <c r="M22" s="1356" t="str">
        <f>IF(J22=0,"",J22)</f>
        <v/>
      </c>
      <c r="N22" s="1356" t="str">
        <f>IF(K22=0,"",K22)</f>
        <v/>
      </c>
      <c r="O22" s="1469"/>
      <c r="P22" s="1469"/>
      <c r="Q22" s="1469" t="s">
        <v>425</v>
      </c>
      <c r="R22" s="1469"/>
      <c r="S22" s="1469"/>
      <c r="T22" s="1476"/>
      <c r="U22" s="1358"/>
      <c r="V22" s="1358" t="s">
        <v>2178</v>
      </c>
      <c r="W22" s="1358"/>
      <c r="X22" s="1355"/>
      <c r="Y22" s="1512"/>
      <c r="Z22" s="1358"/>
      <c r="AA22" s="1361"/>
      <c r="AB22" s="1358"/>
      <c r="AC22" s="1358"/>
      <c r="AD22" s="1358"/>
    </row>
    <row customHeight="1" ht="27">
      <c r="A23" s="1357"/>
      <c r="B23" s="1411">
        <v>6</v>
      </c>
      <c r="C23" s="1355">
        <v>4</v>
      </c>
      <c r="D23" s="1479"/>
      <c r="E23" s="1355"/>
      <c r="F23" s="1355"/>
      <c r="G23" s="1403"/>
      <c r="H23" s="1470"/>
      <c r="I23" s="1517">
        <f>INDEX(TEMPLATE_NUMBER_POINT_FHD,B23,MATCH(TEMPLATE_SPHERE,TEMPLATE_SPHERE_LIST_FOR_NOTE,0))</f>
        <v>0</v>
      </c>
      <c r="J23" s="1517">
        <f>INDEX(TEMPLATE_DATA_POINT_FHD,B23,MATCH(TEMPLATE_SPHERE,TEMPLATE_SPHERE_LIST_FOR_NOTE,0))</f>
        <v>0</v>
      </c>
      <c r="K23" s="1517">
        <f>INDEX(TEMPLATE_NOTE_POINT_FHD,B23,MATCH(TEMPLATE_SPHERE,TEMPLATE_SPHERE_LIST_FOR_NOTE,0))</f>
        <v>0</v>
      </c>
      <c r="L23" s="1356" t="str">
        <f>IF(I23=0,"",I23)</f>
        <v/>
      </c>
      <c r="M23" s="1356" t="str">
        <f>IF(J23=0,"",J23)</f>
        <v/>
      </c>
      <c r="N23" s="1356" t="str">
        <f>IF(K23=0,"",K23)</f>
        <v/>
      </c>
      <c r="O23" s="1469"/>
      <c r="P23" s="1469"/>
      <c r="Q23" s="1469" t="s">
        <v>428</v>
      </c>
      <c r="R23" s="1469"/>
      <c r="S23" s="1469"/>
      <c r="T23" s="1476"/>
      <c r="U23" s="1358"/>
      <c r="V23" s="1358" t="s">
        <v>2179</v>
      </c>
      <c r="W23" s="1358"/>
      <c r="X23" s="1355"/>
      <c r="Y23" s="1512"/>
      <c r="Z23" s="1358"/>
      <c r="AA23" s="1361"/>
      <c r="AB23" s="1358"/>
      <c r="AC23" s="1358"/>
      <c r="AD23" s="1358"/>
    </row>
    <row customHeight="1" ht="36">
      <c r="A24" s="1357"/>
      <c r="B24" s="1411">
        <v>7</v>
      </c>
      <c r="C24" s="1355">
        <v>5</v>
      </c>
      <c r="D24" s="1479"/>
      <c r="E24" s="1355"/>
      <c r="F24" s="1355"/>
      <c r="G24" s="1403"/>
      <c r="H24" s="1470"/>
      <c r="I24" s="1517">
        <f>INDEX(TEMPLATE_NUMBER_POINT_FHD,B24,MATCH(TEMPLATE_SPHERE,TEMPLATE_SPHERE_LIST_FOR_NOTE,0))</f>
        <v>0</v>
      </c>
      <c r="J24" s="1517">
        <f>INDEX(TEMPLATE_DATA_POINT_FHD,B24,MATCH(TEMPLATE_SPHERE,TEMPLATE_SPHERE_LIST_FOR_NOTE,0))</f>
        <v>0</v>
      </c>
      <c r="K24" s="1517">
        <f>INDEX(TEMPLATE_NOTE_POINT_FHD,B24,MATCH(TEMPLATE_SPHERE,TEMPLATE_SPHERE_LIST_FOR_NOTE,0))</f>
        <v>0</v>
      </c>
      <c r="L24" s="1356" t="str">
        <f>IF(I24=0,"",I24)</f>
        <v/>
      </c>
      <c r="M24" s="1356" t="str">
        <f>IF(J24=0,"",J24)</f>
        <v/>
      </c>
      <c r="N24" s="1356" t="str">
        <f>IF(K24=0,"",K24)</f>
        <v/>
      </c>
      <c r="O24" s="1469"/>
      <c r="P24" s="1469"/>
      <c r="Q24" s="1469" t="s">
        <v>845</v>
      </c>
      <c r="R24" s="1469"/>
      <c r="S24" s="1469"/>
      <c r="T24" s="1476"/>
      <c r="U24" s="1358"/>
      <c r="V24" s="1358" t="s">
        <v>2180</v>
      </c>
      <c r="W24" s="1358"/>
      <c r="X24" s="1355"/>
      <c r="Y24" s="1512"/>
      <c r="Z24" s="1358"/>
      <c r="AA24" s="1361"/>
      <c r="AB24" s="1358"/>
      <c r="AC24" s="1358"/>
      <c r="AD24" s="1358"/>
    </row>
    <row customHeight="1" ht="36">
      <c r="A25" s="1357"/>
      <c r="B25" s="1411">
        <v>8</v>
      </c>
      <c r="C25" s="1355">
        <v>6</v>
      </c>
      <c r="D25" s="1479"/>
      <c r="E25" s="1355"/>
      <c r="F25" s="1355"/>
      <c r="G25" s="1403"/>
      <c r="H25" s="1470"/>
      <c r="I25" s="1517" t="str">
        <f>INDEX(TEMPLATE_NUMBER_POINT_FHD,B25,MATCH(TEMPLATE_SPHERE,TEMPLATE_SPHERE_LIST_FOR_NOTE,0))</f>
        <v>2.2</v>
      </c>
      <c r="J25" s="1517"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517">
        <f>INDEX(TEMPLATE_NOTE_POINT_FHD,B25,MATCH(TEMPLATE_SPHERE,TEMPLATE_SPHERE_LIST_FOR_NOTE,0))</f>
        <v>0</v>
      </c>
      <c r="L25" s="1356" t="str">
        <f>IF(I25=0,"",I25)</f>
        <v>2.2</v>
      </c>
      <c r="M25" s="1356" t="str">
        <f>IF(J25=0,"",J25)</f>
        <v>Расходы на приобретаемую электрическую энергию (мощность), используемую в технологическом процессе</v>
      </c>
      <c r="N25" s="1356" t="str">
        <f>IF(K25=0,"",K25)</f>
        <v/>
      </c>
      <c r="O25" s="1469" t="s">
        <v>428</v>
      </c>
      <c r="P25" s="1469" t="s">
        <v>425</v>
      </c>
      <c r="Q25" s="1469" t="s">
        <v>852</v>
      </c>
      <c r="R25" s="1469" t="s">
        <v>425</v>
      </c>
      <c r="S25" s="1469"/>
      <c r="T25" s="1476" t="s">
        <v>2181</v>
      </c>
      <c r="U25" s="1358" t="s">
        <v>2181</v>
      </c>
      <c r="V25" s="1358" t="s">
        <v>2181</v>
      </c>
      <c r="W25" s="1358" t="s">
        <v>2181</v>
      </c>
      <c r="X25" s="1355"/>
      <c r="Y25" s="1512"/>
      <c r="Z25" s="1358"/>
      <c r="AA25" s="1361"/>
      <c r="AB25" s="1358"/>
      <c r="AC25" s="1358"/>
      <c r="AD25" s="1358"/>
    </row>
    <row customHeight="1" ht="18">
      <c r="A26" s="1357"/>
      <c r="B26" s="1411">
        <v>9</v>
      </c>
      <c r="C26" s="1355" t="s">
        <v>769</v>
      </c>
      <c r="D26" s="1479"/>
      <c r="E26" s="1355"/>
      <c r="F26" s="1355"/>
      <c r="G26" s="1403"/>
      <c r="H26" s="1470"/>
      <c r="I26" s="1517" t="str">
        <f>INDEX(TEMPLATE_NUMBER_POINT_FHD,B26,MATCH(TEMPLATE_SPHERE,TEMPLATE_SPHERE_LIST_FOR_NOTE,0))</f>
        <v>2.2.1</v>
      </c>
      <c r="J26" s="1517" t="str">
        <f>INDEX(TEMPLATE_DATA_POINT_FHD,B26,MATCH(TEMPLATE_SPHERE,TEMPLATE_SPHERE_LIST_FOR_NOTE,0))</f>
        <v>Средневзвешенная стоимость 1 кВт.ч (с учетом мощности)</v>
      </c>
      <c r="K26" s="1517">
        <f>INDEX(TEMPLATE_NOTE_POINT_FHD,B26,MATCH(TEMPLATE_SPHERE,TEMPLATE_SPHERE_LIST_FOR_NOTE,0))</f>
        <v>0</v>
      </c>
      <c r="L26" s="1356" t="str">
        <f>IF(I26=0,"",I26)</f>
        <v>2.2.1</v>
      </c>
      <c r="M26" s="1356" t="str">
        <f>IF(J26=0,"",J26)</f>
        <v>Средневзвешенная стоимость 1 кВт.ч (с учетом мощности)</v>
      </c>
      <c r="N26" s="1356" t="str">
        <f>IF(K26=0,"",K26)</f>
        <v/>
      </c>
      <c r="O26" s="1469" t="s">
        <v>841</v>
      </c>
      <c r="P26" s="1469" t="s">
        <v>835</v>
      </c>
      <c r="Q26" s="1469" t="s">
        <v>2182</v>
      </c>
      <c r="R26" s="1469" t="s">
        <v>835</v>
      </c>
      <c r="S26" s="1469"/>
      <c r="T26" s="1476" t="str">
        <f>"Средневзвешенная стоимость 1 кВт.ч"&amp;IF(TITLE_TYPE_ORG="Регулируемая организация"," (с учетом мощности)","")</f>
        <v>Средневзвешенная стоимость 1 кВт.ч</v>
      </c>
      <c r="U26" s="1476" t="s">
        <v>2183</v>
      </c>
      <c r="V26" s="1476" t="s">
        <v>2183</v>
      </c>
      <c r="W26" s="1476" t="s">
        <v>2183</v>
      </c>
      <c r="X26" s="1355"/>
      <c r="Y26" s="1512"/>
      <c r="Z26" s="1358"/>
      <c r="AA26" s="1361"/>
      <c r="AB26" s="1358"/>
      <c r="AC26" s="1358"/>
      <c r="AD26" s="1358"/>
    </row>
    <row customHeight="1" ht="18">
      <c r="A27" s="1357"/>
      <c r="B27" s="1411">
        <v>10</v>
      </c>
      <c r="C27" s="1355" t="s">
        <v>773</v>
      </c>
      <c r="D27" s="1479"/>
      <c r="E27" s="1355"/>
      <c r="F27" s="1355"/>
      <c r="G27" s="1403"/>
      <c r="H27" s="1470"/>
      <c r="I27" s="1517" t="str">
        <f>INDEX(TEMPLATE_NUMBER_POINT_FHD,B27,MATCH(TEMPLATE_SPHERE,TEMPLATE_SPHERE_LIST_FOR_NOTE,0))</f>
        <v>2.2.2</v>
      </c>
      <c r="J27" s="1517" t="str">
        <f>INDEX(TEMPLATE_DATA_POINT_FHD,B27,MATCH(TEMPLATE_SPHERE,TEMPLATE_SPHERE_LIST_FOR_NOTE,0))</f>
        <v>Объём приобретения электрической энергии</v>
      </c>
      <c r="K27" s="1517">
        <f>INDEX(TEMPLATE_NOTE_POINT_FHD,B27,MATCH(TEMPLATE_SPHERE,TEMPLATE_SPHERE_LIST_FOR_NOTE,0))</f>
        <v>0</v>
      </c>
      <c r="L27" s="1356" t="str">
        <f>IF(I27=0,"",I27)</f>
        <v>2.2.2</v>
      </c>
      <c r="M27" s="1356" t="str">
        <f>IF(J27=0,"",J27)</f>
        <v>Объём приобретения электрической энергии</v>
      </c>
      <c r="N27" s="1356" t="str">
        <f>IF(K27=0,"",K27)</f>
        <v/>
      </c>
      <c r="O27" s="1469" t="s">
        <v>843</v>
      </c>
      <c r="P27" s="1469" t="s">
        <v>837</v>
      </c>
      <c r="Q27" s="1469" t="s">
        <v>2184</v>
      </c>
      <c r="R27" s="1469" t="s">
        <v>837</v>
      </c>
      <c r="S27" s="1469"/>
      <c r="T27" s="1476" t="s">
        <v>2185</v>
      </c>
      <c r="U27" s="1476" t="s">
        <v>2185</v>
      </c>
      <c r="V27" s="1476" t="s">
        <v>2185</v>
      </c>
      <c r="W27" s="1476" t="s">
        <v>2185</v>
      </c>
      <c r="X27" s="1355"/>
      <c r="Y27" s="1512"/>
      <c r="Z27" s="1358"/>
      <c r="AA27" s="1361"/>
      <c r="AB27" s="1358"/>
      <c r="AC27" s="1358"/>
      <c r="AD27" s="1358"/>
    </row>
    <row customHeight="1" ht="27">
      <c r="A28" s="1357"/>
      <c r="B28" s="1411">
        <v>11</v>
      </c>
      <c r="C28" s="1355">
        <v>7</v>
      </c>
      <c r="D28" s="1479"/>
      <c r="E28" s="1355"/>
      <c r="F28" s="1355"/>
      <c r="G28" s="1403"/>
      <c r="H28" s="1470"/>
      <c r="I28" s="1517">
        <f>INDEX(TEMPLATE_NUMBER_POINT_FHD,B28,MATCH(TEMPLATE_SPHERE,TEMPLATE_SPHERE_LIST_FOR_NOTE,0))</f>
        <v>0</v>
      </c>
      <c r="J28" s="1517">
        <f>INDEX(TEMPLATE_DATA_POINT_FHD,B28,MATCH(TEMPLATE_SPHERE,TEMPLATE_SPHERE_LIST_FOR_NOTE,0))</f>
        <v>0</v>
      </c>
      <c r="K28" s="1517">
        <f>INDEX(TEMPLATE_NOTE_POINT_FHD,B28,MATCH(TEMPLATE_SPHERE,TEMPLATE_SPHERE_LIST_FOR_NOTE,0))</f>
        <v>0</v>
      </c>
      <c r="L28" s="1356" t="str">
        <f>IF(I28=0,"",I28)</f>
        <v/>
      </c>
      <c r="M28" s="1356" t="str">
        <f>IF(J28=0,"",J28)</f>
        <v/>
      </c>
      <c r="N28" s="1356" t="str">
        <f>IF(K28=0,"",K28)</f>
        <v/>
      </c>
      <c r="O28" s="1469" t="s">
        <v>845</v>
      </c>
      <c r="P28" s="1469"/>
      <c r="Q28" s="1469"/>
      <c r="R28" s="1469"/>
      <c r="S28" s="1469"/>
      <c r="T28" s="1476" t="s">
        <v>2186</v>
      </c>
      <c r="U28" s="1358"/>
      <c r="V28" s="1358"/>
      <c r="W28" s="1358"/>
      <c r="X28" s="1355"/>
      <c r="Y28" s="1512"/>
      <c r="Z28" s="1358"/>
      <c r="AA28" s="1361"/>
      <c r="AB28" s="1358"/>
      <c r="AC28" s="1358"/>
      <c r="AD28" s="1358"/>
    </row>
    <row customHeight="1" ht="27">
      <c r="A29" s="1357"/>
      <c r="B29" s="1411">
        <v>12</v>
      </c>
      <c r="C29" s="1355">
        <v>8</v>
      </c>
      <c r="D29" s="1479"/>
      <c r="E29" s="1355"/>
      <c r="F29" s="1355"/>
      <c r="G29" s="1403"/>
      <c r="H29" s="1470"/>
      <c r="I29" s="1517" t="str">
        <f>INDEX(TEMPLATE_NUMBER_POINT_FHD,B29,MATCH(TEMPLATE_SPHERE,TEMPLATE_SPHERE_LIST_FOR_NOTE,0))</f>
        <v>2.3</v>
      </c>
      <c r="J29" s="1517" t="str">
        <f>INDEX(TEMPLATE_DATA_POINT_FHD,B29,MATCH(TEMPLATE_SPHERE,TEMPLATE_SPHERE_LIST_FOR_NOTE,0))</f>
        <v>Расходы на химические реагенты, используемые в технологическом процессе</v>
      </c>
      <c r="K29" s="1517">
        <f>INDEX(TEMPLATE_NOTE_POINT_FHD,B29,MATCH(TEMPLATE_SPHERE,TEMPLATE_SPHERE_LIST_FOR_NOTE,0))</f>
        <v>0</v>
      </c>
      <c r="L29" s="1356" t="str">
        <f>IF(I29=0,"",I29)</f>
        <v>2.3</v>
      </c>
      <c r="M29" s="1356" t="str">
        <f>IF(J29=0,"",J29)</f>
        <v>Расходы на химические реагенты, используемые в технологическом процессе</v>
      </c>
      <c r="N29" s="1356" t="str">
        <f>IF(K29=0,"",K29)</f>
        <v/>
      </c>
      <c r="O29" s="1469" t="s">
        <v>852</v>
      </c>
      <c r="P29" s="1469" t="s">
        <v>428</v>
      </c>
      <c r="Q29" s="1469"/>
      <c r="R29" s="1469" t="s">
        <v>428</v>
      </c>
      <c r="S29" s="1469"/>
      <c r="T29" s="1476"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1358" t="s">
        <v>2187</v>
      </c>
      <c r="V29" s="1358"/>
      <c r="W29" s="1358" t="s">
        <v>2187</v>
      </c>
      <c r="X29" s="1355"/>
      <c r="Y29" s="1512"/>
      <c r="Z29" s="1358"/>
      <c r="AA29" s="1361"/>
      <c r="AB29" s="1358"/>
      <c r="AC29" s="1358"/>
      <c r="AD29" s="1358"/>
    </row>
    <row customHeight="1" ht="54">
      <c r="A30" s="1357"/>
      <c r="B30" s="1411">
        <v>13</v>
      </c>
      <c r="C30" s="1355">
        <v>9</v>
      </c>
      <c r="D30" s="1479"/>
      <c r="E30" s="1355"/>
      <c r="F30" s="1355"/>
      <c r="G30" s="1403"/>
      <c r="H30" s="1470"/>
      <c r="I30" s="1517" t="str">
        <f>INDEX(TEMPLATE_NUMBER_POINT_FHD,B30,MATCH(TEMPLATE_SPHERE,TEMPLATE_SPHERE_LIST_FOR_NOTE,0))</f>
        <v>2.4</v>
      </c>
      <c r="J30" s="1517"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517" t="str">
        <f>INDEX(TEMPLATE_NOTE_POINT_FHD,B30,MATCH(TEMPLATE_SPHERE,TEMPLATE_SPHERE_LIST_FOR_NOTE,0))</f>
        <v>Указывается общая сумма расходов на оплату труда и отчислений на социальные нужды основного производственного персонала.</v>
      </c>
      <c r="L30" s="1356" t="str">
        <f>IF(I30=0,"",I30)</f>
        <v>2.4</v>
      </c>
      <c r="M30" s="1356"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1356" t="str">
        <f>IF(K30=0,"",K30)</f>
        <v>Указывается общая сумма расходов на оплату труда и отчислений на социальные нужды основного производственного персонала.</v>
      </c>
      <c r="O30" s="1469" t="s">
        <v>854</v>
      </c>
      <c r="P30" s="1469" t="s">
        <v>845</v>
      </c>
      <c r="Q30" s="1469" t="s">
        <v>854</v>
      </c>
      <c r="R30" s="1469" t="s">
        <v>845</v>
      </c>
      <c r="S30" s="1469"/>
      <c r="T30" s="1476" t="s">
        <v>2188</v>
      </c>
      <c r="U30" s="1358" t="s">
        <v>2188</v>
      </c>
      <c r="V30" s="1358" t="s">
        <v>2188</v>
      </c>
      <c r="W30" s="1358" t="s">
        <v>2188</v>
      </c>
      <c r="X30" s="1355"/>
      <c r="Y30" s="1512"/>
      <c r="Z30" s="1358"/>
      <c r="AA30" s="1361" t="s">
        <v>2189</v>
      </c>
      <c r="AB30" s="1361" t="s">
        <v>2189</v>
      </c>
      <c r="AC30" s="1361" t="s">
        <v>2189</v>
      </c>
      <c r="AD30" s="1358"/>
    </row>
    <row customHeight="1" ht="18">
      <c r="A31" s="1357"/>
      <c r="B31" s="1411">
        <v>14</v>
      </c>
      <c r="C31" s="1355" t="s">
        <v>2190</v>
      </c>
      <c r="D31" s="1479"/>
      <c r="E31" s="1355"/>
      <c r="F31" s="1355"/>
      <c r="G31" s="1403"/>
      <c r="H31" s="1470"/>
      <c r="I31" s="1517" t="str">
        <f>INDEX(TEMPLATE_NUMBER_POINT_FHD,B31,MATCH(TEMPLATE_SPHERE,TEMPLATE_SPHERE_LIST_FOR_NOTE,0))</f>
        <v>2.4.1</v>
      </c>
      <c r="J31" s="1517" t="str">
        <f>INDEX(TEMPLATE_DATA_POINT_FHD,B31,MATCH(TEMPLATE_SPHERE,TEMPLATE_SPHERE_LIST_FOR_NOTE,0))</f>
        <v>Расходы на оплату труда основного производственного персонала</v>
      </c>
      <c r="K31" s="1517">
        <f>INDEX(TEMPLATE_NOTE_POINT_FHD,B31,MATCH(TEMPLATE_SPHERE,TEMPLATE_SPHERE_LIST_FOR_NOTE,0))</f>
        <v>0</v>
      </c>
      <c r="L31" s="1356" t="str">
        <f>IF(I31=0,"",I31)</f>
        <v>2.4.1</v>
      </c>
      <c r="M31" s="1356" t="str">
        <f>IF(J31=0,"",J31)</f>
        <v>Расходы на оплату труда основного производственного персонала</v>
      </c>
      <c r="N31" s="1356" t="str">
        <f>IF(K31=0,"",K31)</f>
        <v/>
      </c>
      <c r="O31" s="1469" t="s">
        <v>2191</v>
      </c>
      <c r="P31" s="1469" t="s">
        <v>848</v>
      </c>
      <c r="Q31" s="1469" t="s">
        <v>2191</v>
      </c>
      <c r="R31" s="1469" t="s">
        <v>848</v>
      </c>
      <c r="S31" s="1469"/>
      <c r="T31" s="1477" t="s">
        <v>2192</v>
      </c>
      <c r="U31" s="1358" t="s">
        <v>2192</v>
      </c>
      <c r="V31" s="1358" t="s">
        <v>2192</v>
      </c>
      <c r="W31" s="1358" t="s">
        <v>2192</v>
      </c>
      <c r="X31" s="1355"/>
      <c r="Y31" s="1512"/>
      <c r="Z31" s="1358"/>
      <c r="AA31" s="1361"/>
      <c r="AB31" s="1361"/>
      <c r="AC31" s="1361"/>
      <c r="AD31" s="1358"/>
    </row>
    <row customHeight="1" ht="36">
      <c r="A32" s="1357"/>
      <c r="B32" s="1411">
        <v>15</v>
      </c>
      <c r="C32" s="1355" t="s">
        <v>2193</v>
      </c>
      <c r="D32" s="1479"/>
      <c r="E32" s="1355"/>
      <c r="F32" s="1355"/>
      <c r="G32" s="1403"/>
      <c r="H32" s="1470"/>
      <c r="I32" s="1517" t="str">
        <f>INDEX(TEMPLATE_NUMBER_POINT_FHD,B32,MATCH(TEMPLATE_SPHERE,TEMPLATE_SPHERE_LIST_FOR_NOTE,0))</f>
        <v>2.4.2</v>
      </c>
      <c r="J32" s="1517"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517">
        <f>INDEX(TEMPLATE_NOTE_POINT_FHD,B32,MATCH(TEMPLATE_SPHERE,TEMPLATE_SPHERE_LIST_FOR_NOTE,0))</f>
        <v>0</v>
      </c>
      <c r="L32" s="1356" t="str">
        <f>IF(I32=0,"",I32)</f>
        <v>2.4.2</v>
      </c>
      <c r="M32" s="1356" t="str">
        <f>IF(J32=0,"",J32)</f>
        <v>Страховые взносы на обязательное социальное страхование, выплачиваемые из фонда оплаты труда основного производственного персонала</v>
      </c>
      <c r="N32" s="1356" t="str">
        <f>IF(K32=0,"",K32)</f>
        <v/>
      </c>
      <c r="O32" s="1469" t="s">
        <v>2194</v>
      </c>
      <c r="P32" s="1469" t="s">
        <v>850</v>
      </c>
      <c r="Q32" s="1469" t="s">
        <v>2194</v>
      </c>
      <c r="R32" s="1469" t="s">
        <v>850</v>
      </c>
      <c r="S32" s="1469"/>
      <c r="T32" s="1478"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1358" t="s">
        <v>2195</v>
      </c>
      <c r="V32" s="1358" t="s">
        <v>2195</v>
      </c>
      <c r="W32" s="1358" t="s">
        <v>2195</v>
      </c>
      <c r="X32" s="1355"/>
      <c r="Y32" s="1512"/>
      <c r="Z32" s="1358"/>
      <c r="AA32" s="1361"/>
      <c r="AB32" s="1361"/>
      <c r="AC32" s="1361"/>
      <c r="AD32" s="1358"/>
    </row>
    <row customHeight="1" ht="45">
      <c r="A33" s="1357"/>
      <c r="B33" s="1411">
        <v>16</v>
      </c>
      <c r="C33" s="1355">
        <v>10</v>
      </c>
      <c r="D33" s="1479"/>
      <c r="E33" s="1355"/>
      <c r="F33" s="1355"/>
      <c r="G33" s="1403"/>
      <c r="H33" s="1470"/>
      <c r="I33" s="1517" t="str">
        <f>INDEX(TEMPLATE_NUMBER_POINT_FHD,B33,MATCH(TEMPLATE_SPHERE,TEMPLATE_SPHERE_LIST_FOR_NOTE,0))</f>
        <v>2.5</v>
      </c>
      <c r="J33" s="1517"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1517" t="str">
        <f>INDEX(TEMPLATE_NOTE_POINT_FHD,B33,MATCH(TEMPLATE_SPHERE,TEMPLATE_SPHERE_LIST_FOR_NOTE,0))</f>
        <v>Указывается общая сумма расходов на оплату труда и отчислений на социальные нужды административно-управленческого персонала.</v>
      </c>
      <c r="L33" s="1356" t="str">
        <f>IF(I33=0,"",I33)</f>
        <v>2.5</v>
      </c>
      <c r="M33" s="1356"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1356" t="str">
        <f>IF(K33=0,"",K33)</f>
        <v>Указывается общая сумма расходов на оплату труда и отчислений на социальные нужды административно-управленческого персонала.</v>
      </c>
      <c r="O33" s="1469" t="s">
        <v>856</v>
      </c>
      <c r="P33" s="1469" t="s">
        <v>852</v>
      </c>
      <c r="Q33" s="1469" t="s">
        <v>856</v>
      </c>
      <c r="R33" s="1469" t="s">
        <v>852</v>
      </c>
      <c r="S33" s="1469"/>
      <c r="T33" s="1477"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1358" t="s">
        <v>2196</v>
      </c>
      <c r="V33" s="1358" t="s">
        <v>2196</v>
      </c>
      <c r="W33" s="1358" t="s">
        <v>2197</v>
      </c>
      <c r="X33" s="1355"/>
      <c r="Y33" s="1512"/>
      <c r="Z33" s="1358"/>
      <c r="AA33" s="1361" t="s">
        <v>2198</v>
      </c>
      <c r="AB33" s="1361" t="s">
        <v>2198</v>
      </c>
      <c r="AC33" s="1361" t="s">
        <v>2198</v>
      </c>
      <c r="AD33" s="1358"/>
    </row>
    <row customHeight="1" ht="27">
      <c r="A34" s="1357"/>
      <c r="B34" s="1411">
        <v>17</v>
      </c>
      <c r="C34" s="1355" t="s">
        <v>2199</v>
      </c>
      <c r="D34" s="1479"/>
      <c r="E34" s="1355"/>
      <c r="F34" s="1355"/>
      <c r="G34" s="1403"/>
      <c r="H34" s="1470"/>
      <c r="I34" s="1517" t="str">
        <f>INDEX(TEMPLATE_NUMBER_POINT_FHD,B34,MATCH(TEMPLATE_SPHERE,TEMPLATE_SPHERE_LIST_FOR_NOTE,0))</f>
        <v>2.5.1</v>
      </c>
      <c r="J34" s="1517" t="str">
        <f>INDEX(TEMPLATE_DATA_POINT_FHD,B34,MATCH(TEMPLATE_SPHERE,TEMPLATE_SPHERE_LIST_FOR_NOTE,0))</f>
        <v>Расходы на оплату труда административно-управленческого персонала, в том числе:</v>
      </c>
      <c r="K34" s="1517">
        <f>INDEX(TEMPLATE_NOTE_POINT_FHD,B34,MATCH(TEMPLATE_SPHERE,TEMPLATE_SPHERE_LIST_FOR_NOTE,0))</f>
        <v>0</v>
      </c>
      <c r="L34" s="1356" t="str">
        <f>IF(I34=0,"",I34)</f>
        <v>2.5.1</v>
      </c>
      <c r="M34" s="1356" t="str">
        <f>IF(J34=0,"",J34)</f>
        <v>Расходы на оплату труда административно-управленческого персонала, в том числе:</v>
      </c>
      <c r="N34" s="1356" t="str">
        <f>IF(K34=0,"",K34)</f>
        <v/>
      </c>
      <c r="O34" s="1469" t="s">
        <v>2200</v>
      </c>
      <c r="P34" s="1469" t="s">
        <v>2182</v>
      </c>
      <c r="Q34" s="1469" t="s">
        <v>2200</v>
      </c>
      <c r="R34" s="1469" t="s">
        <v>2182</v>
      </c>
      <c r="S34" s="1469"/>
      <c r="T34" s="1478" t="s">
        <v>2201</v>
      </c>
      <c r="U34" s="1358" t="s">
        <v>2201</v>
      </c>
      <c r="V34" s="1358" t="s">
        <v>2201</v>
      </c>
      <c r="W34" s="1358" t="s">
        <v>2202</v>
      </c>
      <c r="X34" s="1355"/>
      <c r="Y34" s="1512"/>
      <c r="Z34" s="1358"/>
      <c r="AA34" s="1361"/>
      <c r="AB34" s="1358"/>
      <c r="AC34" s="1358"/>
      <c r="AD34" s="1358"/>
    </row>
    <row customHeight="1" ht="45">
      <c r="A35" s="1357"/>
      <c r="B35" s="1411">
        <v>18</v>
      </c>
      <c r="C35" s="1355" t="s">
        <v>2203</v>
      </c>
      <c r="D35" s="1479"/>
      <c r="E35" s="1355"/>
      <c r="F35" s="1355"/>
      <c r="G35" s="1403"/>
      <c r="H35" s="1470"/>
      <c r="I35" s="1517" t="str">
        <f>INDEX(TEMPLATE_NUMBER_POINT_FHD,B35,MATCH(TEMPLATE_SPHERE,TEMPLATE_SPHERE_LIST_FOR_NOTE,0))</f>
        <v>2.5.2</v>
      </c>
      <c r="J35" s="1517"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517">
        <f>INDEX(TEMPLATE_NOTE_POINT_FHD,B35,MATCH(TEMPLATE_SPHERE,TEMPLATE_SPHERE_LIST_FOR_NOTE,0))</f>
        <v>0</v>
      </c>
      <c r="L35" s="1356" t="str">
        <f>IF(I35=0,"",I35)</f>
        <v>2.5.2</v>
      </c>
      <c r="M35" s="1356" t="str">
        <f>IF(J35=0,"",J35)</f>
        <v>Страховые взносы на обязательное социальное страхование, выплачиваемые из фонда оплаты труда административно-управленческого персонала</v>
      </c>
      <c r="N35" s="1356" t="str">
        <f>IF(K35=0,"",K35)</f>
        <v/>
      </c>
      <c r="O35" s="1469" t="s">
        <v>2204</v>
      </c>
      <c r="P35" s="1469" t="s">
        <v>2184</v>
      </c>
      <c r="Q35" s="1469" t="s">
        <v>2204</v>
      </c>
      <c r="R35" s="1469" t="s">
        <v>2184</v>
      </c>
      <c r="S35" s="1469"/>
      <c r="T35" s="1476"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1358" t="s">
        <v>2205</v>
      </c>
      <c r="V35" s="1358" t="s">
        <v>2205</v>
      </c>
      <c r="W35" s="1358" t="s">
        <v>2205</v>
      </c>
      <c r="X35" s="1355"/>
      <c r="Y35" s="1512"/>
      <c r="Z35" s="1358"/>
      <c r="AA35" s="1361"/>
      <c r="AB35" s="1358"/>
      <c r="AC35" s="1358"/>
      <c r="AD35" s="1358"/>
    </row>
    <row customHeight="1" ht="18">
      <c r="A36" s="1357"/>
      <c r="B36" s="1411">
        <v>19</v>
      </c>
      <c r="C36" s="1355">
        <v>11</v>
      </c>
      <c r="D36" s="1479"/>
      <c r="E36" s="1355"/>
      <c r="F36" s="1355"/>
      <c r="G36" s="1403"/>
      <c r="H36" s="1470"/>
      <c r="I36" s="1517" t="str">
        <f>INDEX(TEMPLATE_NUMBER_POINT_FHD,B36,MATCH(TEMPLATE_SPHERE,TEMPLATE_SPHERE_LIST_FOR_NOTE,0))</f>
        <v>2.6</v>
      </c>
      <c r="J36" s="1517" t="str">
        <f>INDEX(TEMPLATE_DATA_POINT_FHD,B36,MATCH(TEMPLATE_SPHERE,TEMPLATE_SPHERE_LIST_FOR_NOTE,0))</f>
        <v>Расходы на амортизацию основных средств и нематериальных активов</v>
      </c>
      <c r="K36" s="1517">
        <f>INDEX(TEMPLATE_NOTE_POINT_FHD,B36,MATCH(TEMPLATE_SPHERE,TEMPLATE_SPHERE_LIST_FOR_NOTE,0))</f>
        <v>0</v>
      </c>
      <c r="L36" s="1356" t="str">
        <f>IF(I36=0,"",I36)</f>
        <v>2.6</v>
      </c>
      <c r="M36" s="1356" t="str">
        <f>IF(J36=0,"",J36)</f>
        <v>Расходы на амортизацию основных средств и нематериальных активов</v>
      </c>
      <c r="N36" s="1356" t="str">
        <f>IF(K36=0,"",K36)</f>
        <v/>
      </c>
      <c r="O36" s="1469" t="s">
        <v>858</v>
      </c>
      <c r="P36" s="1469" t="s">
        <v>854</v>
      </c>
      <c r="Q36" s="1469" t="s">
        <v>858</v>
      </c>
      <c r="R36" s="1469" t="s">
        <v>854</v>
      </c>
      <c r="S36" s="1469"/>
      <c r="T36" s="1476" t="s">
        <v>2206</v>
      </c>
      <c r="U36" s="1358" t="s">
        <v>2206</v>
      </c>
      <c r="V36" s="1358" t="s">
        <v>2206</v>
      </c>
      <c r="W36" s="1358" t="s">
        <v>2206</v>
      </c>
      <c r="X36" s="1355"/>
      <c r="Y36" s="1512"/>
      <c r="Z36" s="1358"/>
      <c r="AA36" s="1361"/>
      <c r="AB36" s="1358"/>
      <c r="AC36" s="1358"/>
      <c r="AD36" s="1358"/>
    </row>
    <row customHeight="1" ht="18">
      <c r="A37" s="1357"/>
      <c r="B37" s="1411">
        <v>20</v>
      </c>
      <c r="C37" s="1355" t="s">
        <v>2207</v>
      </c>
      <c r="D37" s="1479"/>
      <c r="E37" s="1355"/>
      <c r="F37" s="1355"/>
      <c r="G37" s="1403"/>
      <c r="H37" s="1470"/>
      <c r="I37" s="1517" t="str">
        <f>INDEX(TEMPLATE_NUMBER_POINT_FHD,B37,MATCH(TEMPLATE_SPHERE,TEMPLATE_SPHERE_LIST_FOR_NOTE,0))</f>
        <v>2.6.1</v>
      </c>
      <c r="J37" s="1517" t="str">
        <f>INDEX(TEMPLATE_DATA_POINT_FHD,B37,MATCH(TEMPLATE_SPHERE,TEMPLATE_SPHERE_LIST_FOR_NOTE,0))</f>
        <v>Расходы на амортизацию основных средств</v>
      </c>
      <c r="K37" s="1517">
        <f>INDEX(TEMPLATE_NOTE_POINT_FHD,B37,MATCH(TEMPLATE_SPHERE,TEMPLATE_SPHERE_LIST_FOR_NOTE,0))</f>
        <v>0</v>
      </c>
      <c r="L37" s="1356" t="str">
        <f>IF(I37=0,"",I37)</f>
        <v>2.6.1</v>
      </c>
      <c r="M37" s="1356" t="str">
        <f>IF(J37=0,"",J37)</f>
        <v>Расходы на амортизацию основных средств</v>
      </c>
      <c r="N37" s="1356" t="str">
        <f>IF(K37=0,"",K37)</f>
        <v/>
      </c>
      <c r="O37" s="1469" t="s">
        <v>2208</v>
      </c>
      <c r="P37" s="1469" t="s">
        <v>2191</v>
      </c>
      <c r="Q37" s="1469" t="s">
        <v>2208</v>
      </c>
      <c r="R37" s="1469" t="s">
        <v>2191</v>
      </c>
      <c r="S37" s="1469"/>
      <c r="T37" s="1476" t="s">
        <v>2209</v>
      </c>
      <c r="U37" s="1358" t="s">
        <v>2209</v>
      </c>
      <c r="V37" s="1358" t="s">
        <v>2209</v>
      </c>
      <c r="W37" s="1358" t="s">
        <v>2209</v>
      </c>
      <c r="X37" s="1355"/>
      <c r="Y37" s="1512"/>
      <c r="Z37" s="1358"/>
      <c r="AA37" s="1361"/>
      <c r="AB37" s="1358"/>
      <c r="AC37" s="1358"/>
      <c r="AD37" s="1358"/>
    </row>
    <row customHeight="1" ht="18">
      <c r="A38" s="1357"/>
      <c r="B38" s="1411">
        <v>21</v>
      </c>
      <c r="C38" s="1355" t="s">
        <v>2210</v>
      </c>
      <c r="D38" s="1479"/>
      <c r="E38" s="1355"/>
      <c r="F38" s="1355"/>
      <c r="G38" s="1403"/>
      <c r="H38" s="1470"/>
      <c r="I38" s="1517" t="str">
        <f>INDEX(TEMPLATE_NUMBER_POINT_FHD,B38,MATCH(TEMPLATE_SPHERE,TEMPLATE_SPHERE_LIST_FOR_NOTE,0))</f>
        <v>2.6.2</v>
      </c>
      <c r="J38" s="1517" t="str">
        <f>INDEX(TEMPLATE_DATA_POINT_FHD,B38,MATCH(TEMPLATE_SPHERE,TEMPLATE_SPHERE_LIST_FOR_NOTE,0))</f>
        <v>Расходы на амортизацию нематериальных активов</v>
      </c>
      <c r="K38" s="1517">
        <f>INDEX(TEMPLATE_NOTE_POINT_FHD,B38,MATCH(TEMPLATE_SPHERE,TEMPLATE_SPHERE_LIST_FOR_NOTE,0))</f>
        <v>0</v>
      </c>
      <c r="L38" s="1356" t="str">
        <f>IF(I38=0,"",I38)</f>
        <v>2.6.2</v>
      </c>
      <c r="M38" s="1356" t="str">
        <f>IF(J38=0,"",J38)</f>
        <v>Расходы на амортизацию нематериальных активов</v>
      </c>
      <c r="N38" s="1356" t="str">
        <f>IF(K38=0,"",K38)</f>
        <v/>
      </c>
      <c r="O38" s="1469" t="s">
        <v>2211</v>
      </c>
      <c r="P38" s="1469" t="s">
        <v>2194</v>
      </c>
      <c r="Q38" s="1469" t="s">
        <v>2211</v>
      </c>
      <c r="R38" s="1469" t="s">
        <v>2194</v>
      </c>
      <c r="S38" s="1469"/>
      <c r="T38" s="1476" t="s">
        <v>2212</v>
      </c>
      <c r="U38" s="1358" t="s">
        <v>2212</v>
      </c>
      <c r="V38" s="1358" t="s">
        <v>2212</v>
      </c>
      <c r="W38" s="1358" t="s">
        <v>2212</v>
      </c>
      <c r="X38" s="1355"/>
      <c r="Y38" s="1512"/>
      <c r="Z38" s="1358"/>
      <c r="AA38" s="1361"/>
      <c r="AB38" s="1358"/>
      <c r="AC38" s="1358"/>
      <c r="AD38" s="1358"/>
    </row>
    <row customHeight="1" ht="36">
      <c r="A39" s="1357"/>
      <c r="B39" s="1411">
        <v>22</v>
      </c>
      <c r="C39" s="1355">
        <v>12</v>
      </c>
      <c r="D39" s="1479"/>
      <c r="E39" s="1355"/>
      <c r="F39" s="1355"/>
      <c r="G39" s="1403"/>
      <c r="H39" s="1470"/>
      <c r="I39" s="1517" t="str">
        <f>INDEX(TEMPLATE_NUMBER_POINT_FHD,B39,MATCH(TEMPLATE_SPHERE,TEMPLATE_SPHERE_LIST_FOR_NOTE,0))</f>
        <v>2.7</v>
      </c>
      <c r="J39" s="1517" t="str">
        <f>INDEX(TEMPLATE_DATA_POINT_FHD,B39,MATCH(TEMPLATE_SPHERE,TEMPLATE_SPHERE_LIST_FOR_NOTE,0))</f>
        <v>Расходы на аренду имущества, используемого для осуществления регулируемых видов деятельности в сфере водоотведения</v>
      </c>
      <c r="K39" s="1517">
        <f>INDEX(TEMPLATE_NOTE_POINT_FHD,B39,MATCH(TEMPLATE_SPHERE,TEMPLATE_SPHERE_LIST_FOR_NOTE,0))</f>
        <v>0</v>
      </c>
      <c r="L39" s="1356" t="str">
        <f>IF(I39=0,"",I39)</f>
        <v>2.7</v>
      </c>
      <c r="M39" s="1356" t="str">
        <f>IF(J39=0,"",J39)</f>
        <v>Расходы на аренду имущества, используемого для осуществления регулируемых видов деятельности в сфере водоотведения</v>
      </c>
      <c r="N39" s="1356" t="str">
        <f>IF(K39=0,"",K39)</f>
        <v/>
      </c>
      <c r="O39" s="1469" t="s">
        <v>862</v>
      </c>
      <c r="P39" s="1469" t="s">
        <v>856</v>
      </c>
      <c r="Q39" s="1469" t="s">
        <v>862</v>
      </c>
      <c r="R39" s="1469" t="s">
        <v>856</v>
      </c>
      <c r="S39" s="1469"/>
      <c r="T39" s="1476" t="s">
        <v>2213</v>
      </c>
      <c r="U39" s="1358" t="s">
        <v>2214</v>
      </c>
      <c r="V39" s="1358" t="s">
        <v>2215</v>
      </c>
      <c r="W39" s="1358" t="s">
        <v>2216</v>
      </c>
      <c r="X39" s="1355"/>
      <c r="Y39" s="1512"/>
      <c r="Z39" s="1358"/>
      <c r="AA39" s="1361"/>
      <c r="AB39" s="1358"/>
      <c r="AC39" s="1358"/>
      <c r="AD39" s="1358"/>
    </row>
    <row customHeight="1" ht="18">
      <c r="A40" s="1357"/>
      <c r="B40" s="1411">
        <v>23</v>
      </c>
      <c r="C40" s="1355">
        <v>13</v>
      </c>
      <c r="D40" s="1479"/>
      <c r="E40" s="1355"/>
      <c r="F40" s="1355"/>
      <c r="G40" s="1355"/>
      <c r="H40" s="1406"/>
      <c r="I40" s="1517" t="str">
        <f>INDEX(TEMPLATE_NUMBER_POINT_FHD,B40,MATCH(TEMPLATE_SPHERE,TEMPLATE_SPHERE_LIST_FOR_NOTE,0))</f>
        <v>2.8</v>
      </c>
      <c r="J40" s="1517" t="str">
        <f>INDEX(TEMPLATE_DATA_POINT_FHD,B40,MATCH(TEMPLATE_SPHERE,TEMPLATE_SPHERE_LIST_FOR_NOTE,0))</f>
        <v>Общепроизводственные расходы, в том числе:</v>
      </c>
      <c r="K40" s="1517" t="str">
        <f>INDEX(TEMPLATE_NOTE_POINT_FHD,B40,MATCH(TEMPLATE_SPHERE,TEMPLATE_SPHERE_LIST_FOR_NOTE,0))</f>
        <v>Указывается общая сумма общепроизводственных расходов.</v>
      </c>
      <c r="L40" s="1356" t="str">
        <f>IF(I40=0,"",I40)</f>
        <v>2.8</v>
      </c>
      <c r="M40" s="1356" t="str">
        <f>IF(J40=0,"",J40)</f>
        <v>Общепроизводственные расходы, в том числе:</v>
      </c>
      <c r="N40" s="1356" t="str">
        <f>IF(K40=0,"",K40)</f>
        <v>Указывается общая сумма общепроизводственных расходов.</v>
      </c>
      <c r="O40" s="1469" t="s">
        <v>2217</v>
      </c>
      <c r="P40" s="1469" t="s">
        <v>858</v>
      </c>
      <c r="Q40" s="1469" t="s">
        <v>2217</v>
      </c>
      <c r="R40" s="1469" t="s">
        <v>858</v>
      </c>
      <c r="S40" s="1469"/>
      <c r="T40" s="1355" t="s">
        <v>2218</v>
      </c>
      <c r="U40" s="1355" t="s">
        <v>2218</v>
      </c>
      <c r="V40" s="1355" t="s">
        <v>2218</v>
      </c>
      <c r="W40" s="1355" t="s">
        <v>2218</v>
      </c>
      <c r="X40" s="1355"/>
      <c r="Y40" s="1512"/>
      <c r="Z40" s="1358" t="s">
        <v>2219</v>
      </c>
      <c r="AA40" s="1361" t="s">
        <v>2219</v>
      </c>
      <c r="AB40" s="1361" t="s">
        <v>2219</v>
      </c>
      <c r="AC40" s="1361" t="s">
        <v>2219</v>
      </c>
      <c r="AD40" s="1358"/>
    </row>
    <row customHeight="1" ht="27">
      <c r="A41" s="1357"/>
      <c r="B41" s="1411">
        <v>24</v>
      </c>
      <c r="C41" s="1355" t="s">
        <v>2220</v>
      </c>
      <c r="D41" s="1479"/>
      <c r="E41" s="1355"/>
      <c r="F41" s="1355"/>
      <c r="G41" s="1355"/>
      <c r="H41" s="1403"/>
      <c r="I41" s="1517" t="str">
        <f>INDEX(TEMPLATE_NUMBER_POINT_FHD,B41,MATCH(TEMPLATE_SPHERE,TEMPLATE_SPHERE_LIST_FOR_NOTE,0))</f>
        <v>2.8.1</v>
      </c>
      <c r="J41" s="1517" t="str">
        <f>INDEX(TEMPLATE_DATA_POINT_FHD,B41,MATCH(TEMPLATE_SPHERE,TEMPLATE_SPHERE_LIST_FOR_NOTE,0))</f>
        <v>Расходы на текущий ремонт</v>
      </c>
      <c r="K41" s="1517" t="str">
        <f>INDEX(TEMPLATE_NOTE_POINT_FHD,B41,MATCH(TEMPLATE_SPHERE,TEMPLATE_SPHERE_LIST_FOR_NOTE,0))</f>
        <v>Указываются расходы на текущий ремонт, отнесенные к общепроизводственным расходам.</v>
      </c>
      <c r="L41" s="1356" t="str">
        <f>IF(I41=0,"",I41)</f>
        <v>2.8.1</v>
      </c>
      <c r="M41" s="1356" t="str">
        <f>IF(J41=0,"",J41)</f>
        <v>Расходы на текущий ремонт</v>
      </c>
      <c r="N41" s="1356" t="str">
        <f>IF(K41=0,"",K41)</f>
        <v>Указываются расходы на текущий ремонт, отнесенные к общепроизводственным расходам.</v>
      </c>
      <c r="O41" s="1469" t="s">
        <v>2221</v>
      </c>
      <c r="P41" s="1469" t="s">
        <v>2208</v>
      </c>
      <c r="Q41" s="1469" t="s">
        <v>2221</v>
      </c>
      <c r="R41" s="1469" t="s">
        <v>2208</v>
      </c>
      <c r="S41" s="1469"/>
      <c r="T41" s="1355" t="s">
        <v>2222</v>
      </c>
      <c r="U41" s="1355" t="s">
        <v>2222</v>
      </c>
      <c r="V41" s="1355" t="s">
        <v>2222</v>
      </c>
      <c r="W41" s="1355" t="s">
        <v>2222</v>
      </c>
      <c r="X41" s="1355"/>
      <c r="Y41" s="1512"/>
      <c r="Z41" s="1358" t="s">
        <v>2223</v>
      </c>
      <c r="AA41" s="1358" t="s">
        <v>2223</v>
      </c>
      <c r="AB41" s="1358" t="s">
        <v>2223</v>
      </c>
      <c r="AC41" s="1358" t="s">
        <v>2223</v>
      </c>
      <c r="AD41" s="1358"/>
    </row>
    <row customHeight="1" ht="27">
      <c r="A42" s="1357"/>
      <c r="B42" s="1411">
        <v>25</v>
      </c>
      <c r="C42" s="1355" t="s">
        <v>2224</v>
      </c>
      <c r="D42" s="1479"/>
      <c r="E42" s="1355"/>
      <c r="F42" s="1355"/>
      <c r="G42" s="1355"/>
      <c r="H42" s="1403"/>
      <c r="I42" s="1517" t="str">
        <f>INDEX(TEMPLATE_NUMBER_POINT_FHD,B42,MATCH(TEMPLATE_SPHERE,TEMPLATE_SPHERE_LIST_FOR_NOTE,0))</f>
        <v>2.8.2</v>
      </c>
      <c r="J42" s="1517" t="str">
        <f>INDEX(TEMPLATE_DATA_POINT_FHD,B42,MATCH(TEMPLATE_SPHERE,TEMPLATE_SPHERE_LIST_FOR_NOTE,0))</f>
        <v>Расходы на капитальный ремонт</v>
      </c>
      <c r="K42" s="1517" t="str">
        <f>INDEX(TEMPLATE_NOTE_POINT_FHD,B42,MATCH(TEMPLATE_SPHERE,TEMPLATE_SPHERE_LIST_FOR_NOTE,0))</f>
        <v>Указываются расходы на капитальный ремонт, отнесенные к общепроизводственным расходам.</v>
      </c>
      <c r="L42" s="1356" t="str">
        <f>IF(I42=0,"",I42)</f>
        <v>2.8.2</v>
      </c>
      <c r="M42" s="1356" t="str">
        <f>IF(J42=0,"",J42)</f>
        <v>Расходы на капитальный ремонт</v>
      </c>
      <c r="N42" s="1356" t="str">
        <f>IF(K42=0,"",K42)</f>
        <v>Указываются расходы на капитальный ремонт, отнесенные к общепроизводственным расходам.</v>
      </c>
      <c r="O42" s="1469" t="s">
        <v>2225</v>
      </c>
      <c r="P42" s="1469" t="s">
        <v>2211</v>
      </c>
      <c r="Q42" s="1469" t="s">
        <v>2225</v>
      </c>
      <c r="R42" s="1469" t="s">
        <v>2211</v>
      </c>
      <c r="S42" s="1469"/>
      <c r="T42" s="1355" t="s">
        <v>2226</v>
      </c>
      <c r="U42" s="1355" t="s">
        <v>2226</v>
      </c>
      <c r="V42" s="1355" t="s">
        <v>2226</v>
      </c>
      <c r="W42" s="1355" t="s">
        <v>2226</v>
      </c>
      <c r="X42" s="1355"/>
      <c r="Y42" s="1512"/>
      <c r="Z42" s="1358" t="s">
        <v>2227</v>
      </c>
      <c r="AA42" s="1358" t="s">
        <v>2227</v>
      </c>
      <c r="AB42" s="1358" t="s">
        <v>2227</v>
      </c>
      <c r="AC42" s="1358" t="s">
        <v>2227</v>
      </c>
      <c r="AD42" s="1358"/>
    </row>
    <row customHeight="1" ht="18">
      <c r="A43" s="1357"/>
      <c r="B43" s="1411">
        <v>26</v>
      </c>
      <c r="C43" s="1355">
        <v>14</v>
      </c>
      <c r="D43" s="1479"/>
      <c r="E43" s="1355"/>
      <c r="F43" s="1355"/>
      <c r="G43" s="1355"/>
      <c r="H43" s="1403"/>
      <c r="I43" s="1517" t="str">
        <f>INDEX(TEMPLATE_NUMBER_POINT_FHD,B43,MATCH(TEMPLATE_SPHERE,TEMPLATE_SPHERE_LIST_FOR_NOTE,0))</f>
        <v>2.9</v>
      </c>
      <c r="J43" s="1517" t="str">
        <f>INDEX(TEMPLATE_DATA_POINT_FHD,B43,MATCH(TEMPLATE_SPHERE,TEMPLATE_SPHERE_LIST_FOR_NOTE,0))</f>
        <v>Общехозяйственные расходы, в том числе:</v>
      </c>
      <c r="K43" s="1517" t="str">
        <f>INDEX(TEMPLATE_NOTE_POINT_FHD,B43,MATCH(TEMPLATE_SPHERE,TEMPLATE_SPHERE_LIST_FOR_NOTE,0))</f>
        <v>Указывается общая сумма общехозяйственных расходов.</v>
      </c>
      <c r="L43" s="1356" t="str">
        <f>IF(I43=0,"",I43)</f>
        <v>2.9</v>
      </c>
      <c r="M43" s="1356" t="str">
        <f>IF(J43=0,"",J43)</f>
        <v>Общехозяйственные расходы, в том числе:</v>
      </c>
      <c r="N43" s="1356" t="str">
        <f>IF(K43=0,"",K43)</f>
        <v>Указывается общая сумма общехозяйственных расходов.</v>
      </c>
      <c r="O43" s="1469" t="s">
        <v>2228</v>
      </c>
      <c r="P43" s="1469" t="s">
        <v>862</v>
      </c>
      <c r="Q43" s="1469" t="s">
        <v>2228</v>
      </c>
      <c r="R43" s="1469" t="s">
        <v>862</v>
      </c>
      <c r="S43" s="1469"/>
      <c r="T43" s="1355" t="s">
        <v>2229</v>
      </c>
      <c r="U43" s="1355" t="s">
        <v>2229</v>
      </c>
      <c r="V43" s="1355" t="s">
        <v>2229</v>
      </c>
      <c r="W43" s="1355" t="s">
        <v>2229</v>
      </c>
      <c r="X43" s="1355"/>
      <c r="Y43" s="1512"/>
      <c r="Z43" s="1358" t="s">
        <v>2230</v>
      </c>
      <c r="AA43" s="1358" t="s">
        <v>2230</v>
      </c>
      <c r="AB43" s="1358" t="s">
        <v>2230</v>
      </c>
      <c r="AC43" s="1358" t="s">
        <v>2230</v>
      </c>
      <c r="AD43" s="1358"/>
    </row>
    <row customHeight="1" ht="27">
      <c r="A44" s="1357"/>
      <c r="B44" s="1411">
        <v>27</v>
      </c>
      <c r="C44" s="1355" t="s">
        <v>2231</v>
      </c>
      <c r="D44" s="1479"/>
      <c r="E44" s="1355"/>
      <c r="F44" s="1355"/>
      <c r="G44" s="1355"/>
      <c r="H44" s="1403"/>
      <c r="I44" s="1517" t="str">
        <f>INDEX(TEMPLATE_NUMBER_POINT_FHD,B44,MATCH(TEMPLATE_SPHERE,TEMPLATE_SPHERE_LIST_FOR_NOTE,0))</f>
        <v>2.9.1</v>
      </c>
      <c r="J44" s="1517" t="str">
        <f>INDEX(TEMPLATE_DATA_POINT_FHD,B44,MATCH(TEMPLATE_SPHERE,TEMPLATE_SPHERE_LIST_FOR_NOTE,0))</f>
        <v>Расходы на текущий ремонт</v>
      </c>
      <c r="K44" s="1517" t="str">
        <f>INDEX(TEMPLATE_NOTE_POINT_FHD,B44,MATCH(TEMPLATE_SPHERE,TEMPLATE_SPHERE_LIST_FOR_NOTE,0))</f>
        <v>Указываются расходы на текущий ремонт, отнесенные к общехозяйственным расходам.</v>
      </c>
      <c r="L44" s="1356" t="str">
        <f>IF(I44=0,"",I44)</f>
        <v>2.9.1</v>
      </c>
      <c r="M44" s="1356" t="str">
        <f>IF(J44=0,"",J44)</f>
        <v>Расходы на текущий ремонт</v>
      </c>
      <c r="N44" s="1356" t="str">
        <f>IF(K44=0,"",K44)</f>
        <v>Указываются расходы на текущий ремонт, отнесенные к общехозяйственным расходам.</v>
      </c>
      <c r="O44" s="1469" t="s">
        <v>2232</v>
      </c>
      <c r="P44" s="1469" t="s">
        <v>2233</v>
      </c>
      <c r="Q44" s="1469" t="s">
        <v>2232</v>
      </c>
      <c r="R44" s="1469" t="s">
        <v>2233</v>
      </c>
      <c r="S44" s="1469"/>
      <c r="T44" s="1355" t="s">
        <v>2222</v>
      </c>
      <c r="U44" s="1355" t="s">
        <v>2222</v>
      </c>
      <c r="V44" s="1355" t="s">
        <v>2222</v>
      </c>
      <c r="W44" s="1355" t="s">
        <v>2222</v>
      </c>
      <c r="X44" s="1355"/>
      <c r="Y44" s="1512"/>
      <c r="Z44" s="1358" t="s">
        <v>2234</v>
      </c>
      <c r="AA44" s="1358" t="s">
        <v>2234</v>
      </c>
      <c r="AB44" s="1358" t="s">
        <v>2234</v>
      </c>
      <c r="AC44" s="1358" t="s">
        <v>2234</v>
      </c>
      <c r="AD44" s="1358"/>
    </row>
    <row customHeight="1" ht="27">
      <c r="A45" s="1357"/>
      <c r="B45" s="1411">
        <v>28</v>
      </c>
      <c r="C45" s="1355" t="s">
        <v>2235</v>
      </c>
      <c r="D45" s="1479"/>
      <c r="E45" s="1355"/>
      <c r="F45" s="1355"/>
      <c r="G45" s="1355"/>
      <c r="H45" s="1403"/>
      <c r="I45" s="1517" t="str">
        <f>INDEX(TEMPLATE_NUMBER_POINT_FHD,B45,MATCH(TEMPLATE_SPHERE,TEMPLATE_SPHERE_LIST_FOR_NOTE,0))</f>
        <v>2.9.2</v>
      </c>
      <c r="J45" s="1517" t="str">
        <f>INDEX(TEMPLATE_DATA_POINT_FHD,B45,MATCH(TEMPLATE_SPHERE,TEMPLATE_SPHERE_LIST_FOR_NOTE,0))</f>
        <v>Расходы на капитальный ремонт</v>
      </c>
      <c r="K45" s="1517" t="str">
        <f>INDEX(TEMPLATE_NOTE_POINT_FHD,B45,MATCH(TEMPLATE_SPHERE,TEMPLATE_SPHERE_LIST_FOR_NOTE,0))</f>
        <v>Указываются расходы на капитальный ремонт, отнесенные к общехозяйственным расходам.</v>
      </c>
      <c r="L45" s="1356" t="str">
        <f>IF(I45=0,"",I45)</f>
        <v>2.9.2</v>
      </c>
      <c r="M45" s="1356" t="str">
        <f>IF(J45=0,"",J45)</f>
        <v>Расходы на капитальный ремонт</v>
      </c>
      <c r="N45" s="1356" t="str">
        <f>IF(K45=0,"",K45)</f>
        <v>Указываются расходы на капитальный ремонт, отнесенные к общехозяйственным расходам.</v>
      </c>
      <c r="O45" s="1469" t="s">
        <v>2236</v>
      </c>
      <c r="P45" s="1469" t="s">
        <v>2237</v>
      </c>
      <c r="Q45" s="1469" t="s">
        <v>2236</v>
      </c>
      <c r="R45" s="1469" t="s">
        <v>2237</v>
      </c>
      <c r="S45" s="1469"/>
      <c r="T45" s="1355" t="s">
        <v>2226</v>
      </c>
      <c r="U45" s="1355" t="s">
        <v>2226</v>
      </c>
      <c r="V45" s="1355" t="s">
        <v>2226</v>
      </c>
      <c r="W45" s="1355" t="s">
        <v>2226</v>
      </c>
      <c r="X45" s="1355"/>
      <c r="Y45" s="1512"/>
      <c r="Z45" s="1358" t="s">
        <v>2238</v>
      </c>
      <c r="AA45" s="1358" t="s">
        <v>2238</v>
      </c>
      <c r="AB45" s="1358" t="s">
        <v>2238</v>
      </c>
      <c r="AC45" s="1358" t="s">
        <v>2238</v>
      </c>
      <c r="AD45" s="1358"/>
    </row>
    <row customHeight="1" ht="54">
      <c r="A46" s="1357"/>
      <c r="B46" s="1411">
        <v>29</v>
      </c>
      <c r="C46" s="1355">
        <v>15</v>
      </c>
      <c r="D46" s="1479"/>
      <c r="E46" s="1355"/>
      <c r="F46" s="1355"/>
      <c r="G46" s="1355"/>
      <c r="H46" s="1403"/>
      <c r="I46" s="1517" t="str">
        <f>INDEX(TEMPLATE_NUMBER_POINT_FHD,B46,MATCH(TEMPLATE_SPHERE,TEMPLATE_SPHERE_LIST_FOR_NOTE,0))</f>
        <v>2.10</v>
      </c>
      <c r="J46" s="1517" t="str">
        <f>INDEX(TEMPLATE_DATA_POINT_FHD,B46,MATCH(TEMPLATE_SPHERE,TEMPLATE_SPHERE_LIST_FOR_NOTE,0))</f>
        <v>Расходы на капитальный и текущий ремонт основных средств</v>
      </c>
      <c r="K46" s="1517" t="str">
        <f>INDEX(TEMPLATE_NOTE_POINT_FHD,B46,MATCH(TEMPLATE_SPHERE,TEMPLATE_SPHERE_LIST_FOR_NOTE,0))</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1356" t="str">
        <f>IF(I46=0,"",I46)</f>
        <v>2.10</v>
      </c>
      <c r="M46" s="1356" t="str">
        <f>IF(J46=0,"",J46)</f>
        <v>Расходы на капитальный и текущий ремонт основных средств</v>
      </c>
      <c r="N46" s="1356" t="str">
        <f>IF(K46=0,"",K46)</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1469" t="s">
        <v>2239</v>
      </c>
      <c r="P46" s="1469" t="s">
        <v>2217</v>
      </c>
      <c r="Q46" s="1469" t="s">
        <v>2239</v>
      </c>
      <c r="R46" s="1469" t="s">
        <v>2217</v>
      </c>
      <c r="S46" s="1469"/>
      <c r="T46" s="1356"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1355" t="s">
        <v>2240</v>
      </c>
      <c r="V46" s="1355" t="s">
        <v>2240</v>
      </c>
      <c r="W46" s="1355" t="s">
        <v>2240</v>
      </c>
      <c r="X46" s="1355"/>
      <c r="Y46" s="1512"/>
      <c r="Z46" s="1358" t="s">
        <v>2241</v>
      </c>
      <c r="AA46" s="1358" t="s">
        <v>2242</v>
      </c>
      <c r="AB46" s="1358" t="s">
        <v>2242</v>
      </c>
      <c r="AC46" s="1358" t="s">
        <v>2242</v>
      </c>
      <c r="AD46" s="1358"/>
    </row>
    <row customHeight="1" ht="54">
      <c r="A47" s="1357"/>
      <c r="B47" s="1411">
        <v>30</v>
      </c>
      <c r="C47" s="1355" t="s">
        <v>2243</v>
      </c>
      <c r="D47" s="1479"/>
      <c r="E47" s="1355"/>
      <c r="F47" s="1355"/>
      <c r="G47" s="1355"/>
      <c r="H47" s="1403"/>
      <c r="I47" s="1517" t="str">
        <f>INDEX(TEMPLATE_NUMBER_POINT_FHD,B47,MATCH(TEMPLATE_SPHERE,TEMPLATE_SPHERE_LIST_FOR_NOTE,0))</f>
        <v>2.10.1</v>
      </c>
      <c r="J47" s="1517"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517">
        <f>INDEX(TEMPLATE_NOTE_POINT_FHD,B47,MATCH(TEMPLATE_SPHERE,TEMPLATE_SPHERE_LIST_FOR_NOTE,0))</f>
        <v>0</v>
      </c>
      <c r="L47" s="1356" t="str">
        <f>IF(I47=0,"",I47)</f>
        <v>2.10.1</v>
      </c>
      <c r="M47" s="1356"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1356" t="str">
        <f>IF(K47=0,"",K47)</f>
        <v/>
      </c>
      <c r="O47" s="1469" t="s">
        <v>2244</v>
      </c>
      <c r="P47" s="1469" t="s">
        <v>2221</v>
      </c>
      <c r="Q47" s="1469" t="s">
        <v>2244</v>
      </c>
      <c r="R47" s="1469" t="s">
        <v>2221</v>
      </c>
      <c r="S47" s="1469"/>
      <c r="T47" s="1355" t="s">
        <v>2245</v>
      </c>
      <c r="U47" s="1355" t="s">
        <v>2245</v>
      </c>
      <c r="V47" s="1355" t="s">
        <v>2245</v>
      </c>
      <c r="W47" s="1355" t="s">
        <v>2245</v>
      </c>
      <c r="X47" s="1355"/>
      <c r="Y47" s="1512"/>
      <c r="Z47" s="1358"/>
      <c r="AA47" s="1361"/>
      <c r="AB47" s="1361"/>
      <c r="AC47" s="1361"/>
      <c r="AD47" s="1358"/>
    </row>
    <row customHeight="1" ht="54">
      <c r="A48" s="1357"/>
      <c r="B48" s="1411">
        <v>31</v>
      </c>
      <c r="C48" s="1355">
        <v>16</v>
      </c>
      <c r="D48" s="1479"/>
      <c r="E48" s="1355"/>
      <c r="F48" s="1355"/>
      <c r="G48" s="1355"/>
      <c r="H48" s="1403"/>
      <c r="I48" s="1517" t="str">
        <f>INDEX(TEMPLATE_NUMBER_POINT_FHD,B48,MATCH(TEMPLATE_SPHERE,TEMPLATE_SPHERE_LIST_FOR_NOTE,0))</f>
        <v>2.11</v>
      </c>
      <c r="J48" s="1517" t="str">
        <f>INDEX(TEMPLATE_DATA_POINT_FHD,B48,MATCH(TEMPLATE_SPHERE,TEMPLATE_SPHERE_LIST_FOR_NOTE,0))</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1517" t="str">
        <f>INDEX(TEMPLATE_NOTE_POINT_FHD,B48,MATCH(TEMPLATE_SPHERE,TEMPLATE_SPHERE_LIST_FOR_NOTE,0))</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1356" t="str">
        <f>IF(I48=0,"",I48)</f>
        <v>2.11</v>
      </c>
      <c r="M48" s="1356" t="str">
        <f>IF(J48=0,"",J48)</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1356" t="str">
        <f>IF(K48=0,"",K48)</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1469"/>
      <c r="P48" s="1469" t="s">
        <v>2228</v>
      </c>
      <c r="Q48" s="1469" t="s">
        <v>2246</v>
      </c>
      <c r="R48" s="1469" t="s">
        <v>2228</v>
      </c>
      <c r="S48" s="1469"/>
      <c r="T48" s="1355"/>
      <c r="U48" s="1355" t="s">
        <v>2247</v>
      </c>
      <c r="V48" s="1355" t="s">
        <v>2248</v>
      </c>
      <c r="W48" s="1355" t="s">
        <v>2248</v>
      </c>
      <c r="X48" s="1355"/>
      <c r="Y48" s="1512"/>
      <c r="Z48" s="1358"/>
      <c r="AA48" s="1361" t="s">
        <v>2242</v>
      </c>
      <c r="AB48" s="1361" t="s">
        <v>2242</v>
      </c>
      <c r="AC48" s="1361" t="s">
        <v>2242</v>
      </c>
      <c r="AD48" s="1358"/>
    </row>
    <row customHeight="1" ht="54">
      <c r="A49" s="1357"/>
      <c r="B49" s="1411">
        <v>32</v>
      </c>
      <c r="C49" s="1355" t="s">
        <v>2249</v>
      </c>
      <c r="D49" s="1479"/>
      <c r="E49" s="1355"/>
      <c r="F49" s="1355"/>
      <c r="G49" s="1355"/>
      <c r="H49" s="1403"/>
      <c r="I49" s="1517" t="str">
        <f>INDEX(TEMPLATE_NUMBER_POINT_FHD,B49,MATCH(TEMPLATE_SPHERE,TEMPLATE_SPHERE_LIST_FOR_NOTE,0))</f>
        <v>2.11.1</v>
      </c>
      <c r="J49" s="1517" t="str">
        <f>INDEX(TEMPLATE_DATA_POINT_FHD,B49,MATCH(TEMPLATE_SPHERE,TEMPLATE_SPHERE_LIST_FOR_NOTE,0))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1517">
        <f>INDEX(TEMPLATE_NOTE_POINT_FHD,B49,MATCH(TEMPLATE_SPHERE,TEMPLATE_SPHERE_LIST_FOR_NOTE,0))</f>
        <v>0</v>
      </c>
      <c r="L49" s="1356" t="str">
        <f>IF(I49=0,"",I49)</f>
        <v>2.11.1</v>
      </c>
      <c r="M49" s="1356" t="str">
        <f>IF(J49=0,"",J49)</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1356" t="str">
        <f>IF(K49=0,"",K49)</f>
        <v/>
      </c>
      <c r="O49" s="1469"/>
      <c r="P49" s="1469" t="s">
        <v>2232</v>
      </c>
      <c r="Q49" s="1469" t="s">
        <v>2250</v>
      </c>
      <c r="R49" s="1469" t="s">
        <v>2232</v>
      </c>
      <c r="S49" s="1469"/>
      <c r="T49" s="1355"/>
      <c r="U49" s="1355" t="s">
        <v>2245</v>
      </c>
      <c r="V49" s="1355" t="s">
        <v>2245</v>
      </c>
      <c r="W49" s="1355" t="s">
        <v>2245</v>
      </c>
      <c r="X49" s="1355"/>
      <c r="Y49" s="1512"/>
      <c r="Z49" s="1358"/>
      <c r="AA49" s="1361"/>
      <c r="AB49" s="1361"/>
      <c r="AC49" s="1361"/>
      <c r="AD49" s="1358"/>
    </row>
    <row customHeight="1" ht="126">
      <c r="A50" s="1357"/>
      <c r="B50" s="1411">
        <v>33</v>
      </c>
      <c r="C50" s="1355">
        <v>17</v>
      </c>
      <c r="D50" s="1479"/>
      <c r="E50" s="1355"/>
      <c r="F50" s="1355"/>
      <c r="G50" s="1355"/>
      <c r="H50" s="1403"/>
      <c r="I50" s="1517" t="str">
        <f>INDEX(TEMPLATE_NUMBER_POINT_FHD,B50,MATCH(TEMPLATE_SPHERE,TEMPLATE_SPHERE_LIST_FOR_NOTE,0))</f>
        <v>2.12</v>
      </c>
      <c r="J50" s="1517" t="str">
        <f>INDEX(TEMPLATE_DATA_POINT_FHD,B50,MATCH(TEMPLATE_SPHERE,TEMPLATE_SPHERE_LIST_FOR_NOTE,0))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K50" s="1517"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1356" t="str">
        <f>IF(I50=0,"",I50)</f>
        <v>2.12</v>
      </c>
      <c r="M50" s="1356" t="str">
        <f>IF(J50=0,"",J50)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N50" s="1356" t="str">
        <f>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1469" t="s">
        <v>2246</v>
      </c>
      <c r="P50" s="1469" t="s">
        <v>2239</v>
      </c>
      <c r="Q50" s="1469" t="s">
        <v>2251</v>
      </c>
      <c r="R50" s="1469" t="s">
        <v>2239</v>
      </c>
      <c r="S50" s="1469"/>
      <c r="T50" s="1355" t="s">
        <v>2252</v>
      </c>
      <c r="U50" s="1355" t="s">
        <v>2253</v>
      </c>
      <c r="V50" s="1355" t="s">
        <v>2254</v>
      </c>
      <c r="W50" s="1355" t="s">
        <v>2255</v>
      </c>
      <c r="X50" s="1355"/>
      <c r="Y50" s="1512"/>
      <c r="Z50" s="1358" t="s">
        <v>2256</v>
      </c>
      <c r="AA50" s="1361" t="s">
        <v>2257</v>
      </c>
      <c r="AB50" s="1361" t="s">
        <v>2257</v>
      </c>
      <c r="AC50" s="1361" t="s">
        <v>2257</v>
      </c>
      <c r="AD50" s="1358"/>
    </row>
    <row customHeight="1" ht="27">
      <c r="A51" s="1357"/>
      <c r="B51" s="1411">
        <v>34</v>
      </c>
      <c r="C51" s="1355" t="s">
        <v>2258</v>
      </c>
      <c r="D51" s="1479"/>
      <c r="E51" s="1355"/>
      <c r="F51" s="1355"/>
      <c r="G51" s="1355"/>
      <c r="H51" s="1403"/>
      <c r="I51" s="1517">
        <f>INDEX(TEMPLATE_NUMBER_POINT_FHD,B51,MATCH(TEMPLATE_SPHERE,TEMPLATE_SPHERE_LIST_FOR_NOTE,0))</f>
        <v>0</v>
      </c>
      <c r="J51" s="1517">
        <f>INDEX(TEMPLATE_DATA_POINT_FHD,B51,MATCH(TEMPLATE_SPHERE,TEMPLATE_SPHERE_LIST_FOR_NOTE,0))</f>
        <v>0</v>
      </c>
      <c r="K51" s="1517">
        <f>INDEX(TEMPLATE_NOTE_POINT_FHD,B51,MATCH(TEMPLATE_SPHERE,TEMPLATE_SPHERE_LIST_FOR_NOTE,0))</f>
        <v>0</v>
      </c>
      <c r="L51" s="1356" t="str">
        <f>IF(I51=0,"",I51)</f>
        <v/>
      </c>
      <c r="M51" s="1356" t="str">
        <f>IF(J51=0,"",J51)</f>
        <v/>
      </c>
      <c r="N51" s="1356" t="str">
        <f>IF(K51=0,"",K51)</f>
        <v/>
      </c>
      <c r="O51" s="1469" t="s">
        <v>92</v>
      </c>
      <c r="P51" s="1469"/>
      <c r="Q51" s="1469"/>
      <c r="R51" s="1469"/>
      <c r="S51" s="1469"/>
      <c r="T51" s="1355" t="s">
        <v>2259</v>
      </c>
      <c r="U51" s="1355"/>
      <c r="V51" s="1355"/>
      <c r="W51" s="1355"/>
      <c r="X51" s="1355"/>
      <c r="Y51" s="1512"/>
      <c r="Z51" s="1358"/>
      <c r="AA51" s="1361"/>
      <c r="AB51" s="1361"/>
      <c r="AC51" s="1361"/>
      <c r="AD51" s="1358"/>
    </row>
    <row customHeight="1" ht="36">
      <c r="A52" s="1357"/>
      <c r="B52" s="1411">
        <v>35</v>
      </c>
      <c r="C52" s="1355" t="s">
        <v>2152</v>
      </c>
      <c r="D52" s="1479" t="s">
        <v>2152</v>
      </c>
      <c r="E52" s="1355" t="s">
        <v>2152</v>
      </c>
      <c r="F52" s="1355" t="s">
        <v>2152</v>
      </c>
      <c r="G52" s="1355"/>
      <c r="H52" s="1403"/>
      <c r="I52" s="1517" t="str">
        <f>INDEX(TEMPLATE_NUMBER_POINT_FHD,B52,MATCH(TEMPLATE_SPHERE,TEMPLATE_SPHERE_LIST_FOR_NOTE,0))</f>
        <v>3</v>
      </c>
      <c r="J52" s="1517" t="str">
        <f>INDEX(TEMPLATE_DATA_POINT_FHD,B52,MATCH(TEMPLATE_SPHERE,TEMPLATE_SPHERE_LIST_FOR_NOTE,0))</f>
        <v>Чистая прибыль, полученная от регулируемого вида деятельности в сфере водоотведения, в том числе:</v>
      </c>
      <c r="K52" s="1517" t="str">
        <f>INDEX(TEMPLATE_NOTE_POINT_FHD,B52,MATCH(TEMPLATE_SPHERE,TEMPLATE_SPHERE_LIST_FOR_NOTE,0))</f>
        <v>Указывается общая сумма чистой прибыли, полученной от регулируемого вида деятельности.</v>
      </c>
      <c r="L52" s="1356" t="str">
        <f>IF(I52=0,"",I52)</f>
        <v>3</v>
      </c>
      <c r="M52" s="1356" t="str">
        <f>IF(J52=0,"",J52)</f>
        <v>Чистая прибыль, полученная от регулируемого вида деятельности в сфере водоотведения, в том числе:</v>
      </c>
      <c r="N52" s="1356" t="str">
        <f>IF(K52=0,"",K52)</f>
        <v>Указывается общая сумма чистой прибыли, полученной от регулируемого вида деятельности.</v>
      </c>
      <c r="O52" s="1469" t="s">
        <v>93</v>
      </c>
      <c r="P52" s="1469" t="s">
        <v>92</v>
      </c>
      <c r="Q52" s="1469" t="s">
        <v>92</v>
      </c>
      <c r="R52" s="1469" t="s">
        <v>92</v>
      </c>
      <c r="S52" s="1469"/>
      <c r="T52" s="1355" t="s">
        <v>2260</v>
      </c>
      <c r="U52" s="1355" t="s">
        <v>2261</v>
      </c>
      <c r="V52" s="1355" t="s">
        <v>2262</v>
      </c>
      <c r="W52" s="1355" t="s">
        <v>2263</v>
      </c>
      <c r="X52" s="1355"/>
      <c r="Y52" s="1512"/>
      <c r="Z52" s="1358" t="s">
        <v>866</v>
      </c>
      <c r="AA52" s="1361" t="s">
        <v>866</v>
      </c>
      <c r="AB52" s="1361" t="s">
        <v>866</v>
      </c>
      <c r="AC52" s="1361" t="s">
        <v>866</v>
      </c>
      <c r="AD52" s="1358"/>
    </row>
    <row customHeight="1" ht="36">
      <c r="A53" s="1357"/>
      <c r="B53" s="1411">
        <v>36</v>
      </c>
      <c r="C53" s="1355">
        <v>1</v>
      </c>
      <c r="D53" s="1479"/>
      <c r="E53" s="1355"/>
      <c r="F53" s="1355"/>
      <c r="G53" s="1355"/>
      <c r="H53" s="1403"/>
      <c r="I53" s="1517" t="str">
        <f>INDEX(TEMPLATE_NUMBER_POINT_FHD,B53,MATCH(TEMPLATE_SPHERE,TEMPLATE_SPHERE_LIST_FOR_NOTE,0))</f>
        <v>3.1</v>
      </c>
      <c r="J53" s="1517"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517">
        <f>INDEX(TEMPLATE_NOTE_POINT_FHD,B53,MATCH(TEMPLATE_SPHERE,TEMPLATE_SPHERE_LIST_FOR_NOTE,0))</f>
        <v>0</v>
      </c>
      <c r="L53" s="1356" t="str">
        <f>IF(I53=0,"",I53)</f>
        <v>3.1</v>
      </c>
      <c r="M53" s="1356"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1356" t="str">
        <f>IF(K53=0,"",K53)</f>
        <v/>
      </c>
      <c r="O53" s="1469" t="s">
        <v>870</v>
      </c>
      <c r="P53" s="1469" t="s">
        <v>442</v>
      </c>
      <c r="Q53" s="1469" t="s">
        <v>442</v>
      </c>
      <c r="R53" s="1469" t="s">
        <v>442</v>
      </c>
      <c r="S53" s="1469"/>
      <c r="T53" s="1355" t="s">
        <v>2264</v>
      </c>
      <c r="U53" s="1355" t="s">
        <v>2264</v>
      </c>
      <c r="V53" s="1355" t="s">
        <v>2264</v>
      </c>
      <c r="W53" s="1355" t="s">
        <v>2264</v>
      </c>
      <c r="X53" s="1355"/>
      <c r="Y53" s="1512"/>
      <c r="Z53" s="1358"/>
      <c r="AA53" s="1361"/>
      <c r="AB53" s="1358"/>
      <c r="AC53" s="1358"/>
      <c r="AD53" s="1358"/>
    </row>
    <row customHeight="1" ht="18">
      <c r="A54" s="1357"/>
      <c r="B54" s="1411">
        <v>37</v>
      </c>
      <c r="C54" s="1355" t="s">
        <v>2158</v>
      </c>
      <c r="D54" s="1479" t="s">
        <v>2158</v>
      </c>
      <c r="E54" s="1355" t="s">
        <v>2158</v>
      </c>
      <c r="F54" s="1355" t="s">
        <v>2158</v>
      </c>
      <c r="G54" s="1355"/>
      <c r="H54" s="1403"/>
      <c r="I54" s="1517" t="str">
        <f>INDEX(TEMPLATE_NUMBER_POINT_FHD,B54,MATCH(TEMPLATE_SPHERE,TEMPLATE_SPHERE_LIST_FOR_NOTE,0))</f>
        <v>4</v>
      </c>
      <c r="J54" s="1517" t="str">
        <f>INDEX(TEMPLATE_DATA_POINT_FHD,B54,MATCH(TEMPLATE_SPHERE,TEMPLATE_SPHERE_LIST_FOR_NOTE,0))</f>
        <v>Изменение стоимости основных фондов, в том числе:</v>
      </c>
      <c r="K54" s="1517" t="str">
        <f>INDEX(TEMPLATE_NOTE_POINT_FHD,B54,MATCH(TEMPLATE_SPHERE,TEMPLATE_SPHERE_LIST_FOR_NOTE,0))</f>
        <v>Указывается общее изменение стоимости основных фондов.</v>
      </c>
      <c r="L54" s="1356" t="str">
        <f>IF(I54=0,"",I54)</f>
        <v>4</v>
      </c>
      <c r="M54" s="1356" t="str">
        <f>IF(J54=0,"",J54)</f>
        <v>Изменение стоимости основных фондов, в том числе:</v>
      </c>
      <c r="N54" s="1356" t="str">
        <f>IF(K54=0,"",K54)</f>
        <v>Указывается общее изменение стоимости основных фондов.</v>
      </c>
      <c r="O54" s="1469" t="s">
        <v>120</v>
      </c>
      <c r="P54" s="1469" t="s">
        <v>93</v>
      </c>
      <c r="Q54" s="1469" t="s">
        <v>93</v>
      </c>
      <c r="R54" s="1469" t="s">
        <v>93</v>
      </c>
      <c r="S54" s="1469"/>
      <c r="T54" s="1355" t="s">
        <v>868</v>
      </c>
      <c r="U54" s="1355" t="s">
        <v>868</v>
      </c>
      <c r="V54" s="1355" t="s">
        <v>868</v>
      </c>
      <c r="W54" s="1355" t="s">
        <v>868</v>
      </c>
      <c r="X54" s="1355"/>
      <c r="Y54" s="1512"/>
      <c r="Z54" s="1358" t="s">
        <v>869</v>
      </c>
      <c r="AA54" s="1358" t="s">
        <v>869</v>
      </c>
      <c r="AB54" s="1358" t="s">
        <v>869</v>
      </c>
      <c r="AC54" s="1358" t="s">
        <v>869</v>
      </c>
      <c r="AD54" s="1358"/>
    </row>
    <row customHeight="1" ht="36">
      <c r="A55" s="1357"/>
      <c r="B55" s="1411">
        <v>38</v>
      </c>
      <c r="C55" s="1355">
        <v>1</v>
      </c>
      <c r="D55" s="1479"/>
      <c r="E55" s="1355"/>
      <c r="F55" s="1355"/>
      <c r="G55" s="1355"/>
      <c r="H55" s="1403"/>
      <c r="I55" s="1517" t="str">
        <f>INDEX(TEMPLATE_NUMBER_POINT_FHD,B55,MATCH(TEMPLATE_SPHERE,TEMPLATE_SPHERE_LIST_FOR_NOTE,0))</f>
        <v>4.1</v>
      </c>
      <c r="J55" s="1517" t="str">
        <f>INDEX(TEMPLATE_DATA_POINT_FHD,B55,MATCH(TEMPLATE_SPHERE,TEMPLATE_SPHERE_LIST_FOR_NOTE,0))</f>
        <v>Изменение стоимости основных фондов за счет их ввода в эксплуатацию (вывода из эксплуатации)</v>
      </c>
      <c r="K55" s="1517"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1356" t="str">
        <f>IF(I55=0,"",I55)</f>
        <v>4.1</v>
      </c>
      <c r="M55" s="1356" t="str">
        <f>IF(J55=0,"",J55)</f>
        <v>Изменение стоимости основных фондов за счет их ввода в эксплуатацию (вывода из эксплуатации)</v>
      </c>
      <c r="N55" s="1356" t="str">
        <f>IF(K55=0,"",K55)</f>
        <v>Указываются общее изменение стоимости основных фондов за счет их ввода в эксплуатацию и вывода из эксплуатации.</v>
      </c>
      <c r="O55" s="1469" t="s">
        <v>431</v>
      </c>
      <c r="P55" s="1469" t="s">
        <v>870</v>
      </c>
      <c r="Q55" s="1469" t="s">
        <v>870</v>
      </c>
      <c r="R55" s="1469" t="s">
        <v>870</v>
      </c>
      <c r="S55" s="1469"/>
      <c r="T55" s="1356"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1355" t="s">
        <v>2265</v>
      </c>
      <c r="V55" s="1355" t="s">
        <v>2265</v>
      </c>
      <c r="W55" s="1355" t="s">
        <v>2265</v>
      </c>
      <c r="X55" s="1355"/>
      <c r="Y55" s="1512"/>
      <c r="Z55" s="1358" t="s">
        <v>2266</v>
      </c>
      <c r="AA55" s="1358" t="s">
        <v>2266</v>
      </c>
      <c r="AB55" s="1358" t="s">
        <v>2266</v>
      </c>
      <c r="AC55" s="1358" t="s">
        <v>2266</v>
      </c>
      <c r="AD55" s="1358"/>
    </row>
    <row customHeight="1" ht="27">
      <c r="A56" s="1357"/>
      <c r="B56" s="1411">
        <v>39</v>
      </c>
      <c r="C56" s="1355" t="s">
        <v>1138</v>
      </c>
      <c r="D56" s="1479"/>
      <c r="E56" s="1355"/>
      <c r="F56" s="1355"/>
      <c r="G56" s="1355"/>
      <c r="H56" s="1403"/>
      <c r="I56" s="1517" t="str">
        <f>INDEX(TEMPLATE_NUMBER_POINT_FHD,B56,MATCH(TEMPLATE_SPHERE,TEMPLATE_SPHERE_LIST_FOR_NOTE,0))</f>
        <v>4.1.1</v>
      </c>
      <c r="J56" s="1517" t="str">
        <f>INDEX(TEMPLATE_DATA_POINT_FHD,B56,MATCH(TEMPLATE_SPHERE,TEMPLATE_SPHERE_LIST_FOR_NOTE,0))</f>
        <v>Изменение стоимости основных фондов за счет их ввода в эксплуатацию</v>
      </c>
      <c r="K56" s="1517" t="str">
        <f>INDEX(TEMPLATE_NOTE_POINT_FHD,B56,MATCH(TEMPLATE_SPHERE,TEMPLATE_SPHERE_LIST_FOR_NOTE,0))</f>
        <v>Указываются изменение стоимости основных фондов за счет их ввода в эксплуатацию.</v>
      </c>
      <c r="L56" s="1356" t="str">
        <f>IF(I56=0,"",I56)</f>
        <v>4.1.1</v>
      </c>
      <c r="M56" s="1356" t="str">
        <f>IF(J56=0,"",J56)</f>
        <v>Изменение стоимости основных фондов за счет их ввода в эксплуатацию</v>
      </c>
      <c r="N56" s="1356" t="str">
        <f>IF(K56=0,"",K56)</f>
        <v>Указываются изменение стоимости основных фондов за счет их ввода в эксплуатацию.</v>
      </c>
      <c r="O56" s="1469" t="s">
        <v>1260</v>
      </c>
      <c r="P56" s="1469" t="s">
        <v>873</v>
      </c>
      <c r="Q56" s="1469" t="s">
        <v>873</v>
      </c>
      <c r="R56" s="1469" t="s">
        <v>873</v>
      </c>
      <c r="S56" s="1469"/>
      <c r="T56" s="1356"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1355" t="s">
        <v>2267</v>
      </c>
      <c r="V56" s="1355" t="s">
        <v>2267</v>
      </c>
      <c r="W56" s="1355" t="s">
        <v>2267</v>
      </c>
      <c r="X56" s="1355"/>
      <c r="Y56" s="1512"/>
      <c r="Z56" s="1358" t="s">
        <v>875</v>
      </c>
      <c r="AA56" s="1358" t="s">
        <v>875</v>
      </c>
      <c r="AB56" s="1358" t="s">
        <v>875</v>
      </c>
      <c r="AC56" s="1358" t="s">
        <v>875</v>
      </c>
      <c r="AD56" s="1358"/>
    </row>
    <row customHeight="1" ht="27">
      <c r="A57" s="1357"/>
      <c r="B57" s="1411">
        <v>40</v>
      </c>
      <c r="C57" s="1355" t="s">
        <v>1140</v>
      </c>
      <c r="D57" s="1479"/>
      <c r="E57" s="1355"/>
      <c r="F57" s="1355"/>
      <c r="G57" s="1355"/>
      <c r="H57" s="1403"/>
      <c r="I57" s="1517" t="str">
        <f>INDEX(TEMPLATE_NUMBER_POINT_FHD,B57,MATCH(TEMPLATE_SPHERE,TEMPLATE_SPHERE_LIST_FOR_NOTE,0))</f>
        <v>4.1.2</v>
      </c>
      <c r="J57" s="1517" t="str">
        <f>INDEX(TEMPLATE_DATA_POINT_FHD,B57,MATCH(TEMPLATE_SPHERE,TEMPLATE_SPHERE_LIST_FOR_NOTE,0))</f>
        <v>Изменение стоимости основных фондов за счет их вывода в эксплуатацию</v>
      </c>
      <c r="K57" s="1517" t="str">
        <f>INDEX(TEMPLATE_NOTE_POINT_FHD,B57,MATCH(TEMPLATE_SPHERE,TEMPLATE_SPHERE_LIST_FOR_NOTE,0))</f>
        <v>Указываются изменение стоимости основных фондов за счет их вывода из эксплуатации.</v>
      </c>
      <c r="L57" s="1356" t="str">
        <f>IF(I57=0,"",I57)</f>
        <v>4.1.2</v>
      </c>
      <c r="M57" s="1356" t="str">
        <f>IF(J57=0,"",J57)</f>
        <v>Изменение стоимости основных фондов за счет их вывода в эксплуатацию</v>
      </c>
      <c r="N57" s="1356" t="str">
        <f>IF(K57=0,"",K57)</f>
        <v>Указываются изменение стоимости основных фондов за счет их вывода из эксплуатации.</v>
      </c>
      <c r="O57" s="1469" t="s">
        <v>2268</v>
      </c>
      <c r="P57" s="1469" t="s">
        <v>876</v>
      </c>
      <c r="Q57" s="1469" t="s">
        <v>876</v>
      </c>
      <c r="R57" s="1469" t="s">
        <v>876</v>
      </c>
      <c r="S57" s="1469"/>
      <c r="T57" s="1356"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1355" t="s">
        <v>2269</v>
      </c>
      <c r="V57" s="1355" t="s">
        <v>2269</v>
      </c>
      <c r="W57" s="1355" t="s">
        <v>2269</v>
      </c>
      <c r="X57" s="1355"/>
      <c r="Y57" s="1512"/>
      <c r="Z57" s="1358" t="s">
        <v>878</v>
      </c>
      <c r="AA57" s="1358" t="s">
        <v>878</v>
      </c>
      <c r="AB57" s="1358" t="s">
        <v>878</v>
      </c>
      <c r="AC57" s="1358" t="s">
        <v>878</v>
      </c>
      <c r="AD57" s="1358"/>
    </row>
    <row customHeight="1" ht="18">
      <c r="A58" s="1357"/>
      <c r="B58" s="1411">
        <v>41</v>
      </c>
      <c r="C58" s="1355">
        <v>2</v>
      </c>
      <c r="D58" s="1479"/>
      <c r="E58" s="1355"/>
      <c r="F58" s="1355"/>
      <c r="G58" s="1355"/>
      <c r="H58" s="1403"/>
      <c r="I58" s="1517" t="str">
        <f>INDEX(TEMPLATE_NUMBER_POINT_FHD,B58,MATCH(TEMPLATE_SPHERE,TEMPLATE_SPHERE_LIST_FOR_NOTE,0))</f>
        <v>4.2</v>
      </c>
      <c r="J58" s="1517" t="str">
        <f>INDEX(TEMPLATE_DATA_POINT_FHD,B58,MATCH(TEMPLATE_SPHERE,TEMPLATE_SPHERE_LIST_FOR_NOTE,0))</f>
        <v>Изменение стоимости основных фондов за счет их переоценки</v>
      </c>
      <c r="K58" s="1517">
        <f>INDEX(TEMPLATE_NOTE_POINT_FHD,B58,MATCH(TEMPLATE_SPHERE,TEMPLATE_SPHERE_LIST_FOR_NOTE,0))</f>
        <v>0</v>
      </c>
      <c r="L58" s="1356" t="str">
        <f>IF(I58=0,"",I58)</f>
        <v>4.2</v>
      </c>
      <c r="M58" s="1356" t="str">
        <f>IF(J58=0,"",J58)</f>
        <v>Изменение стоимости основных фондов за счет их переоценки</v>
      </c>
      <c r="N58" s="1356" t="str">
        <f>IF(K58=0,"",K58)</f>
        <v/>
      </c>
      <c r="O58" s="1469" t="s">
        <v>998</v>
      </c>
      <c r="P58" s="1469" t="s">
        <v>912</v>
      </c>
      <c r="Q58" s="1469" t="s">
        <v>912</v>
      </c>
      <c r="R58" s="1469" t="s">
        <v>912</v>
      </c>
      <c r="S58" s="1469"/>
      <c r="T58" s="1356" t="str">
        <f>IF(TITLE_TYPE_ORG="Регулируемая организация","Изменение стоимости основных фондов за счет их переоценки","за счет их переоценки")</f>
        <v>за счет их переоценки</v>
      </c>
      <c r="U58" s="1355" t="s">
        <v>2270</v>
      </c>
      <c r="V58" s="1355" t="s">
        <v>2270</v>
      </c>
      <c r="W58" s="1355" t="s">
        <v>2270</v>
      </c>
      <c r="X58" s="1355"/>
      <c r="Y58" s="1512"/>
      <c r="Z58" s="1358"/>
      <c r="AA58" s="1361"/>
      <c r="AB58" s="1358"/>
      <c r="AC58" s="1358"/>
      <c r="AD58" s="1358"/>
    </row>
    <row customHeight="1" ht="36">
      <c r="A59" s="1357"/>
      <c r="B59" s="1411">
        <v>42</v>
      </c>
      <c r="C59" s="1355">
        <v>3</v>
      </c>
      <c r="D59" s="1479" t="s">
        <v>2258</v>
      </c>
      <c r="E59" s="1355" t="s">
        <v>2258</v>
      </c>
      <c r="F59" s="1355" t="s">
        <v>2258</v>
      </c>
      <c r="G59" s="1355"/>
      <c r="H59" s="1403"/>
      <c r="I59" s="1517" t="str">
        <f>INDEX(TEMPLATE_NUMBER_POINT_FHD,B59,MATCH(TEMPLATE_SPHERE,TEMPLATE_SPHERE_LIST_FOR_NOTE,0))</f>
        <v>5</v>
      </c>
      <c r="J59" s="1517" t="str">
        <f>INDEX(TEMPLATE_DATA_POINT_FHD,B59,MATCH(TEMPLATE_SPHERE,TEMPLATE_SPHERE_LIST_FOR_NOTE,0))</f>
        <v>Валовая прибыль (убытки) от продажи товаров и услуг по регулируемым видам деятельности в сфере водоотведения</v>
      </c>
      <c r="K59" s="1517">
        <f>INDEX(TEMPLATE_NOTE_POINT_FHD,B59,MATCH(TEMPLATE_SPHERE,TEMPLATE_SPHERE_LIST_FOR_NOTE,0))</f>
        <v>0</v>
      </c>
      <c r="L59" s="1356" t="str">
        <f>IF(I59=0,"",I59)</f>
        <v>5</v>
      </c>
      <c r="M59" s="1356" t="str">
        <f>IF(J59=0,"",J59)</f>
        <v>Валовая прибыль (убытки) от продажи товаров и услуг по регулируемым видам деятельности в сфере водоотведения</v>
      </c>
      <c r="N59" s="1356" t="str">
        <f>IF(K59=0,"",K59)</f>
        <v/>
      </c>
      <c r="O59" s="1469"/>
      <c r="P59" s="1469" t="s">
        <v>120</v>
      </c>
      <c r="Q59" s="1469" t="s">
        <v>120</v>
      </c>
      <c r="R59" s="1469" t="s">
        <v>120</v>
      </c>
      <c r="S59" s="1469"/>
      <c r="T59" s="1355"/>
      <c r="U59" s="1355" t="s">
        <v>2271</v>
      </c>
      <c r="V59" s="1355" t="s">
        <v>2272</v>
      </c>
      <c r="W59" s="1355" t="s">
        <v>2273</v>
      </c>
      <c r="X59" s="1355"/>
      <c r="Y59" s="1512"/>
      <c r="Z59" s="1358"/>
      <c r="AA59" s="1361"/>
      <c r="AB59" s="1358"/>
      <c r="AC59" s="1358"/>
      <c r="AD59" s="1358"/>
    </row>
    <row customHeight="1" ht="81">
      <c r="A60" s="1357"/>
      <c r="B60" s="1411">
        <v>43</v>
      </c>
      <c r="C60" s="1355" t="s">
        <v>2274</v>
      </c>
      <c r="D60" s="1479" t="s">
        <v>2274</v>
      </c>
      <c r="E60" s="1355" t="s">
        <v>2274</v>
      </c>
      <c r="F60" s="1355" t="s">
        <v>2274</v>
      </c>
      <c r="G60" s="1355"/>
      <c r="H60" s="1403"/>
      <c r="I60" s="1517" t="str">
        <f>INDEX(TEMPLATE_NUMBER_POINT_FHD,B60,MATCH(TEMPLATE_SPHERE,TEMPLATE_SPHERE_LIST_FOR_NOTE,0))</f>
        <v>6</v>
      </c>
      <c r="J60" s="1517" t="str">
        <f>INDEX(TEMPLATE_DATA_POINT_FHD,B60,MATCH(TEMPLATE_SPHERE,TEMPLATE_SPHERE_LIST_FOR_NOTE,0))</f>
        <v>Годовая бухгалтерская (финансовая) отчетность, включая бухгалтерский баланс и приложения к нему</v>
      </c>
      <c r="K60" s="1517" t="str">
        <f>INDEX(TEMPLATE_NOTE_POINT_FHD,B60,MATCH(TEMPLATE_SPHERE,TEMPLATE_SPHERE_LIST_FOR_NOTE,0))</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1356" t="str">
        <f>IF(I60=0,"",I60)</f>
        <v>6</v>
      </c>
      <c r="M60" s="1356" t="str">
        <f>IF(J60=0,"",J60)</f>
        <v>Годовая бухгалтерская (финансовая) отчетность, включая бухгалтерский баланс и приложения к нему</v>
      </c>
      <c r="N60" s="1356" t="str">
        <f>IF(K60=0,"",K60)</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1469" t="s">
        <v>94</v>
      </c>
      <c r="P60" s="1469" t="s">
        <v>94</v>
      </c>
      <c r="Q60" s="1469" t="s">
        <v>94</v>
      </c>
      <c r="R60" s="1469" t="s">
        <v>94</v>
      </c>
      <c r="S60" s="1469"/>
      <c r="T60" s="1355" t="s">
        <v>746</v>
      </c>
      <c r="U60" s="1355" t="s">
        <v>746</v>
      </c>
      <c r="V60" s="1355" t="s">
        <v>746</v>
      </c>
      <c r="W60" s="1355" t="s">
        <v>746</v>
      </c>
      <c r="X60" s="1355"/>
      <c r="Y60" s="1512"/>
      <c r="Z60" s="1358" t="s">
        <v>2275</v>
      </c>
      <c r="AA60" s="1361" t="s">
        <v>2276</v>
      </c>
      <c r="AB60" s="1358" t="s">
        <v>2277</v>
      </c>
      <c r="AC60" s="1358" t="s">
        <v>2276</v>
      </c>
      <c r="AD60" s="1358"/>
    </row>
    <row customHeight="1" ht="9">
      <c r="A61" s="1357"/>
      <c r="B61" s="1411">
        <v>44</v>
      </c>
      <c r="C61" s="1355"/>
      <c r="D61" s="1479" t="s">
        <v>2278</v>
      </c>
      <c r="E61" s="1355"/>
      <c r="F61" s="1355"/>
      <c r="G61" s="1355"/>
      <c r="H61" s="1403"/>
      <c r="I61" s="1517">
        <f>INDEX(TEMPLATE_NUMBER_POINT_FHD,B61,MATCH(TEMPLATE_SPHERE,TEMPLATE_SPHERE_LIST_FOR_NOTE,0))</f>
        <v>0</v>
      </c>
      <c r="J61" s="1517">
        <f>INDEX(TEMPLATE_DATA_POINT_FHD,B61,MATCH(TEMPLATE_SPHERE,TEMPLATE_SPHERE_LIST_FOR_NOTE,0))</f>
        <v>0</v>
      </c>
      <c r="K61" s="1517">
        <f>INDEX(TEMPLATE_NOTE_POINT_FHD,B61,MATCH(TEMPLATE_SPHERE,TEMPLATE_SPHERE_LIST_FOR_NOTE,0))</f>
        <v>0</v>
      </c>
      <c r="L61" s="1356" t="str">
        <f>IF(I61=0,"",I61)</f>
        <v/>
      </c>
      <c r="M61" s="1356" t="str">
        <f>IF(J61=0,"",J61)</f>
        <v/>
      </c>
      <c r="N61" s="1356" t="str">
        <f>IF(K61=0,"",K61)</f>
        <v/>
      </c>
      <c r="O61" s="1469"/>
      <c r="P61" s="1469" t="s">
        <v>95</v>
      </c>
      <c r="Q61" s="1469"/>
      <c r="R61" s="1469"/>
      <c r="S61" s="1469"/>
      <c r="T61" s="1355"/>
      <c r="U61" s="1355" t="s">
        <v>2279</v>
      </c>
      <c r="V61" s="1355"/>
      <c r="W61" s="1355"/>
      <c r="X61" s="1355"/>
      <c r="Y61" s="1512"/>
      <c r="Z61" s="1358"/>
      <c r="AA61" s="1361"/>
      <c r="AB61" s="1358"/>
      <c r="AC61" s="1358"/>
      <c r="AD61" s="1358"/>
    </row>
    <row customHeight="1" ht="9">
      <c r="A62" s="1357"/>
      <c r="B62" s="1411">
        <v>45</v>
      </c>
      <c r="C62" s="1355"/>
      <c r="D62" s="1479" t="s">
        <v>2280</v>
      </c>
      <c r="E62" s="1355"/>
      <c r="F62" s="1355"/>
      <c r="G62" s="1355"/>
      <c r="H62" s="1403"/>
      <c r="I62" s="1517">
        <f>INDEX(TEMPLATE_NUMBER_POINT_FHD,B62,MATCH(TEMPLATE_SPHERE,TEMPLATE_SPHERE_LIST_FOR_NOTE,0))</f>
        <v>0</v>
      </c>
      <c r="J62" s="1517">
        <f>INDEX(TEMPLATE_DATA_POINT_FHD,B62,MATCH(TEMPLATE_SPHERE,TEMPLATE_SPHERE_LIST_FOR_NOTE,0))</f>
        <v>0</v>
      </c>
      <c r="K62" s="1517">
        <f>INDEX(TEMPLATE_NOTE_POINT_FHD,B62,MATCH(TEMPLATE_SPHERE,TEMPLATE_SPHERE_LIST_FOR_NOTE,0))</f>
        <v>0</v>
      </c>
      <c r="L62" s="1356" t="str">
        <f>IF(I62=0,"",I62)</f>
        <v/>
      </c>
      <c r="M62" s="1356" t="str">
        <f>IF(J62=0,"",J62)</f>
        <v/>
      </c>
      <c r="N62" s="1356" t="str">
        <f>IF(K62=0,"",K62)</f>
        <v/>
      </c>
      <c r="O62" s="1469"/>
      <c r="P62" s="1469" t="s">
        <v>134</v>
      </c>
      <c r="Q62" s="1469"/>
      <c r="R62" s="1469"/>
      <c r="S62" s="1469"/>
      <c r="T62" s="1355"/>
      <c r="U62" s="1355" t="s">
        <v>2281</v>
      </c>
      <c r="V62" s="1355"/>
      <c r="W62" s="1355"/>
      <c r="X62" s="1355"/>
      <c r="Y62" s="1512"/>
      <c r="Z62" s="1358"/>
      <c r="AA62" s="1361"/>
      <c r="AB62" s="1358"/>
      <c r="AC62" s="1358"/>
      <c r="AD62" s="1358"/>
    </row>
    <row customHeight="1" ht="18">
      <c r="A63" s="1357"/>
      <c r="B63" s="1411">
        <v>46</v>
      </c>
      <c r="C63" s="1355"/>
      <c r="D63" s="1479" t="s">
        <v>2282</v>
      </c>
      <c r="E63" s="1355"/>
      <c r="F63" s="1355"/>
      <c r="G63" s="1355"/>
      <c r="H63" s="1403"/>
      <c r="I63" s="1517">
        <f>INDEX(TEMPLATE_NUMBER_POINT_FHD,B63,MATCH(TEMPLATE_SPHERE,TEMPLATE_SPHERE_LIST_FOR_NOTE,0))</f>
        <v>0</v>
      </c>
      <c r="J63" s="1517">
        <f>INDEX(TEMPLATE_DATA_POINT_FHD,B63,MATCH(TEMPLATE_SPHERE,TEMPLATE_SPHERE_LIST_FOR_NOTE,0))</f>
        <v>0</v>
      </c>
      <c r="K63" s="1517">
        <f>INDEX(TEMPLATE_NOTE_POINT_FHD,B63,MATCH(TEMPLATE_SPHERE,TEMPLATE_SPHERE_LIST_FOR_NOTE,0))</f>
        <v>0</v>
      </c>
      <c r="L63" s="1356" t="str">
        <f>IF(I63=0,"",I63)</f>
        <v/>
      </c>
      <c r="M63" s="1356" t="str">
        <f>IF(J63=0,"",J63)</f>
        <v/>
      </c>
      <c r="N63" s="1356" t="str">
        <f>IF(K63=0,"",K63)</f>
        <v/>
      </c>
      <c r="O63" s="1469"/>
      <c r="P63" s="1469" t="s">
        <v>139</v>
      </c>
      <c r="Q63" s="1469"/>
      <c r="R63" s="1469"/>
      <c r="S63" s="1469"/>
      <c r="T63" s="1355"/>
      <c r="U63" s="1355" t="s">
        <v>2283</v>
      </c>
      <c r="V63" s="1355"/>
      <c r="W63" s="1355"/>
      <c r="X63" s="1355"/>
      <c r="Y63" s="1512"/>
      <c r="Z63" s="1358"/>
      <c r="AA63" s="1361"/>
      <c r="AB63" s="1358"/>
      <c r="AC63" s="1358"/>
      <c r="AD63" s="1358"/>
    </row>
    <row customHeight="1" ht="18">
      <c r="A64" s="1357"/>
      <c r="B64" s="1411">
        <v>47</v>
      </c>
      <c r="C64" s="1355"/>
      <c r="D64" s="1479" t="s">
        <v>2284</v>
      </c>
      <c r="E64" s="1355"/>
      <c r="F64" s="1355"/>
      <c r="G64" s="1355"/>
      <c r="H64" s="1403"/>
      <c r="I64" s="1517">
        <f>INDEX(TEMPLATE_NUMBER_POINT_FHD,B64,MATCH(TEMPLATE_SPHERE,TEMPLATE_SPHERE_LIST_FOR_NOTE,0))</f>
        <v>0</v>
      </c>
      <c r="J64" s="1517">
        <f>INDEX(TEMPLATE_DATA_POINT_FHD,B64,MATCH(TEMPLATE_SPHERE,TEMPLATE_SPHERE_LIST_FOR_NOTE,0))</f>
        <v>0</v>
      </c>
      <c r="K64" s="1517">
        <f>INDEX(TEMPLATE_NOTE_POINT_FHD,B64,MATCH(TEMPLATE_SPHERE,TEMPLATE_SPHERE_LIST_FOR_NOTE,0))</f>
        <v>0</v>
      </c>
      <c r="L64" s="1356" t="str">
        <f>IF(I64=0,"",I64)</f>
        <v/>
      </c>
      <c r="M64" s="1356" t="str">
        <f>IF(J64=0,"",J64)</f>
        <v/>
      </c>
      <c r="N64" s="1356" t="str">
        <f>IF(K64=0,"",K64)</f>
        <v/>
      </c>
      <c r="O64" s="1469"/>
      <c r="P64" s="1469" t="s">
        <v>145</v>
      </c>
      <c r="Q64" s="1469"/>
      <c r="R64" s="1469"/>
      <c r="S64" s="1469"/>
      <c r="T64" s="1355"/>
      <c r="U64" s="1355" t="s">
        <v>2285</v>
      </c>
      <c r="V64" s="1355"/>
      <c r="W64" s="1355"/>
      <c r="X64" s="1355"/>
      <c r="Y64" s="1512"/>
      <c r="Z64" s="1358"/>
      <c r="AA64" s="1361" t="s">
        <v>2286</v>
      </c>
      <c r="AB64" s="1358"/>
      <c r="AC64" s="1358"/>
      <c r="AD64" s="1358"/>
    </row>
    <row customHeight="1" ht="18">
      <c r="A65" s="1357"/>
      <c r="B65" s="1411">
        <v>48</v>
      </c>
      <c r="C65" s="1355"/>
      <c r="D65" s="1479"/>
      <c r="E65" s="1355"/>
      <c r="F65" s="1355"/>
      <c r="G65" s="1355"/>
      <c r="H65" s="1403"/>
      <c r="I65" s="1517">
        <f>INDEX(TEMPLATE_NUMBER_POINT_FHD,B65,MATCH(TEMPLATE_SPHERE,TEMPLATE_SPHERE_LIST_FOR_NOTE,0))</f>
        <v>0</v>
      </c>
      <c r="J65" s="1517">
        <f>INDEX(TEMPLATE_DATA_POINT_FHD,B65,MATCH(TEMPLATE_SPHERE,TEMPLATE_SPHERE_LIST_FOR_NOTE,0))</f>
        <v>0</v>
      </c>
      <c r="K65" s="1517">
        <f>INDEX(TEMPLATE_NOTE_POINT_FHD,B65,MATCH(TEMPLATE_SPHERE,TEMPLATE_SPHERE_LIST_FOR_NOTE,0))</f>
        <v>0</v>
      </c>
      <c r="L65" s="1356" t="str">
        <f>IF(I65=0,"",I65)</f>
        <v/>
      </c>
      <c r="M65" s="1356" t="str">
        <f>IF(J65=0,"",J65)</f>
        <v/>
      </c>
      <c r="N65" s="1356" t="str">
        <f>IF(K65=0,"",K65)</f>
        <v/>
      </c>
      <c r="O65" s="1469"/>
      <c r="P65" s="1469" t="s">
        <v>2199</v>
      </c>
      <c r="Q65" s="1469"/>
      <c r="R65" s="1469"/>
      <c r="S65" s="1469"/>
      <c r="T65" s="1355"/>
      <c r="U65" s="1355" t="s">
        <v>2287</v>
      </c>
      <c r="V65" s="1355"/>
      <c r="W65" s="1355"/>
      <c r="X65" s="1355"/>
      <c r="Y65" s="1512"/>
      <c r="Z65" s="1358"/>
      <c r="AA65" s="1361"/>
      <c r="AB65" s="1358"/>
      <c r="AC65" s="1358"/>
      <c r="AD65" s="1358"/>
    </row>
    <row customHeight="1" ht="18">
      <c r="A66" s="1357"/>
      <c r="B66" s="1411">
        <v>49</v>
      </c>
      <c r="C66" s="1355"/>
      <c r="D66" s="1479"/>
      <c r="E66" s="1355"/>
      <c r="F66" s="1355"/>
      <c r="G66" s="1355"/>
      <c r="H66" s="1403"/>
      <c r="I66" s="1517">
        <f>INDEX(TEMPLATE_NUMBER_POINT_FHD,B66,MATCH(TEMPLATE_SPHERE,TEMPLATE_SPHERE_LIST_FOR_NOTE,0))</f>
        <v>0</v>
      </c>
      <c r="J66" s="1517">
        <f>INDEX(TEMPLATE_DATA_POINT_FHD,B66,MATCH(TEMPLATE_SPHERE,TEMPLATE_SPHERE_LIST_FOR_NOTE,0))</f>
        <v>0</v>
      </c>
      <c r="K66" s="1517">
        <f>INDEX(TEMPLATE_NOTE_POINT_FHD,B66,MATCH(TEMPLATE_SPHERE,TEMPLATE_SPHERE_LIST_FOR_NOTE,0))</f>
        <v>0</v>
      </c>
      <c r="L66" s="1356" t="str">
        <f>IF(I66=0,"",I66)</f>
        <v/>
      </c>
      <c r="M66" s="1356" t="str">
        <f>IF(J66=0,"",J66)</f>
        <v/>
      </c>
      <c r="N66" s="1356" t="str">
        <f>IF(K66=0,"",K66)</f>
        <v/>
      </c>
      <c r="O66" s="1469"/>
      <c r="P66" s="1469" t="s">
        <v>2203</v>
      </c>
      <c r="Q66" s="1469"/>
      <c r="R66" s="1469"/>
      <c r="S66" s="1469"/>
      <c r="T66" s="1355"/>
      <c r="U66" s="1355" t="s">
        <v>2288</v>
      </c>
      <c r="V66" s="1355"/>
      <c r="W66" s="1355"/>
      <c r="X66" s="1355"/>
      <c r="Y66" s="1512"/>
      <c r="Z66" s="1358"/>
      <c r="AA66" s="1361"/>
      <c r="AB66" s="1358"/>
      <c r="AC66" s="1358"/>
      <c r="AD66" s="1358"/>
    </row>
    <row customHeight="1" ht="27">
      <c r="A67" s="1357"/>
      <c r="B67" s="1411">
        <v>50</v>
      </c>
      <c r="C67" s="1355"/>
      <c r="D67" s="1479"/>
      <c r="E67" s="1355"/>
      <c r="F67" s="1355"/>
      <c r="G67" s="1355"/>
      <c r="H67" s="1403"/>
      <c r="I67" s="1517">
        <f>INDEX(TEMPLATE_NUMBER_POINT_FHD,B67,MATCH(TEMPLATE_SPHERE,TEMPLATE_SPHERE_LIST_FOR_NOTE,0))</f>
        <v>0</v>
      </c>
      <c r="J67" s="1517">
        <f>INDEX(TEMPLATE_DATA_POINT_FHD,B67,MATCH(TEMPLATE_SPHERE,TEMPLATE_SPHERE_LIST_FOR_NOTE,0))</f>
        <v>0</v>
      </c>
      <c r="K67" s="1517">
        <f>INDEX(TEMPLATE_NOTE_POINT_FHD,B67,MATCH(TEMPLATE_SPHERE,TEMPLATE_SPHERE_LIST_FOR_NOTE,0))</f>
        <v>0</v>
      </c>
      <c r="L67" s="1356" t="str">
        <f>IF(I67=0,"",I67)</f>
        <v/>
      </c>
      <c r="M67" s="1356" t="str">
        <f>IF(J67=0,"",J67)</f>
        <v/>
      </c>
      <c r="N67" s="1356" t="str">
        <f>IF(K67=0,"",K67)</f>
        <v/>
      </c>
      <c r="O67" s="1469"/>
      <c r="P67" s="1469" t="s">
        <v>2289</v>
      </c>
      <c r="Q67" s="1469"/>
      <c r="R67" s="1469"/>
      <c r="S67" s="1469"/>
      <c r="T67" s="1355"/>
      <c r="U67" s="1355" t="s">
        <v>2290</v>
      </c>
      <c r="V67" s="1355"/>
      <c r="W67" s="1355"/>
      <c r="X67" s="1355"/>
      <c r="Y67" s="1512"/>
      <c r="Z67" s="1358"/>
      <c r="AA67" s="1361"/>
      <c r="AB67" s="1358"/>
      <c r="AC67" s="1358"/>
      <c r="AD67" s="1358"/>
    </row>
    <row customHeight="1" ht="27">
      <c r="A68" s="1357"/>
      <c r="B68" s="1411">
        <v>51</v>
      </c>
      <c r="C68" s="1355"/>
      <c r="D68" s="1479"/>
      <c r="E68" s="1355"/>
      <c r="F68" s="1355"/>
      <c r="G68" s="1355"/>
      <c r="H68" s="1403"/>
      <c r="I68" s="1517">
        <f>INDEX(TEMPLATE_NUMBER_POINT_FHD,B68,MATCH(TEMPLATE_SPHERE,TEMPLATE_SPHERE_LIST_FOR_NOTE,0))</f>
        <v>0</v>
      </c>
      <c r="J68" s="1517">
        <f>INDEX(TEMPLATE_DATA_POINT_FHD,B68,MATCH(TEMPLATE_SPHERE,TEMPLATE_SPHERE_LIST_FOR_NOTE,0))</f>
        <v>0</v>
      </c>
      <c r="K68" s="1517">
        <f>INDEX(TEMPLATE_NOTE_POINT_FHD,B68,MATCH(TEMPLATE_SPHERE,TEMPLATE_SPHERE_LIST_FOR_NOTE,0))</f>
        <v>0</v>
      </c>
      <c r="L68" s="1356" t="str">
        <f>IF(I68=0,"",I68)</f>
        <v/>
      </c>
      <c r="M68" s="1356" t="str">
        <f>IF(J68=0,"",J68)</f>
        <v/>
      </c>
      <c r="N68" s="1356" t="str">
        <f>IF(K68=0,"",K68)</f>
        <v/>
      </c>
      <c r="O68" s="1469"/>
      <c r="P68" s="1469" t="s">
        <v>2291</v>
      </c>
      <c r="Q68" s="1469"/>
      <c r="R68" s="1469"/>
      <c r="S68" s="1469"/>
      <c r="T68" s="1355"/>
      <c r="U68" s="1355" t="s">
        <v>2292</v>
      </c>
      <c r="V68" s="1355"/>
      <c r="W68" s="1355"/>
      <c r="X68" s="1355"/>
      <c r="Y68" s="1512"/>
      <c r="Z68" s="1358"/>
      <c r="AA68" s="1361"/>
      <c r="AB68" s="1358"/>
      <c r="AC68" s="1358"/>
      <c r="AD68" s="1358"/>
    </row>
    <row customHeight="1" ht="9">
      <c r="A69" s="1357"/>
      <c r="B69" s="1411">
        <v>52</v>
      </c>
      <c r="C69" s="1355"/>
      <c r="D69" s="1479" t="s">
        <v>2293</v>
      </c>
      <c r="E69" s="1355"/>
      <c r="F69" s="1355"/>
      <c r="G69" s="1355"/>
      <c r="H69" s="1403"/>
      <c r="I69" s="1517">
        <f>INDEX(TEMPLATE_NUMBER_POINT_FHD,B69,MATCH(TEMPLATE_SPHERE,TEMPLATE_SPHERE_LIST_FOR_NOTE,0))</f>
        <v>0</v>
      </c>
      <c r="J69" s="1517">
        <f>INDEX(TEMPLATE_DATA_POINT_FHD,B69,MATCH(TEMPLATE_SPHERE,TEMPLATE_SPHERE_LIST_FOR_NOTE,0))</f>
        <v>0</v>
      </c>
      <c r="K69" s="1517">
        <f>INDEX(TEMPLATE_NOTE_POINT_FHD,B69,MATCH(TEMPLATE_SPHERE,TEMPLATE_SPHERE_LIST_FOR_NOTE,0))</f>
        <v>0</v>
      </c>
      <c r="L69" s="1356" t="str">
        <f>IF(I69=0,"",I69)</f>
        <v/>
      </c>
      <c r="M69" s="1356" t="str">
        <f>IF(J69=0,"",J69)</f>
        <v/>
      </c>
      <c r="N69" s="1356" t="str">
        <f>IF(K69=0,"",K69)</f>
        <v/>
      </c>
      <c r="O69" s="1469"/>
      <c r="P69" s="1469" t="s">
        <v>150</v>
      </c>
      <c r="Q69" s="1469"/>
      <c r="R69" s="1469"/>
      <c r="S69" s="1469"/>
      <c r="T69" s="1355"/>
      <c r="U69" s="1355" t="s">
        <v>2294</v>
      </c>
      <c r="V69" s="1355"/>
      <c r="W69" s="1355"/>
      <c r="X69" s="1355"/>
      <c r="Y69" s="1512"/>
      <c r="Z69" s="1358"/>
      <c r="AA69" s="1361"/>
      <c r="AB69" s="1358"/>
      <c r="AC69" s="1358"/>
      <c r="AD69" s="1358"/>
    </row>
    <row customHeight="1" ht="27">
      <c r="A70" s="1357"/>
      <c r="B70" s="1411">
        <v>53</v>
      </c>
      <c r="C70" s="1355"/>
      <c r="D70" s="1479"/>
      <c r="E70" s="1355" t="s">
        <v>2278</v>
      </c>
      <c r="F70" s="1355"/>
      <c r="G70" s="1355"/>
      <c r="H70" s="1403"/>
      <c r="I70" s="1517">
        <f>INDEX(TEMPLATE_NUMBER_POINT_FHD,B70,MATCH(TEMPLATE_SPHERE,TEMPLATE_SPHERE_LIST_FOR_NOTE,0))</f>
        <v>0</v>
      </c>
      <c r="J70" s="1517">
        <f>INDEX(TEMPLATE_DATA_POINT_FHD,B70,MATCH(TEMPLATE_SPHERE,TEMPLATE_SPHERE_LIST_FOR_NOTE,0))</f>
        <v>0</v>
      </c>
      <c r="K70" s="1517">
        <f>INDEX(TEMPLATE_NOTE_POINT_FHD,B70,MATCH(TEMPLATE_SPHERE,TEMPLATE_SPHERE_LIST_FOR_NOTE,0))</f>
        <v>0</v>
      </c>
      <c r="L70" s="1356" t="str">
        <f>IF(I70=0,"",I70)</f>
        <v/>
      </c>
      <c r="M70" s="1356" t="str">
        <f>IF(J70=0,"",J70)</f>
        <v/>
      </c>
      <c r="N70" s="1356" t="str">
        <f>IF(K70=0,"",K70)</f>
        <v/>
      </c>
      <c r="O70" s="1469"/>
      <c r="P70" s="1469"/>
      <c r="Q70" s="1469" t="s">
        <v>95</v>
      </c>
      <c r="R70" s="1469"/>
      <c r="S70" s="1469"/>
      <c r="T70" s="1355"/>
      <c r="U70" s="1355"/>
      <c r="V70" s="1355" t="s">
        <v>2295</v>
      </c>
      <c r="W70" s="1355"/>
      <c r="X70" s="1355"/>
      <c r="Y70" s="1512"/>
      <c r="Z70" s="1358"/>
      <c r="AA70" s="1361"/>
      <c r="AB70" s="1358"/>
      <c r="AC70" s="1358"/>
      <c r="AD70" s="1358"/>
    </row>
    <row customHeight="1" ht="36">
      <c r="A71" s="1357"/>
      <c r="B71" s="1411">
        <v>54</v>
      </c>
      <c r="C71" s="1355"/>
      <c r="D71" s="1479"/>
      <c r="E71" s="1355" t="s">
        <v>2280</v>
      </c>
      <c r="F71" s="1355"/>
      <c r="G71" s="1355"/>
      <c r="H71" s="1403"/>
      <c r="I71" s="1517">
        <f>INDEX(TEMPLATE_NUMBER_POINT_FHD,B71,MATCH(TEMPLATE_SPHERE,TEMPLATE_SPHERE_LIST_FOR_NOTE,0))</f>
        <v>0</v>
      </c>
      <c r="J71" s="1517">
        <f>INDEX(TEMPLATE_DATA_POINT_FHD,B71,MATCH(TEMPLATE_SPHERE,TEMPLATE_SPHERE_LIST_FOR_NOTE,0))</f>
        <v>0</v>
      </c>
      <c r="K71" s="1517">
        <f>INDEX(TEMPLATE_NOTE_POINT_FHD,B71,MATCH(TEMPLATE_SPHERE,TEMPLATE_SPHERE_LIST_FOR_NOTE,0))</f>
        <v>0</v>
      </c>
      <c r="L71" s="1356" t="str">
        <f>IF(I71=0,"",I71)</f>
        <v/>
      </c>
      <c r="M71" s="1356" t="str">
        <f>IF(J71=0,"",J71)</f>
        <v/>
      </c>
      <c r="N71" s="1356" t="str">
        <f>IF(K71=0,"",K71)</f>
        <v/>
      </c>
      <c r="O71" s="1469"/>
      <c r="P71" s="1469"/>
      <c r="Q71" s="1469" t="s">
        <v>134</v>
      </c>
      <c r="R71" s="1469"/>
      <c r="S71" s="1469"/>
      <c r="T71" s="1355"/>
      <c r="U71" s="1355"/>
      <c r="V71" s="1355" t="s">
        <v>2296</v>
      </c>
      <c r="W71" s="1355"/>
      <c r="X71" s="1355"/>
      <c r="Y71" s="1512"/>
      <c r="Z71" s="1358"/>
      <c r="AA71" s="1361"/>
      <c r="AB71" s="1358"/>
      <c r="AC71" s="1358"/>
      <c r="AD71" s="1358"/>
    </row>
    <row customHeight="1" ht="27">
      <c r="A72" s="1357"/>
      <c r="B72" s="1411">
        <v>55</v>
      </c>
      <c r="C72" s="1355"/>
      <c r="D72" s="1479"/>
      <c r="E72" s="1355" t="s">
        <v>2282</v>
      </c>
      <c r="F72" s="1355"/>
      <c r="G72" s="1355"/>
      <c r="H72" s="1403"/>
      <c r="I72" s="1517">
        <f>INDEX(TEMPLATE_NUMBER_POINT_FHD,B72,MATCH(TEMPLATE_SPHERE,TEMPLATE_SPHERE_LIST_FOR_NOTE,0))</f>
        <v>0</v>
      </c>
      <c r="J72" s="1517">
        <f>INDEX(TEMPLATE_DATA_POINT_FHD,B72,MATCH(TEMPLATE_SPHERE,TEMPLATE_SPHERE_LIST_FOR_NOTE,0))</f>
        <v>0</v>
      </c>
      <c r="K72" s="1517">
        <f>INDEX(TEMPLATE_NOTE_POINT_FHD,B72,MATCH(TEMPLATE_SPHERE,TEMPLATE_SPHERE_LIST_FOR_NOTE,0))</f>
        <v>0</v>
      </c>
      <c r="L72" s="1356" t="str">
        <f>IF(I72=0,"",I72)</f>
        <v/>
      </c>
      <c r="M72" s="1356" t="str">
        <f>IF(J72=0,"",J72)</f>
        <v/>
      </c>
      <c r="N72" s="1356" t="str">
        <f>IF(K72=0,"",K72)</f>
        <v/>
      </c>
      <c r="O72" s="1469"/>
      <c r="P72" s="1469"/>
      <c r="Q72" s="1469" t="s">
        <v>139</v>
      </c>
      <c r="R72" s="1469"/>
      <c r="S72" s="1469"/>
      <c r="T72" s="1355"/>
      <c r="U72" s="1355"/>
      <c r="V72" s="1355" t="s">
        <v>2297</v>
      </c>
      <c r="W72" s="1355"/>
      <c r="X72" s="1355"/>
      <c r="Y72" s="1512"/>
      <c r="Z72" s="1358"/>
      <c r="AA72" s="1361"/>
      <c r="AB72" s="1358"/>
      <c r="AC72" s="1358"/>
      <c r="AD72" s="1358"/>
    </row>
    <row customHeight="1" ht="36">
      <c r="A73" s="1357"/>
      <c r="B73" s="1411">
        <v>56</v>
      </c>
      <c r="C73" s="1355"/>
      <c r="D73" s="1479"/>
      <c r="E73" s="1355" t="s">
        <v>2284</v>
      </c>
      <c r="F73" s="1355"/>
      <c r="G73" s="1355"/>
      <c r="H73" s="1403"/>
      <c r="I73" s="1517">
        <f>INDEX(TEMPLATE_NUMBER_POINT_FHD,B73,MATCH(TEMPLATE_SPHERE,TEMPLATE_SPHERE_LIST_FOR_NOTE,0))</f>
        <v>0</v>
      </c>
      <c r="J73" s="1517">
        <f>INDEX(TEMPLATE_DATA_POINT_FHD,B73,MATCH(TEMPLATE_SPHERE,TEMPLATE_SPHERE_LIST_FOR_NOTE,0))</f>
        <v>0</v>
      </c>
      <c r="K73" s="1517">
        <f>INDEX(TEMPLATE_NOTE_POINT_FHD,B73,MATCH(TEMPLATE_SPHERE,TEMPLATE_SPHERE_LIST_FOR_NOTE,0))</f>
        <v>0</v>
      </c>
      <c r="L73" s="1356" t="str">
        <f>IF(I73=0,"",I73)</f>
        <v/>
      </c>
      <c r="M73" s="1356" t="str">
        <f>IF(J73=0,"",J73)</f>
        <v/>
      </c>
      <c r="N73" s="1356" t="str">
        <f>IF(K73=0,"",K73)</f>
        <v/>
      </c>
      <c r="O73" s="1469"/>
      <c r="P73" s="1469"/>
      <c r="Q73" s="1469" t="s">
        <v>145</v>
      </c>
      <c r="R73" s="1469"/>
      <c r="S73" s="1469"/>
      <c r="T73" s="1355"/>
      <c r="U73" s="1355"/>
      <c r="V73" s="1355" t="s">
        <v>2298</v>
      </c>
      <c r="W73" s="1355"/>
      <c r="X73" s="1355"/>
      <c r="Y73" s="1512"/>
      <c r="Z73" s="1358"/>
      <c r="AA73" s="1361"/>
      <c r="AB73" s="1358"/>
      <c r="AC73" s="1358"/>
      <c r="AD73" s="1358"/>
    </row>
    <row customHeight="1" ht="18">
      <c r="A74" s="1357"/>
      <c r="B74" s="1411">
        <v>57</v>
      </c>
      <c r="C74" s="1355"/>
      <c r="D74" s="1479"/>
      <c r="E74" s="1355" t="s">
        <v>2293</v>
      </c>
      <c r="F74" s="1355"/>
      <c r="G74" s="1355"/>
      <c r="H74" s="1403"/>
      <c r="I74" s="1517">
        <f>INDEX(TEMPLATE_NUMBER_POINT_FHD,B74,MATCH(TEMPLATE_SPHERE,TEMPLATE_SPHERE_LIST_FOR_NOTE,0))</f>
        <v>0</v>
      </c>
      <c r="J74" s="1517">
        <f>INDEX(TEMPLATE_DATA_POINT_FHD,B74,MATCH(TEMPLATE_SPHERE,TEMPLATE_SPHERE_LIST_FOR_NOTE,0))</f>
        <v>0</v>
      </c>
      <c r="K74" s="1517">
        <f>INDEX(TEMPLATE_NOTE_POINT_FHD,B74,MATCH(TEMPLATE_SPHERE,TEMPLATE_SPHERE_LIST_FOR_NOTE,0))</f>
        <v>0</v>
      </c>
      <c r="L74" s="1356" t="str">
        <f>IF(I74=0,"",I74)</f>
        <v/>
      </c>
      <c r="M74" s="1356" t="str">
        <f>IF(J74=0,"",J74)</f>
        <v/>
      </c>
      <c r="N74" s="1356" t="str">
        <f>IF(K74=0,"",K74)</f>
        <v/>
      </c>
      <c r="O74" s="1469"/>
      <c r="P74" s="1469"/>
      <c r="Q74" s="1469" t="s">
        <v>150</v>
      </c>
      <c r="R74" s="1469"/>
      <c r="S74" s="1469"/>
      <c r="T74" s="1355"/>
      <c r="U74" s="1355"/>
      <c r="V74" s="1355" t="s">
        <v>2299</v>
      </c>
      <c r="W74" s="1355"/>
      <c r="X74" s="1355"/>
      <c r="Y74" s="1512"/>
      <c r="Z74" s="1358"/>
      <c r="AA74" s="1361"/>
      <c r="AB74" s="1358"/>
      <c r="AC74" s="1358"/>
      <c r="AD74" s="1358"/>
    </row>
    <row customHeight="1" ht="18">
      <c r="A75" s="1357"/>
      <c r="B75" s="1411">
        <v>58</v>
      </c>
      <c r="C75" s="1355"/>
      <c r="D75" s="1479"/>
      <c r="E75" s="1355"/>
      <c r="F75" s="1355" t="s">
        <v>2278</v>
      </c>
      <c r="G75" s="1355"/>
      <c r="H75" s="1403"/>
      <c r="I75" s="1517" t="str">
        <f>INDEX(TEMPLATE_NUMBER_POINT_FHD,B75,MATCH(TEMPLATE_SPHERE,TEMPLATE_SPHERE_LIST_FOR_NOTE,0))</f>
        <v>7</v>
      </c>
      <c r="J75" s="1517" t="str">
        <f>INDEX(TEMPLATE_DATA_POINT_FHD,B75,MATCH(TEMPLATE_SPHERE,TEMPLATE_SPHERE_LIST_FOR_NOTE,0))</f>
        <v>Объём сточных вод, принятых от потребителей</v>
      </c>
      <c r="K75" s="1517">
        <f>INDEX(TEMPLATE_NOTE_POINT_FHD,B75,MATCH(TEMPLATE_SPHERE,TEMPLATE_SPHERE_LIST_FOR_NOTE,0))</f>
        <v>0</v>
      </c>
      <c r="L75" s="1356" t="str">
        <f>IF(I75=0,"",I75)</f>
        <v>7</v>
      </c>
      <c r="M75" s="1356" t="str">
        <f>IF(J75=0,"",J75)</f>
        <v>Объём сточных вод, принятых от потребителей</v>
      </c>
      <c r="N75" s="1356" t="str">
        <f>IF(K75=0,"",K75)</f>
        <v/>
      </c>
      <c r="O75" s="1469"/>
      <c r="P75" s="1469"/>
      <c r="Q75" s="1469"/>
      <c r="R75" s="1469" t="s">
        <v>95</v>
      </c>
      <c r="S75" s="1469"/>
      <c r="T75" s="1355"/>
      <c r="U75" s="1355"/>
      <c r="V75" s="1355"/>
      <c r="W75" s="1355" t="s">
        <v>2300</v>
      </c>
      <c r="X75" s="1355"/>
      <c r="Y75" s="1512"/>
      <c r="Z75" s="1358"/>
      <c r="AA75" s="1361"/>
      <c r="AB75" s="1358"/>
      <c r="AC75" s="1358"/>
      <c r="AD75" s="1358"/>
    </row>
    <row customHeight="1" ht="36">
      <c r="A76" s="1357"/>
      <c r="B76" s="1411">
        <v>59</v>
      </c>
      <c r="C76" s="1355"/>
      <c r="D76" s="1479"/>
      <c r="E76" s="1355"/>
      <c r="F76" s="1355" t="s">
        <v>2280</v>
      </c>
      <c r="G76" s="1355"/>
      <c r="H76" s="1403"/>
      <c r="I76" s="1517" t="str">
        <f>INDEX(TEMPLATE_NUMBER_POINT_FHD,B76,MATCH(TEMPLATE_SPHERE,TEMPLATE_SPHERE_LIST_FOR_NOTE,0))</f>
        <v>8</v>
      </c>
      <c r="J76" s="1517" t="str">
        <f>INDEX(TEMPLATE_DATA_POINT_FHD,B76,MATCH(TEMPLATE_SPHERE,TEMPLATE_SPHERE_LIST_FOR_NOTE,0))</f>
        <v>Объём сточных вод, принятых от других регулируемых организаций, осуществляющих водоотведение и (или) очистку сточных вод</v>
      </c>
      <c r="K76" s="1517">
        <f>INDEX(TEMPLATE_NOTE_POINT_FHD,B76,MATCH(TEMPLATE_SPHERE,TEMPLATE_SPHERE_LIST_FOR_NOTE,0))</f>
        <v>0</v>
      </c>
      <c r="L76" s="1356" t="str">
        <f>IF(I76=0,"",I76)</f>
        <v>8</v>
      </c>
      <c r="M76" s="1356" t="str">
        <f>IF(J76=0,"",J76)</f>
        <v>Объём сточных вод, принятых от других регулируемых организаций, осуществляющих водоотведение и (или) очистку сточных вод</v>
      </c>
      <c r="N76" s="1356" t="str">
        <f>IF(K76=0,"",K76)</f>
        <v/>
      </c>
      <c r="O76" s="1469"/>
      <c r="P76" s="1469"/>
      <c r="Q76" s="1469"/>
      <c r="R76" s="1469" t="s">
        <v>134</v>
      </c>
      <c r="S76" s="1469"/>
      <c r="T76" s="1355"/>
      <c r="U76" s="1355"/>
      <c r="V76" s="1355"/>
      <c r="W76" s="1355" t="s">
        <v>2301</v>
      </c>
      <c r="X76" s="1355"/>
      <c r="Y76" s="1512"/>
      <c r="Z76" s="1358"/>
      <c r="AA76" s="1361"/>
      <c r="AB76" s="1358"/>
      <c r="AC76" s="1358"/>
      <c r="AD76" s="1358"/>
    </row>
    <row customHeight="1" ht="18">
      <c r="A77" s="1357"/>
      <c r="B77" s="1411">
        <v>60</v>
      </c>
      <c r="C77" s="1355"/>
      <c r="D77" s="1479"/>
      <c r="E77" s="1355"/>
      <c r="F77" s="1355" t="s">
        <v>2282</v>
      </c>
      <c r="G77" s="1355"/>
      <c r="H77" s="1403"/>
      <c r="I77" s="1517" t="str">
        <f>INDEX(TEMPLATE_NUMBER_POINT_FHD,B77,MATCH(TEMPLATE_SPHERE,TEMPLATE_SPHERE_LIST_FOR_NOTE,0))</f>
        <v>9</v>
      </c>
      <c r="J77" s="1517" t="str">
        <f>INDEX(TEMPLATE_DATA_POINT_FHD,B77,MATCH(TEMPLATE_SPHERE,TEMPLATE_SPHERE_LIST_FOR_NOTE,0))</f>
        <v>Объём сточных вод, пропущенных через очистные сооружения</v>
      </c>
      <c r="K77" s="1517">
        <f>INDEX(TEMPLATE_NOTE_POINT_FHD,B77,MATCH(TEMPLATE_SPHERE,TEMPLATE_SPHERE_LIST_FOR_NOTE,0))</f>
        <v>0</v>
      </c>
      <c r="L77" s="1356" t="str">
        <f>IF(I77=0,"",I77)</f>
        <v>9</v>
      </c>
      <c r="M77" s="1356" t="str">
        <f>IF(J77=0,"",J77)</f>
        <v>Объём сточных вод, пропущенных через очистные сооружения</v>
      </c>
      <c r="N77" s="1356" t="str">
        <f>IF(K77=0,"",K77)</f>
        <v/>
      </c>
      <c r="O77" s="1469"/>
      <c r="P77" s="1469"/>
      <c r="Q77" s="1469"/>
      <c r="R77" s="1469" t="s">
        <v>139</v>
      </c>
      <c r="S77" s="1469"/>
      <c r="T77" s="1355"/>
      <c r="U77" s="1355"/>
      <c r="V77" s="1355"/>
      <c r="W77" s="1355" t="s">
        <v>2302</v>
      </c>
      <c r="X77" s="1355"/>
      <c r="Y77" s="1512"/>
      <c r="Z77" s="1358"/>
      <c r="AA77" s="1361"/>
      <c r="AB77" s="1358"/>
      <c r="AC77" s="1358"/>
      <c r="AD77" s="1358"/>
    </row>
    <row customHeight="1" ht="72">
      <c r="A78" s="1357"/>
      <c r="B78" s="1411">
        <v>61</v>
      </c>
      <c r="C78" s="1355" t="s">
        <v>2278</v>
      </c>
      <c r="D78" s="1479"/>
      <c r="E78" s="1355"/>
      <c r="F78" s="1355"/>
      <c r="G78" s="1355"/>
      <c r="H78" s="1403"/>
      <c r="I78" s="1517">
        <f>INDEX(TEMPLATE_NUMBER_POINT_FHD,B78,MATCH(TEMPLATE_SPHERE,TEMPLATE_SPHERE_LIST_FOR_NOTE,0))</f>
        <v>0</v>
      </c>
      <c r="J78" s="1517">
        <f>INDEX(TEMPLATE_DATA_POINT_FHD,B78,MATCH(TEMPLATE_SPHERE,TEMPLATE_SPHERE_LIST_FOR_NOTE,0))</f>
        <v>0</v>
      </c>
      <c r="K78" s="1517">
        <f>INDEX(TEMPLATE_NOTE_POINT_FHD,B78,MATCH(TEMPLATE_SPHERE,TEMPLATE_SPHERE_LIST_FOR_NOTE,0))</f>
        <v>0</v>
      </c>
      <c r="L78" s="1356" t="str">
        <f>IF(I78=0,"",I78)</f>
        <v/>
      </c>
      <c r="M78" s="1356" t="str">
        <f>IF(J78=0,"",J78)</f>
        <v/>
      </c>
      <c r="N78" s="1356" t="str">
        <f>IF(K78=0,"",K78)</f>
        <v/>
      </c>
      <c r="O78" s="1469" t="s">
        <v>95</v>
      </c>
      <c r="P78" s="1469"/>
      <c r="Q78" s="1469"/>
      <c r="R78" s="1469"/>
      <c r="S78" s="1469"/>
      <c r="T78" s="1355" t="s">
        <v>751</v>
      </c>
      <c r="U78" s="1355"/>
      <c r="V78" s="1355"/>
      <c r="W78" s="1355"/>
      <c r="X78" s="1355"/>
      <c r="Y78" s="1512"/>
      <c r="Z78" s="1358" t="s">
        <v>2303</v>
      </c>
      <c r="AA78" s="1361"/>
      <c r="AB78" s="1358"/>
      <c r="AC78" s="1358"/>
      <c r="AD78" s="1358"/>
    </row>
    <row customHeight="1" ht="36">
      <c r="A79" s="1357"/>
      <c r="B79" s="1411">
        <v>62</v>
      </c>
      <c r="C79" s="1355" t="s">
        <v>2280</v>
      </c>
      <c r="D79" s="1479"/>
      <c r="E79" s="1355"/>
      <c r="F79" s="1355"/>
      <c r="G79" s="1355"/>
      <c r="H79" s="1403"/>
      <c r="I79" s="1517">
        <f>INDEX(TEMPLATE_NUMBER_POINT_FHD,B79,MATCH(TEMPLATE_SPHERE,TEMPLATE_SPHERE_LIST_FOR_NOTE,0))</f>
        <v>0</v>
      </c>
      <c r="J79" s="1517">
        <f>INDEX(TEMPLATE_DATA_POINT_FHD,B79,MATCH(TEMPLATE_SPHERE,TEMPLATE_SPHERE_LIST_FOR_NOTE,0))</f>
        <v>0</v>
      </c>
      <c r="K79" s="1517">
        <f>INDEX(TEMPLATE_NOTE_POINT_FHD,B79,MATCH(TEMPLATE_SPHERE,TEMPLATE_SPHERE_LIST_FOR_NOTE,0))</f>
        <v>0</v>
      </c>
      <c r="L79" s="1356" t="str">
        <f>IF(I79=0,"",I79)</f>
        <v/>
      </c>
      <c r="M79" s="1356" t="str">
        <f>IF(J79=0,"",J79)</f>
        <v/>
      </c>
      <c r="N79" s="1356" t="str">
        <f>IF(K79=0,"",K79)</f>
        <v/>
      </c>
      <c r="O79" s="1469" t="s">
        <v>134</v>
      </c>
      <c r="P79" s="1469"/>
      <c r="Q79" s="1469"/>
      <c r="R79" s="1469"/>
      <c r="S79" s="1469"/>
      <c r="T79" s="1355" t="s">
        <v>2304</v>
      </c>
      <c r="U79" s="1355"/>
      <c r="V79" s="1355"/>
      <c r="W79" s="1355"/>
      <c r="X79" s="1355"/>
      <c r="Y79" s="1512"/>
      <c r="Z79" s="1358" t="s">
        <v>2305</v>
      </c>
      <c r="AA79" s="1361"/>
      <c r="AB79" s="1358"/>
      <c r="AC79" s="1358"/>
      <c r="AD79" s="1358"/>
    </row>
    <row customHeight="1" ht="45">
      <c r="A80" s="1357"/>
      <c r="B80" s="1411">
        <v>63</v>
      </c>
      <c r="C80" s="1355" t="s">
        <v>2282</v>
      </c>
      <c r="D80" s="1479"/>
      <c r="E80" s="1355"/>
      <c r="F80" s="1355"/>
      <c r="G80" s="1355"/>
      <c r="H80" s="1403"/>
      <c r="I80" s="1517">
        <f>INDEX(TEMPLATE_NUMBER_POINT_FHD,B80,MATCH(TEMPLATE_SPHERE,TEMPLATE_SPHERE_LIST_FOR_NOTE,0))</f>
        <v>0</v>
      </c>
      <c r="J80" s="1517">
        <f>INDEX(TEMPLATE_DATA_POINT_FHD,B80,MATCH(TEMPLATE_SPHERE,TEMPLATE_SPHERE_LIST_FOR_NOTE,0))</f>
        <v>0</v>
      </c>
      <c r="K80" s="1517">
        <f>INDEX(TEMPLATE_NOTE_POINT_FHD,B80,MATCH(TEMPLATE_SPHERE,TEMPLATE_SPHERE_LIST_FOR_NOTE,0))</f>
        <v>0</v>
      </c>
      <c r="L80" s="1356" t="str">
        <f>IF(I80=0,"",I80)</f>
        <v/>
      </c>
      <c r="M80" s="1356" t="str">
        <f>IF(J80=0,"",J80)</f>
        <v/>
      </c>
      <c r="N80" s="1356" t="str">
        <f>IF(K80=0,"",K80)</f>
        <v/>
      </c>
      <c r="O80" s="1469" t="s">
        <v>139</v>
      </c>
      <c r="P80" s="1469"/>
      <c r="Q80" s="1469"/>
      <c r="R80" s="1469"/>
      <c r="S80" s="1469"/>
      <c r="T80" s="1355" t="s">
        <v>2306</v>
      </c>
      <c r="U80" s="1355"/>
      <c r="V80" s="1355"/>
      <c r="W80" s="1355"/>
      <c r="X80" s="1355"/>
      <c r="Y80" s="1512"/>
      <c r="Z80" s="1358" t="s">
        <v>2307</v>
      </c>
      <c r="AA80" s="1361"/>
      <c r="AB80" s="1358"/>
      <c r="AC80" s="1358"/>
      <c r="AD80" s="1358"/>
    </row>
    <row customHeight="1" ht="36">
      <c r="A81" s="1357"/>
      <c r="B81" s="1411">
        <v>64</v>
      </c>
      <c r="C81" s="1355" t="s">
        <v>2284</v>
      </c>
      <c r="D81" s="1479"/>
      <c r="E81" s="1355"/>
      <c r="F81" s="1355"/>
      <c r="G81" s="1355"/>
      <c r="H81" s="1403"/>
      <c r="I81" s="1517">
        <f>INDEX(TEMPLATE_NUMBER_POINT_FHD,B81,MATCH(TEMPLATE_SPHERE,TEMPLATE_SPHERE_LIST_FOR_NOTE,0))</f>
        <v>0</v>
      </c>
      <c r="J81" s="1517">
        <f>INDEX(TEMPLATE_DATA_POINT_FHD,B81,MATCH(TEMPLATE_SPHERE,TEMPLATE_SPHERE_LIST_FOR_NOTE,0))</f>
        <v>0</v>
      </c>
      <c r="K81" s="1517">
        <f>INDEX(TEMPLATE_NOTE_POINT_FHD,B81,MATCH(TEMPLATE_SPHERE,TEMPLATE_SPHERE_LIST_FOR_NOTE,0))</f>
        <v>0</v>
      </c>
      <c r="L81" s="1356" t="str">
        <f>IF(I81=0,"",I81)</f>
        <v/>
      </c>
      <c r="M81" s="1356" t="str">
        <f>IF(J81=0,"",J81)</f>
        <v/>
      </c>
      <c r="N81" s="1356" t="str">
        <f>IF(K81=0,"",K81)</f>
        <v/>
      </c>
      <c r="O81" s="1469" t="s">
        <v>2190</v>
      </c>
      <c r="P81" s="1469"/>
      <c r="Q81" s="1469"/>
      <c r="R81" s="1469"/>
      <c r="S81" s="1469"/>
      <c r="T81" s="1355" t="s">
        <v>2308</v>
      </c>
      <c r="U81" s="1355"/>
      <c r="V81" s="1355"/>
      <c r="W81" s="1355"/>
      <c r="X81" s="1355"/>
      <c r="Y81" s="1512"/>
      <c r="Z81" s="1358" t="s">
        <v>2309</v>
      </c>
      <c r="AA81" s="1361"/>
      <c r="AB81" s="1358"/>
      <c r="AC81" s="1358"/>
      <c r="AD81" s="1358"/>
    </row>
    <row customHeight="1" ht="90">
      <c r="A82" s="1357"/>
      <c r="B82" s="1411">
        <v>65</v>
      </c>
      <c r="C82" s="1355" t="s">
        <v>2293</v>
      </c>
      <c r="D82" s="1479"/>
      <c r="E82" s="1355"/>
      <c r="F82" s="1355"/>
      <c r="G82" s="1355"/>
      <c r="H82" s="1403"/>
      <c r="I82" s="1517">
        <f>INDEX(TEMPLATE_NUMBER_POINT_FHD,B82,MATCH(TEMPLATE_SPHERE,TEMPLATE_SPHERE_LIST_FOR_NOTE,0))</f>
        <v>0</v>
      </c>
      <c r="J82" s="1517">
        <f>INDEX(TEMPLATE_DATA_POINT_FHD,B82,MATCH(TEMPLATE_SPHERE,TEMPLATE_SPHERE_LIST_FOR_NOTE,0))</f>
        <v>0</v>
      </c>
      <c r="K82" s="1517">
        <f>INDEX(TEMPLATE_NOTE_POINT_FHD,B82,MATCH(TEMPLATE_SPHERE,TEMPLATE_SPHERE_LIST_FOR_NOTE,0))</f>
        <v>0</v>
      </c>
      <c r="L82" s="1356" t="str">
        <f>IF(I82=0,"",I82)</f>
        <v/>
      </c>
      <c r="M82" s="1356" t="str">
        <f>IF(J82=0,"",J82)</f>
        <v/>
      </c>
      <c r="N82" s="1356" t="str">
        <f>IF(K82=0,"",K82)</f>
        <v/>
      </c>
      <c r="O82" s="1469" t="s">
        <v>145</v>
      </c>
      <c r="P82" s="1469"/>
      <c r="Q82" s="1469"/>
      <c r="R82" s="1469"/>
      <c r="S82" s="1469"/>
      <c r="T82" s="1355" t="s">
        <v>2310</v>
      </c>
      <c r="U82" s="1355"/>
      <c r="V82" s="1355"/>
      <c r="W82" s="1355"/>
      <c r="X82" s="1355"/>
      <c r="Y82" s="1512"/>
      <c r="Z82" s="1358" t="s">
        <v>2311</v>
      </c>
      <c r="AA82" s="1361"/>
      <c r="AB82" s="1358"/>
      <c r="AC82" s="1358"/>
      <c r="AD82" s="1358"/>
    </row>
    <row customHeight="1" ht="9">
      <c r="A83" s="1357"/>
      <c r="B83" s="1411">
        <v>66</v>
      </c>
      <c r="C83" s="1355"/>
      <c r="D83" s="1479"/>
      <c r="E83" s="1355"/>
      <c r="F83" s="1355"/>
      <c r="G83" s="1355"/>
      <c r="H83" s="1403"/>
      <c r="I83" s="1517">
        <f>INDEX(TEMPLATE_NUMBER_POINT_FHD,B83,MATCH(TEMPLATE_SPHERE,TEMPLATE_SPHERE_LIST_FOR_NOTE,0))</f>
        <v>0</v>
      </c>
      <c r="J83" s="1517">
        <f>INDEX(TEMPLATE_DATA_POINT_FHD,B83,MATCH(TEMPLATE_SPHERE,TEMPLATE_SPHERE_LIST_FOR_NOTE,0))</f>
        <v>0</v>
      </c>
      <c r="K83" s="1517">
        <f>INDEX(TEMPLATE_NOTE_POINT_FHD,B83,MATCH(TEMPLATE_SPHERE,TEMPLATE_SPHERE_LIST_FOR_NOTE,0))</f>
        <v>0</v>
      </c>
      <c r="L83" s="1356" t="str">
        <f>IF(I83=0,"",I83)</f>
        <v/>
      </c>
      <c r="M83" s="1356" t="str">
        <f>IF(J83=0,"",J83)</f>
        <v/>
      </c>
      <c r="N83" s="1356" t="str">
        <f>IF(K83=0,"",K83)</f>
        <v/>
      </c>
      <c r="O83" s="1469" t="s">
        <v>2199</v>
      </c>
      <c r="P83" s="1469"/>
      <c r="Q83" s="1469"/>
      <c r="R83" s="1469"/>
      <c r="S83" s="1469"/>
      <c r="T83" s="1355" t="s">
        <v>2312</v>
      </c>
      <c r="U83" s="1355"/>
      <c r="V83" s="1355"/>
      <c r="W83" s="1355"/>
      <c r="X83" s="1355"/>
      <c r="Y83" s="1512"/>
      <c r="Z83" s="1358"/>
      <c r="AA83" s="1361"/>
      <c r="AB83" s="1358"/>
      <c r="AC83" s="1358"/>
      <c r="AD83" s="1358"/>
    </row>
    <row customHeight="1" ht="54">
      <c r="A84" s="1357"/>
      <c r="B84" s="1411">
        <v>67</v>
      </c>
      <c r="C84" s="1355"/>
      <c r="D84" s="1479"/>
      <c r="E84" s="1355"/>
      <c r="F84" s="1355"/>
      <c r="G84" s="1355"/>
      <c r="H84" s="1403"/>
      <c r="I84" s="1517">
        <f>INDEX(TEMPLATE_NUMBER_POINT_FHD,B84,MATCH(TEMPLATE_SPHERE,TEMPLATE_SPHERE_LIST_FOR_NOTE,0))</f>
        <v>0</v>
      </c>
      <c r="J84" s="1517">
        <f>INDEX(TEMPLATE_DATA_POINT_FHD,B84,MATCH(TEMPLATE_SPHERE,TEMPLATE_SPHERE_LIST_FOR_NOTE,0))</f>
        <v>0</v>
      </c>
      <c r="K84" s="1517">
        <f>INDEX(TEMPLATE_NOTE_POINT_FHD,B84,MATCH(TEMPLATE_SPHERE,TEMPLATE_SPHERE_LIST_FOR_NOTE,0))</f>
        <v>0</v>
      </c>
      <c r="L84" s="1356" t="str">
        <f>IF(I84=0,"",I84)</f>
        <v/>
      </c>
      <c r="M84" s="1356" t="str">
        <f>IF(J84=0,"",J84)</f>
        <v/>
      </c>
      <c r="N84" s="1356" t="str">
        <f>IF(K84=0,"",K84)</f>
        <v/>
      </c>
      <c r="O84" s="1469" t="s">
        <v>2313</v>
      </c>
      <c r="P84" s="1469"/>
      <c r="Q84" s="1469"/>
      <c r="R84" s="1469"/>
      <c r="S84" s="1469"/>
      <c r="T84" s="1355" t="s">
        <v>2314</v>
      </c>
      <c r="U84" s="1355"/>
      <c r="V84" s="1355"/>
      <c r="W84" s="1355"/>
      <c r="X84" s="1355"/>
      <c r="Y84" s="1512"/>
      <c r="Z84" s="1358"/>
      <c r="AA84" s="1361"/>
      <c r="AB84" s="1358"/>
      <c r="AC84" s="1358"/>
      <c r="AD84" s="1358"/>
    </row>
    <row customHeight="1" ht="9">
      <c r="A85" s="1357"/>
      <c r="B85" s="1411">
        <v>68</v>
      </c>
      <c r="C85" s="1355"/>
      <c r="D85" s="1479"/>
      <c r="E85" s="1355"/>
      <c r="F85" s="1355"/>
      <c r="G85" s="1355"/>
      <c r="H85" s="1403"/>
      <c r="I85" s="1517">
        <f>INDEX(TEMPLATE_NUMBER_POINT_FHD,B85,MATCH(TEMPLATE_SPHERE,TEMPLATE_SPHERE_LIST_FOR_NOTE,0))</f>
        <v>0</v>
      </c>
      <c r="J85" s="1517">
        <f>INDEX(TEMPLATE_DATA_POINT_FHD,B85,MATCH(TEMPLATE_SPHERE,TEMPLATE_SPHERE_LIST_FOR_NOTE,0))</f>
        <v>0</v>
      </c>
      <c r="K85" s="1517">
        <f>INDEX(TEMPLATE_NOTE_POINT_FHD,B85,MATCH(TEMPLATE_SPHERE,TEMPLATE_SPHERE_LIST_FOR_NOTE,0))</f>
        <v>0</v>
      </c>
      <c r="L85" s="1356" t="str">
        <f>IF(I85=0,"",I85)</f>
        <v/>
      </c>
      <c r="M85" s="1356" t="str">
        <f>IF(J85=0,"",J85)</f>
        <v/>
      </c>
      <c r="N85" s="1356" t="str">
        <f>IF(K85=0,"",K85)</f>
        <v/>
      </c>
      <c r="O85" s="1469" t="s">
        <v>2203</v>
      </c>
      <c r="P85" s="1469"/>
      <c r="Q85" s="1469"/>
      <c r="R85" s="1469"/>
      <c r="S85" s="1469"/>
      <c r="T85" s="1355" t="s">
        <v>2315</v>
      </c>
      <c r="U85" s="1355"/>
      <c r="V85" s="1355"/>
      <c r="W85" s="1355"/>
      <c r="X85" s="1355"/>
      <c r="Y85" s="1512"/>
      <c r="Z85" s="1358"/>
      <c r="AA85" s="1361"/>
      <c r="AB85" s="1358"/>
      <c r="AC85" s="1358"/>
      <c r="AD85" s="1358"/>
    </row>
    <row customHeight="1" ht="27">
      <c r="A86" s="1357"/>
      <c r="B86" s="1411">
        <v>69</v>
      </c>
      <c r="C86" s="1355"/>
      <c r="D86" s="1479"/>
      <c r="E86" s="1355"/>
      <c r="F86" s="1355"/>
      <c r="G86" s="1355"/>
      <c r="H86" s="1403"/>
      <c r="I86" s="1517">
        <f>INDEX(TEMPLATE_NUMBER_POINT_FHD,B86,MATCH(TEMPLATE_SPHERE,TEMPLATE_SPHERE_LIST_FOR_NOTE,0))</f>
        <v>0</v>
      </c>
      <c r="J86" s="1517">
        <f>INDEX(TEMPLATE_DATA_POINT_FHD,B86,MATCH(TEMPLATE_SPHERE,TEMPLATE_SPHERE_LIST_FOR_NOTE,0))</f>
        <v>0</v>
      </c>
      <c r="K86" s="1517">
        <f>INDEX(TEMPLATE_NOTE_POINT_FHD,B86,MATCH(TEMPLATE_SPHERE,TEMPLATE_SPHERE_LIST_FOR_NOTE,0))</f>
        <v>0</v>
      </c>
      <c r="L86" s="1356" t="str">
        <f>IF(I86=0,"",I86)</f>
        <v/>
      </c>
      <c r="M86" s="1356" t="str">
        <f>IF(J86=0,"",J86)</f>
        <v/>
      </c>
      <c r="N86" s="1356" t="str">
        <f>IF(K86=0,"",K86)</f>
        <v/>
      </c>
      <c r="O86" s="1469" t="s">
        <v>2316</v>
      </c>
      <c r="P86" s="1469"/>
      <c r="Q86" s="1469"/>
      <c r="R86" s="1469"/>
      <c r="S86" s="1469"/>
      <c r="T86" s="1355" t="s">
        <v>2317</v>
      </c>
      <c r="U86" s="1355"/>
      <c r="V86" s="1355"/>
      <c r="W86" s="1355"/>
      <c r="X86" s="1355"/>
      <c r="Y86" s="1512"/>
      <c r="Z86" s="1358"/>
      <c r="AA86" s="1361"/>
      <c r="AB86" s="1358"/>
      <c r="AC86" s="1358"/>
      <c r="AD86" s="1358"/>
    </row>
    <row customHeight="1" ht="36">
      <c r="A87" s="1357"/>
      <c r="B87" s="1411">
        <v>70</v>
      </c>
      <c r="C87" s="1355" t="s">
        <v>2318</v>
      </c>
      <c r="D87" s="1479"/>
      <c r="E87" s="1355"/>
      <c r="F87" s="1355"/>
      <c r="G87" s="1355"/>
      <c r="H87" s="1403"/>
      <c r="I87" s="1517">
        <f>INDEX(TEMPLATE_NUMBER_POINT_FHD,B87,MATCH(TEMPLATE_SPHERE,TEMPLATE_SPHERE_LIST_FOR_NOTE,0))</f>
        <v>0</v>
      </c>
      <c r="J87" s="1517">
        <f>INDEX(TEMPLATE_DATA_POINT_FHD,B87,MATCH(TEMPLATE_SPHERE,TEMPLATE_SPHERE_LIST_FOR_NOTE,0))</f>
        <v>0</v>
      </c>
      <c r="K87" s="1517">
        <f>INDEX(TEMPLATE_NOTE_POINT_FHD,B87,MATCH(TEMPLATE_SPHERE,TEMPLATE_SPHERE_LIST_FOR_NOTE,0))</f>
        <v>0</v>
      </c>
      <c r="L87" s="1356" t="str">
        <f>IF(I87=0,"",I87)</f>
        <v/>
      </c>
      <c r="M87" s="1356" t="str">
        <f>IF(J87=0,"",J87)</f>
        <v/>
      </c>
      <c r="N87" s="1356" t="str">
        <f>IF(K87=0,"",K87)</f>
        <v/>
      </c>
      <c r="O87" s="1469" t="s">
        <v>150</v>
      </c>
      <c r="P87" s="1469"/>
      <c r="Q87" s="1469"/>
      <c r="R87" s="1469"/>
      <c r="S87" s="1469"/>
      <c r="T87" s="1355" t="s">
        <v>2319</v>
      </c>
      <c r="U87" s="1355"/>
      <c r="V87" s="1355"/>
      <c r="W87" s="1355"/>
      <c r="X87" s="1355"/>
      <c r="Y87" s="1512"/>
      <c r="Z87" s="1358"/>
      <c r="AA87" s="1361"/>
      <c r="AB87" s="1358"/>
      <c r="AC87" s="1358"/>
      <c r="AD87" s="1358"/>
    </row>
    <row customHeight="1" ht="18">
      <c r="A88" s="1357"/>
      <c r="B88" s="1411">
        <v>71</v>
      </c>
      <c r="C88" s="1355" t="s">
        <v>2320</v>
      </c>
      <c r="D88" s="1479"/>
      <c r="E88" s="1355"/>
      <c r="F88" s="1355"/>
      <c r="G88" s="1355"/>
      <c r="H88" s="1403"/>
      <c r="I88" s="1517">
        <f>INDEX(TEMPLATE_NUMBER_POINT_FHD,B88,MATCH(TEMPLATE_SPHERE,TEMPLATE_SPHERE_LIST_FOR_NOTE,0))</f>
        <v>0</v>
      </c>
      <c r="J88" s="1517">
        <f>INDEX(TEMPLATE_DATA_POINT_FHD,B88,MATCH(TEMPLATE_SPHERE,TEMPLATE_SPHERE_LIST_FOR_NOTE,0))</f>
        <v>0</v>
      </c>
      <c r="K88" s="1517">
        <f>INDEX(TEMPLATE_NOTE_POINT_FHD,B88,MATCH(TEMPLATE_SPHERE,TEMPLATE_SPHERE_LIST_FOR_NOTE,0))</f>
        <v>0</v>
      </c>
      <c r="L88" s="1356" t="str">
        <f>IF(I88=0,"",I88)</f>
        <v/>
      </c>
      <c r="M88" s="1356" t="str">
        <f>IF(J88=0,"",J88)</f>
        <v/>
      </c>
      <c r="N88" s="1356" t="str">
        <f>IF(K88=0,"",K88)</f>
        <v/>
      </c>
      <c r="O88" s="1469" t="s">
        <v>154</v>
      </c>
      <c r="P88" s="1469"/>
      <c r="Q88" s="1469"/>
      <c r="R88" s="1469"/>
      <c r="S88" s="1469"/>
      <c r="T88" s="1355" t="s">
        <v>783</v>
      </c>
      <c r="U88" s="1355"/>
      <c r="V88" s="1355"/>
      <c r="W88" s="1355"/>
      <c r="X88" s="1355"/>
      <c r="Y88" s="1512"/>
      <c r="Z88" s="1358"/>
      <c r="AA88" s="1361"/>
      <c r="AB88" s="1358"/>
      <c r="AC88" s="1358"/>
      <c r="AD88" s="1358"/>
    </row>
    <row customHeight="1" ht="18">
      <c r="A89" s="1357"/>
      <c r="B89" s="1411">
        <v>72</v>
      </c>
      <c r="C89" s="1355" t="s">
        <v>2321</v>
      </c>
      <c r="D89" s="1479" t="s">
        <v>2318</v>
      </c>
      <c r="E89" s="1355" t="s">
        <v>2318</v>
      </c>
      <c r="F89" s="1355" t="s">
        <v>2284</v>
      </c>
      <c r="G89" s="1355"/>
      <c r="H89" s="1403"/>
      <c r="I89" s="1517" t="str">
        <f>INDEX(TEMPLATE_NUMBER_POINT_FHD,B89,MATCH(TEMPLATE_SPHERE,TEMPLATE_SPHERE_LIST_FOR_NOTE,0))</f>
        <v>10</v>
      </c>
      <c r="J89" s="1517" t="str">
        <f>INDEX(TEMPLATE_DATA_POINT_FHD,B89,MATCH(TEMPLATE_SPHERE,TEMPLATE_SPHERE_LIST_FOR_NOTE,0))</f>
        <v>Среднесписочная численность основного производственного персонала</v>
      </c>
      <c r="K89" s="1517">
        <f>INDEX(TEMPLATE_NOTE_POINT_FHD,B89,MATCH(TEMPLATE_SPHERE,TEMPLATE_SPHERE_LIST_FOR_NOTE,0))</f>
        <v>0</v>
      </c>
      <c r="L89" s="1356" t="str">
        <f>IF(I89=0,"",I89)</f>
        <v>10</v>
      </c>
      <c r="M89" s="1356" t="str">
        <f>IF(J89=0,"",J89)</f>
        <v>Среднесписочная численность основного производственного персонала</v>
      </c>
      <c r="N89" s="1356" t="str">
        <f>IF(K89=0,"",K89)</f>
        <v/>
      </c>
      <c r="O89" s="1469" t="s">
        <v>158</v>
      </c>
      <c r="P89" s="1469" t="s">
        <v>154</v>
      </c>
      <c r="Q89" s="1469" t="s">
        <v>154</v>
      </c>
      <c r="R89" s="1469" t="s">
        <v>145</v>
      </c>
      <c r="S89" s="1469"/>
      <c r="T89" s="1355" t="s">
        <v>791</v>
      </c>
      <c r="U89" s="1355" t="s">
        <v>791</v>
      </c>
      <c r="V89" s="1355" t="s">
        <v>791</v>
      </c>
      <c r="W89" s="1355" t="s">
        <v>791</v>
      </c>
      <c r="X89" s="1355"/>
      <c r="Y89" s="1512"/>
      <c r="Z89" s="1358"/>
      <c r="AA89" s="1361"/>
      <c r="AB89" s="1358"/>
      <c r="AC89" s="1358"/>
      <c r="AD89" s="1358"/>
    </row>
    <row customHeight="1" ht="27">
      <c r="A90" s="1357"/>
      <c r="B90" s="1411">
        <v>73</v>
      </c>
      <c r="C90" s="1355" t="s">
        <v>2322</v>
      </c>
      <c r="D90" s="1479"/>
      <c r="E90" s="1355"/>
      <c r="F90" s="1355"/>
      <c r="G90" s="1355"/>
      <c r="H90" s="1403"/>
      <c r="I90" s="1517">
        <f>INDEX(TEMPLATE_NUMBER_POINT_FHD,B90,MATCH(TEMPLATE_SPHERE,TEMPLATE_SPHERE_LIST_FOR_NOTE,0))</f>
        <v>0</v>
      </c>
      <c r="J90" s="1517">
        <f>INDEX(TEMPLATE_DATA_POINT_FHD,B90,MATCH(TEMPLATE_SPHERE,TEMPLATE_SPHERE_LIST_FOR_NOTE,0))</f>
        <v>0</v>
      </c>
      <c r="K90" s="1517">
        <f>INDEX(TEMPLATE_NOTE_POINT_FHD,B90,MATCH(TEMPLATE_SPHERE,TEMPLATE_SPHERE_LIST_FOR_NOTE,0))</f>
        <v>0</v>
      </c>
      <c r="L90" s="1356" t="str">
        <f>IF(I90=0,"",I90)</f>
        <v/>
      </c>
      <c r="M90" s="1356" t="str">
        <f>IF(J90=0,"",J90)</f>
        <v/>
      </c>
      <c r="N90" s="1356" t="str">
        <f>IF(K90=0,"",K90)</f>
        <v/>
      </c>
      <c r="O90" s="1469" t="s">
        <v>204</v>
      </c>
      <c r="P90" s="1469"/>
      <c r="Q90" s="1469"/>
      <c r="R90" s="1469"/>
      <c r="S90" s="1469"/>
      <c r="T90" s="1355" t="s">
        <v>793</v>
      </c>
      <c r="U90" s="1355"/>
      <c r="V90" s="1355"/>
      <c r="W90" s="1355"/>
      <c r="X90" s="1355"/>
      <c r="Y90" s="1512"/>
      <c r="Z90" s="1358"/>
      <c r="AA90" s="1361"/>
      <c r="AB90" s="1358"/>
      <c r="AC90" s="1358"/>
      <c r="AD90" s="1358"/>
    </row>
    <row customHeight="1" ht="18">
      <c r="A91" s="1357"/>
      <c r="B91" s="1411">
        <v>74</v>
      </c>
      <c r="C91" s="1355"/>
      <c r="D91" s="1479" t="s">
        <v>2320</v>
      </c>
      <c r="E91" s="1355" t="s">
        <v>2320</v>
      </c>
      <c r="F91" s="1355"/>
      <c r="G91" s="1355"/>
      <c r="H91" s="1403"/>
      <c r="I91" s="1517">
        <f>INDEX(TEMPLATE_NUMBER_POINT_FHD,B91,MATCH(TEMPLATE_SPHERE,TEMPLATE_SPHERE_LIST_FOR_NOTE,0))</f>
        <v>0</v>
      </c>
      <c r="J91" s="1517">
        <f>INDEX(TEMPLATE_DATA_POINT_FHD,B91,MATCH(TEMPLATE_SPHERE,TEMPLATE_SPHERE_LIST_FOR_NOTE,0))</f>
        <v>0</v>
      </c>
      <c r="K91" s="1517">
        <f>INDEX(TEMPLATE_NOTE_POINT_FHD,B91,MATCH(TEMPLATE_SPHERE,TEMPLATE_SPHERE_LIST_FOR_NOTE,0))</f>
        <v>0</v>
      </c>
      <c r="L91" s="1356" t="str">
        <f>IF(I91=0,"",I91)</f>
        <v/>
      </c>
      <c r="M91" s="1356" t="str">
        <f>IF(J91=0,"",J91)</f>
        <v/>
      </c>
      <c r="N91" s="1356" t="str">
        <f>IF(K91=0,"",K91)</f>
        <v/>
      </c>
      <c r="O91" s="1469"/>
      <c r="P91" s="1469" t="s">
        <v>158</v>
      </c>
      <c r="Q91" s="1469" t="s">
        <v>158</v>
      </c>
      <c r="R91" s="1469"/>
      <c r="S91" s="1469"/>
      <c r="T91" s="1355"/>
      <c r="U91" s="1355" t="s">
        <v>2323</v>
      </c>
      <c r="V91" s="1355" t="s">
        <v>2323</v>
      </c>
      <c r="W91" s="1355"/>
      <c r="X91" s="1355"/>
      <c r="Y91" s="1512"/>
      <c r="Z91" s="1358"/>
      <c r="AA91" s="1361"/>
      <c r="AB91" s="1358"/>
      <c r="AC91" s="1358"/>
      <c r="AD91" s="1358"/>
    </row>
    <row customHeight="1" ht="27">
      <c r="A92" s="1357"/>
      <c r="B92" s="1411">
        <v>75</v>
      </c>
      <c r="C92" s="1355"/>
      <c r="D92" s="1479" t="s">
        <v>2321</v>
      </c>
      <c r="E92" s="1355"/>
      <c r="F92" s="1355"/>
      <c r="G92" s="1355"/>
      <c r="H92" s="1403"/>
      <c r="I92" s="1517">
        <f>INDEX(TEMPLATE_NUMBER_POINT_FHD,B92,MATCH(TEMPLATE_SPHERE,TEMPLATE_SPHERE_LIST_FOR_NOTE,0))</f>
        <v>0</v>
      </c>
      <c r="J92" s="1517">
        <f>INDEX(TEMPLATE_DATA_POINT_FHD,B92,MATCH(TEMPLATE_SPHERE,TEMPLATE_SPHERE_LIST_FOR_NOTE,0))</f>
        <v>0</v>
      </c>
      <c r="K92" s="1517">
        <f>INDEX(TEMPLATE_NOTE_POINT_FHD,B92,MATCH(TEMPLATE_SPHERE,TEMPLATE_SPHERE_LIST_FOR_NOTE,0))</f>
        <v>0</v>
      </c>
      <c r="L92" s="1356" t="str">
        <f>IF(I92=0,"",I92)</f>
        <v/>
      </c>
      <c r="M92" s="1356" t="str">
        <f>IF(J92=0,"",J92)</f>
        <v/>
      </c>
      <c r="N92" s="1356" t="str">
        <f>IF(K92=0,"",K92)</f>
        <v/>
      </c>
      <c r="O92" s="1469"/>
      <c r="P92" s="1469" t="s">
        <v>204</v>
      </c>
      <c r="Q92" s="1469"/>
      <c r="R92" s="1469"/>
      <c r="S92" s="1469"/>
      <c r="T92" s="1355"/>
      <c r="U92" s="1355" t="s">
        <v>2324</v>
      </c>
      <c r="V92" s="1355"/>
      <c r="W92" s="1355"/>
      <c r="X92" s="1355"/>
      <c r="Y92" s="1512"/>
      <c r="Z92" s="1358"/>
      <c r="AA92" s="1361" t="s">
        <v>2325</v>
      </c>
      <c r="AB92" s="1358"/>
      <c r="AC92" s="1358"/>
      <c r="AD92" s="1358"/>
    </row>
    <row customHeight="1" ht="27">
      <c r="A93" s="1357"/>
      <c r="B93" s="1411">
        <v>76</v>
      </c>
      <c r="C93" s="1355"/>
      <c r="D93" s="1479"/>
      <c r="E93" s="1355"/>
      <c r="F93" s="1355"/>
      <c r="G93" s="1355"/>
      <c r="H93" s="1403"/>
      <c r="I93" s="1517">
        <f>INDEX(TEMPLATE_NUMBER_POINT_FHD,B93,MATCH(TEMPLATE_SPHERE,TEMPLATE_SPHERE_LIST_FOR_NOTE,0))</f>
        <v>0</v>
      </c>
      <c r="J93" s="1517">
        <f>INDEX(TEMPLATE_DATA_POINT_FHD,B93,MATCH(TEMPLATE_SPHERE,TEMPLATE_SPHERE_LIST_FOR_NOTE,0))</f>
        <v>0</v>
      </c>
      <c r="K93" s="1517">
        <f>INDEX(TEMPLATE_NOTE_POINT_FHD,B93,MATCH(TEMPLATE_SPHERE,TEMPLATE_SPHERE_LIST_FOR_NOTE,0))</f>
        <v>0</v>
      </c>
      <c r="L93" s="1356" t="str">
        <f>IF(I93=0,"",I93)</f>
        <v/>
      </c>
      <c r="M93" s="1356" t="str">
        <f>IF(J93=0,"",J93)</f>
        <v/>
      </c>
      <c r="N93" s="1356" t="str">
        <f>IF(K93=0,"",K93)</f>
        <v/>
      </c>
      <c r="O93" s="1469"/>
      <c r="P93" s="1469" t="s">
        <v>2231</v>
      </c>
      <c r="Q93" s="1469"/>
      <c r="R93" s="1469"/>
      <c r="S93" s="1469"/>
      <c r="T93" s="1355"/>
      <c r="U93" s="1355" t="s">
        <v>2326</v>
      </c>
      <c r="V93" s="1355"/>
      <c r="W93" s="1355"/>
      <c r="X93" s="1355"/>
      <c r="Y93" s="1512"/>
      <c r="Z93" s="1358"/>
      <c r="AA93" s="1361" t="s">
        <v>2327</v>
      </c>
      <c r="AB93" s="1358"/>
      <c r="AC93" s="1358"/>
      <c r="AD93" s="1358"/>
    </row>
    <row customHeight="1" ht="45">
      <c r="A94" s="1357"/>
      <c r="B94" s="1411">
        <v>77</v>
      </c>
      <c r="C94" s="1355"/>
      <c r="D94" s="1479" t="s">
        <v>2322</v>
      </c>
      <c r="E94" s="1355"/>
      <c r="F94" s="1355"/>
      <c r="G94" s="1355"/>
      <c r="H94" s="1403"/>
      <c r="I94" s="1517">
        <f>INDEX(TEMPLATE_NUMBER_POINT_FHD,B94,MATCH(TEMPLATE_SPHERE,TEMPLATE_SPHERE_LIST_FOR_NOTE,0))</f>
        <v>0</v>
      </c>
      <c r="J94" s="1517">
        <f>INDEX(TEMPLATE_DATA_POINT_FHD,B94,MATCH(TEMPLATE_SPHERE,TEMPLATE_SPHERE_LIST_FOR_NOTE,0))</f>
        <v>0</v>
      </c>
      <c r="K94" s="1517">
        <f>INDEX(TEMPLATE_NOTE_POINT_FHD,B94,MATCH(TEMPLATE_SPHERE,TEMPLATE_SPHERE_LIST_FOR_NOTE,0))</f>
        <v>0</v>
      </c>
      <c r="L94" s="1356" t="str">
        <f>IF(I94=0,"",I94)</f>
        <v/>
      </c>
      <c r="M94" s="1356" t="str">
        <f>IF(J94=0,"",J94)</f>
        <v/>
      </c>
      <c r="N94" s="1356" t="str">
        <f>IF(K94=0,"",K94)</f>
        <v/>
      </c>
      <c r="O94" s="1469"/>
      <c r="P94" s="1469" t="s">
        <v>1586</v>
      </c>
      <c r="Q94" s="1469"/>
      <c r="R94" s="1469"/>
      <c r="S94" s="1469"/>
      <c r="T94" s="1355"/>
      <c r="U94" s="1355" t="s">
        <v>2328</v>
      </c>
      <c r="V94" s="1355"/>
      <c r="W94" s="1355"/>
      <c r="X94" s="1355"/>
      <c r="Y94" s="1512"/>
      <c r="Z94" s="1358"/>
      <c r="AA94" s="1361" t="s">
        <v>2329</v>
      </c>
      <c r="AB94" s="1358"/>
      <c r="AC94" s="1358"/>
      <c r="AD94" s="1358"/>
    </row>
    <row customHeight="1" ht="99">
      <c r="A95" s="1357"/>
      <c r="B95" s="1411">
        <v>78</v>
      </c>
      <c r="C95" s="1355" t="s">
        <v>2330</v>
      </c>
      <c r="D95" s="1479"/>
      <c r="E95" s="1355"/>
      <c r="F95" s="1355"/>
      <c r="G95" s="1355"/>
      <c r="H95" s="1403"/>
      <c r="I95" s="1517">
        <f>INDEX(TEMPLATE_NUMBER_POINT_FHD,B95,MATCH(TEMPLATE_SPHERE,TEMPLATE_SPHERE_LIST_FOR_NOTE,0))</f>
        <v>0</v>
      </c>
      <c r="J95" s="1517">
        <f>INDEX(TEMPLATE_DATA_POINT_FHD,B95,MATCH(TEMPLATE_SPHERE,TEMPLATE_SPHERE_LIST_FOR_NOTE,0))</f>
        <v>0</v>
      </c>
      <c r="K95" s="1517">
        <f>INDEX(TEMPLATE_NOTE_POINT_FHD,B95,MATCH(TEMPLATE_SPHERE,TEMPLATE_SPHERE_LIST_FOR_NOTE,0))</f>
        <v>0</v>
      </c>
      <c r="L95" s="1356" t="str">
        <f>IF(I95=0,"",I95)</f>
        <v/>
      </c>
      <c r="M95" s="1356" t="str">
        <f>IF(J95=0,"",J95)</f>
        <v/>
      </c>
      <c r="N95" s="1356" t="str">
        <f>IF(K95=0,"",K95)</f>
        <v/>
      </c>
      <c r="O95" s="1469" t="s">
        <v>1586</v>
      </c>
      <c r="P95" s="1469"/>
      <c r="Q95" s="1469"/>
      <c r="R95" s="1469"/>
      <c r="S95" s="1469"/>
      <c r="T95" s="1355" t="s">
        <v>2331</v>
      </c>
      <c r="U95" s="1355"/>
      <c r="V95" s="1355"/>
      <c r="W95" s="1355"/>
      <c r="X95" s="1355"/>
      <c r="Y95" s="1512"/>
      <c r="Z95" s="1358"/>
      <c r="AA95" s="1361"/>
      <c r="AB95" s="1358"/>
      <c r="AC95" s="1358"/>
      <c r="AD95" s="1358"/>
    </row>
    <row customHeight="1" ht="99">
      <c r="A96" s="1357"/>
      <c r="B96" s="1411">
        <v>79</v>
      </c>
      <c r="C96" s="1355" t="s">
        <v>1272</v>
      </c>
      <c r="D96" s="1479"/>
      <c r="E96" s="1355"/>
      <c r="F96" s="1355"/>
      <c r="G96" s="1355"/>
      <c r="H96" s="1403"/>
      <c r="I96" s="1517">
        <f>INDEX(TEMPLATE_NUMBER_POINT_FHD,B96,MATCH(TEMPLATE_SPHERE,TEMPLATE_SPHERE_LIST_FOR_NOTE,0))</f>
        <v>0</v>
      </c>
      <c r="J96" s="1517">
        <f>INDEX(TEMPLATE_DATA_POINT_FHD,B96,MATCH(TEMPLATE_SPHERE,TEMPLATE_SPHERE_LIST_FOR_NOTE,0))</f>
        <v>0</v>
      </c>
      <c r="K96" s="1517">
        <f>INDEX(TEMPLATE_NOTE_POINT_FHD,B96,MATCH(TEMPLATE_SPHERE,TEMPLATE_SPHERE_LIST_FOR_NOTE,0))</f>
        <v>0</v>
      </c>
      <c r="L96" s="1356" t="str">
        <f>IF(I96=0,"",I96)</f>
        <v/>
      </c>
      <c r="M96" s="1356" t="str">
        <f>IF(J96=0,"",J96)</f>
        <v/>
      </c>
      <c r="N96" s="1356" t="str">
        <f>IF(K96=0,"",K96)</f>
        <v/>
      </c>
      <c r="O96" s="1469" t="s">
        <v>113</v>
      </c>
      <c r="P96" s="1469"/>
      <c r="Q96" s="1469"/>
      <c r="R96" s="1469"/>
      <c r="S96" s="1469"/>
      <c r="T96" s="1355" t="s">
        <v>2332</v>
      </c>
      <c r="U96" s="1355"/>
      <c r="V96" s="1355"/>
      <c r="W96" s="1355"/>
      <c r="X96" s="1355"/>
      <c r="Y96" s="1512"/>
      <c r="Z96" s="1358" t="s">
        <v>2333</v>
      </c>
      <c r="AA96" s="1361"/>
      <c r="AB96" s="1358"/>
      <c r="AC96" s="1358"/>
      <c r="AD96" s="1358"/>
    </row>
    <row customHeight="1" ht="63">
      <c r="A97" s="1357"/>
      <c r="B97" s="1411">
        <v>80</v>
      </c>
      <c r="C97" s="1355" t="s">
        <v>2334</v>
      </c>
      <c r="D97" s="1479"/>
      <c r="E97" s="1355"/>
      <c r="F97" s="1355"/>
      <c r="G97" s="1355"/>
      <c r="H97" s="1403"/>
      <c r="I97" s="1517">
        <f>INDEX(TEMPLATE_NUMBER_POINT_FHD,B97,MATCH(TEMPLATE_SPHERE,TEMPLATE_SPHERE_LIST_FOR_NOTE,0))</f>
        <v>0</v>
      </c>
      <c r="J97" s="1517">
        <f>INDEX(TEMPLATE_DATA_POINT_FHD,B97,MATCH(TEMPLATE_SPHERE,TEMPLATE_SPHERE_LIST_FOR_NOTE,0))</f>
        <v>0</v>
      </c>
      <c r="K97" s="1517">
        <f>INDEX(TEMPLATE_NOTE_POINT_FHD,B97,MATCH(TEMPLATE_SPHERE,TEMPLATE_SPHERE_LIST_FOR_NOTE,0))</f>
        <v>0</v>
      </c>
      <c r="L97" s="1356" t="str">
        <f>IF(I97=0,"",I97)</f>
        <v/>
      </c>
      <c r="M97" s="1356" t="str">
        <f>IF(J97=0,"",J97)</f>
        <v/>
      </c>
      <c r="N97" s="1356" t="str">
        <f>IF(K97=0,"",K97)</f>
        <v/>
      </c>
      <c r="O97" s="1469" t="s">
        <v>1603</v>
      </c>
      <c r="P97" s="1469"/>
      <c r="Q97" s="1469"/>
      <c r="R97" s="1469"/>
      <c r="S97" s="1469"/>
      <c r="T97" s="1355" t="s">
        <v>2335</v>
      </c>
      <c r="U97" s="1355"/>
      <c r="V97" s="1355"/>
      <c r="W97" s="1355"/>
      <c r="X97" s="1355"/>
      <c r="Y97" s="1512"/>
      <c r="Z97" s="1358" t="s">
        <v>2336</v>
      </c>
      <c r="AA97" s="1361"/>
      <c r="AB97" s="1358"/>
      <c r="AC97" s="1358"/>
      <c r="AD97" s="1358"/>
    </row>
    <row customHeight="1" ht="63">
      <c r="A98" s="1357"/>
      <c r="B98" s="1411">
        <v>81</v>
      </c>
      <c r="C98" s="1355" t="s">
        <v>2337</v>
      </c>
      <c r="D98" s="1479"/>
      <c r="E98" s="1355"/>
      <c r="F98" s="1355"/>
      <c r="G98" s="1355"/>
      <c r="H98" s="1403"/>
      <c r="I98" s="1517">
        <f>INDEX(TEMPLATE_NUMBER_POINT_FHD,B98,MATCH(TEMPLATE_SPHERE,TEMPLATE_SPHERE_LIST_FOR_NOTE,0))</f>
        <v>0</v>
      </c>
      <c r="J98" s="1517">
        <f>INDEX(TEMPLATE_DATA_POINT_FHD,B98,MATCH(TEMPLATE_SPHERE,TEMPLATE_SPHERE_LIST_FOR_NOTE,0))</f>
        <v>0</v>
      </c>
      <c r="K98" s="1517">
        <f>INDEX(TEMPLATE_NOTE_POINT_FHD,B98,MATCH(TEMPLATE_SPHERE,TEMPLATE_SPHERE_LIST_FOR_NOTE,0))</f>
        <v>0</v>
      </c>
      <c r="L98" s="1356" t="str">
        <f>IF(I98=0,"",I98)</f>
        <v/>
      </c>
      <c r="M98" s="1356" t="str">
        <f>IF(J98=0,"",J98)</f>
        <v/>
      </c>
      <c r="N98" s="1356" t="str">
        <f>IF(K98=0,"",K98)</f>
        <v/>
      </c>
      <c r="O98" s="1469" t="s">
        <v>1617</v>
      </c>
      <c r="P98" s="1469"/>
      <c r="Q98" s="1469"/>
      <c r="R98" s="1469"/>
      <c r="S98" s="1469"/>
      <c r="T98" s="1355" t="s">
        <v>2338</v>
      </c>
      <c r="U98" s="1355"/>
      <c r="V98" s="1355"/>
      <c r="W98" s="1355"/>
      <c r="X98" s="1355"/>
      <c r="Y98" s="1512"/>
      <c r="Z98" s="1358" t="s">
        <v>2336</v>
      </c>
      <c r="AA98" s="1361"/>
      <c r="AB98" s="1358"/>
      <c r="AC98" s="1358"/>
      <c r="AD98" s="1358"/>
    </row>
    <row customHeight="1" ht="90">
      <c r="A99" s="1357"/>
      <c r="B99" s="1411">
        <v>82</v>
      </c>
      <c r="C99" s="1355" t="s">
        <v>2339</v>
      </c>
      <c r="D99" s="1479"/>
      <c r="E99" s="1355"/>
      <c r="F99" s="1355"/>
      <c r="G99" s="1355"/>
      <c r="H99" s="1403"/>
      <c r="I99" s="1517">
        <f>INDEX(TEMPLATE_NUMBER_POINT_FHD,B99,MATCH(TEMPLATE_SPHERE,TEMPLATE_SPHERE_LIST_FOR_NOTE,0))</f>
        <v>0</v>
      </c>
      <c r="J99" s="1517">
        <f>INDEX(TEMPLATE_DATA_POINT_FHD,B99,MATCH(TEMPLATE_SPHERE,TEMPLATE_SPHERE_LIST_FOR_NOTE,0))</f>
        <v>0</v>
      </c>
      <c r="K99" s="1517">
        <f>INDEX(TEMPLATE_NOTE_POINT_FHD,B99,MATCH(TEMPLATE_SPHERE,TEMPLATE_SPHERE_LIST_FOR_NOTE,0))</f>
        <v>0</v>
      </c>
      <c r="L99" s="1356" t="str">
        <f>IF(I99=0,"",I99)</f>
        <v/>
      </c>
      <c r="M99" s="1356" t="str">
        <f>IF(J99=0,"",J99)</f>
        <v/>
      </c>
      <c r="N99" s="1356" t="str">
        <f>IF(K99=0,"",K99)</f>
        <v/>
      </c>
      <c r="O99" s="1469" t="s">
        <v>1629</v>
      </c>
      <c r="P99" s="1469"/>
      <c r="Q99" s="1469"/>
      <c r="R99" s="1469"/>
      <c r="S99" s="1469"/>
      <c r="T99" s="1355" t="s">
        <v>2340</v>
      </c>
      <c r="U99" s="1355"/>
      <c r="V99" s="1355"/>
      <c r="W99" s="1355"/>
      <c r="X99" s="1355"/>
      <c r="Y99" s="1512"/>
      <c r="Z99" s="1358" t="s">
        <v>748</v>
      </c>
      <c r="AA99" s="1361"/>
      <c r="AB99" s="1358"/>
      <c r="AC99" s="1358"/>
      <c r="AD99" s="1358"/>
    </row>
    <row customHeight="1" ht="27">
      <c r="A100" s="1357"/>
      <c r="B100" s="1411">
        <v>83</v>
      </c>
      <c r="C100" s="1355"/>
      <c r="D100" s="1479"/>
      <c r="E100" s="1355"/>
      <c r="F100" s="1355"/>
      <c r="G100" s="1355"/>
      <c r="H100" s="1403"/>
      <c r="I100" s="1517">
        <f>INDEX(TEMPLATE_NUMBER_POINT_FHD,B100,MATCH(TEMPLATE_SPHERE,TEMPLATE_SPHERE_LIST_FOR_NOTE,0))</f>
        <v>0</v>
      </c>
      <c r="J100" s="1517">
        <f>INDEX(TEMPLATE_DATA_POINT_FHD,B100,MATCH(TEMPLATE_SPHERE,TEMPLATE_SPHERE_LIST_FOR_NOTE,0))</f>
        <v>0</v>
      </c>
      <c r="K100" s="1517">
        <f>INDEX(TEMPLATE_NOTE_POINT_FHD,B100,MATCH(TEMPLATE_SPHERE,TEMPLATE_SPHERE_LIST_FOR_NOTE,0))</f>
        <v>0</v>
      </c>
      <c r="L100" s="1356" t="str">
        <f>IF(I100=0,"",I100)</f>
        <v/>
      </c>
      <c r="M100" s="1356" t="str">
        <f>IF(J100=0,"",J100)</f>
        <v/>
      </c>
      <c r="N100" s="1356" t="str">
        <f>IF(K100=0,"",K100)</f>
        <v/>
      </c>
      <c r="O100" s="1469" t="s">
        <v>2341</v>
      </c>
      <c r="P100" s="1469"/>
      <c r="Q100" s="1469"/>
      <c r="R100" s="1469"/>
      <c r="S100" s="1469"/>
      <c r="T100" s="1355" t="s">
        <v>2342</v>
      </c>
      <c r="U100" s="1355"/>
      <c r="V100" s="1355"/>
      <c r="W100" s="1355"/>
      <c r="X100" s="1355"/>
      <c r="Y100" s="1512"/>
      <c r="Z100" s="1358" t="s">
        <v>748</v>
      </c>
      <c r="AA100" s="1361"/>
      <c r="AB100" s="1358"/>
      <c r="AC100" s="1358"/>
      <c r="AD100" s="1358"/>
    </row>
    <row customHeight="1" ht="27">
      <c r="A101" s="1357"/>
      <c r="B101" s="1411">
        <v>84</v>
      </c>
      <c r="C101" s="1355"/>
      <c r="D101" s="1479"/>
      <c r="E101" s="1355"/>
      <c r="F101" s="1355"/>
      <c r="G101" s="1355"/>
      <c r="H101" s="1403"/>
      <c r="I101" s="1517">
        <f>INDEX(TEMPLATE_NUMBER_POINT_FHD,B101,MATCH(TEMPLATE_SPHERE,TEMPLATE_SPHERE_LIST_FOR_NOTE,0))</f>
        <v>0</v>
      </c>
      <c r="J101" s="1517">
        <f>INDEX(TEMPLATE_DATA_POINT_FHD,B101,MATCH(TEMPLATE_SPHERE,TEMPLATE_SPHERE_LIST_FOR_NOTE,0))</f>
        <v>0</v>
      </c>
      <c r="K101" s="1517">
        <f>INDEX(TEMPLATE_NOTE_POINT_FHD,B101,MATCH(TEMPLATE_SPHERE,TEMPLATE_SPHERE_LIST_FOR_NOTE,0))</f>
        <v>0</v>
      </c>
      <c r="L101" s="1356" t="str">
        <f>IF(I101=0,"",I101)</f>
        <v/>
      </c>
      <c r="M101" s="1356" t="str">
        <f>IF(J101=0,"",J101)</f>
        <v/>
      </c>
      <c r="N101" s="1356" t="str">
        <f>IF(K101=0,"",K101)</f>
        <v/>
      </c>
      <c r="O101" s="1469" t="s">
        <v>2343</v>
      </c>
      <c r="P101" s="1469"/>
      <c r="Q101" s="1469"/>
      <c r="R101" s="1469"/>
      <c r="S101" s="1469"/>
      <c r="T101" s="1355" t="s">
        <v>2344</v>
      </c>
      <c r="U101" s="1355"/>
      <c r="V101" s="1355"/>
      <c r="W101" s="1355"/>
      <c r="X101" s="1355"/>
      <c r="Y101" s="1512"/>
      <c r="Z101" s="1358" t="s">
        <v>748</v>
      </c>
      <c r="AA101" s="1361"/>
      <c r="AB101" s="1358"/>
      <c r="AC101" s="1358"/>
      <c r="AD101" s="1358"/>
    </row>
    <row customHeight="1" ht="9">
      <c r="A102" s="1357"/>
      <c r="B102" s="1357"/>
      <c r="C102" s="1355"/>
      <c r="D102" s="1355"/>
      <c r="E102" s="1355"/>
      <c r="F102" s="1355"/>
      <c r="G102" s="1355"/>
      <c r="H102" s="1403"/>
      <c r="I102" s="1403"/>
      <c r="J102" s="1403"/>
      <c r="K102" s="1403"/>
      <c r="L102" s="1403"/>
      <c r="M102" s="1355"/>
      <c r="N102" s="1402"/>
      <c r="O102" s="1469"/>
      <c r="P102" s="1469"/>
      <c r="Q102" s="1469"/>
      <c r="R102" s="1469"/>
      <c r="S102" s="1355"/>
      <c r="T102" s="1355"/>
      <c r="U102" s="1355"/>
      <c r="V102" s="1355"/>
      <c r="W102" s="1355"/>
      <c r="X102" s="1355"/>
      <c r="Y102" s="1512"/>
      <c r="Z102" s="1358"/>
      <c r="AA102" s="1361"/>
      <c r="AB102" s="1358"/>
      <c r="AC102" s="1358"/>
      <c r="AD102" s="1358"/>
    </row>
    <row customHeight="1" ht="9">
      <c r="A103" s="1357"/>
      <c r="B103" s="1357"/>
      <c r="C103" s="1355"/>
      <c r="D103" s="1355"/>
      <c r="E103" s="1355"/>
      <c r="F103" s="1355"/>
      <c r="G103" s="1355"/>
      <c r="H103" s="1403"/>
      <c r="I103" s="1403"/>
      <c r="J103" s="1403"/>
      <c r="K103" s="1403"/>
      <c r="L103" s="1403"/>
      <c r="M103" s="1355"/>
      <c r="N103" s="1402"/>
      <c r="O103" s="1469"/>
      <c r="P103" s="1469"/>
      <c r="Q103" s="1469"/>
      <c r="R103" s="1469"/>
      <c r="S103" s="1355"/>
      <c r="T103" s="1355"/>
      <c r="U103" s="1355"/>
      <c r="V103" s="1355"/>
      <c r="W103" s="1355"/>
      <c r="X103" s="1355"/>
      <c r="Y103" s="1512"/>
      <c r="Z103" s="1358"/>
      <c r="AA103" s="1361"/>
      <c r="AB103" s="1358"/>
      <c r="AC103" s="1358"/>
      <c r="AD103" s="1358"/>
    </row>
    <row customHeight="1" ht="9">
      <c r="A104" s="1357"/>
      <c r="B104" s="1357"/>
      <c r="C104" s="1355"/>
      <c r="D104" s="1355"/>
      <c r="E104" s="1355"/>
      <c r="F104" s="1355"/>
      <c r="G104" s="1355"/>
      <c r="H104" s="1403"/>
      <c r="I104" s="1403"/>
      <c r="J104" s="1403"/>
      <c r="K104" s="1403"/>
      <c r="L104" s="1403"/>
      <c r="M104" s="1355"/>
      <c r="N104" s="1402"/>
      <c r="O104" s="1469"/>
      <c r="P104" s="1469"/>
      <c r="Q104" s="1469"/>
      <c r="R104" s="1469"/>
      <c r="S104" s="1355"/>
      <c r="T104" s="1355"/>
      <c r="U104" s="1355"/>
      <c r="V104" s="1355"/>
      <c r="W104" s="1355"/>
      <c r="X104" s="1355"/>
      <c r="Y104" s="1512"/>
      <c r="Z104" s="1358"/>
      <c r="AA104" s="1361"/>
      <c r="AB104" s="1358"/>
      <c r="AC104" s="1358"/>
      <c r="AD104" s="1358"/>
    </row>
    <row customHeight="1" ht="9">
      <c r="A105" s="1357"/>
      <c r="B105" s="1357"/>
      <c r="C105" s="1355"/>
      <c r="D105" s="1355"/>
      <c r="E105" s="1355"/>
      <c r="F105" s="1355"/>
      <c r="G105" s="1355"/>
      <c r="H105" s="1403"/>
      <c r="I105" s="1403"/>
      <c r="J105" s="1403"/>
      <c r="K105" s="1403"/>
      <c r="L105" s="1403"/>
      <c r="M105" s="1355"/>
      <c r="N105" s="1402"/>
      <c r="O105" s="1469"/>
      <c r="P105" s="1469"/>
      <c r="Q105" s="1469"/>
      <c r="R105" s="1469"/>
      <c r="S105" s="1355"/>
      <c r="T105" s="1355"/>
      <c r="U105" s="1355"/>
      <c r="V105" s="1355"/>
      <c r="W105" s="1355"/>
      <c r="X105" s="1355"/>
      <c r="Y105" s="1512"/>
      <c r="Z105" s="1358"/>
      <c r="AA105" s="1361"/>
      <c r="AB105" s="1358"/>
      <c r="AC105" s="1358"/>
      <c r="AD105" s="1358"/>
    </row>
    <row customHeight="1" ht="9">
      <c r="A106" s="1357"/>
      <c r="B106" s="1357"/>
      <c r="C106" s="1355"/>
      <c r="D106" s="1355"/>
      <c r="E106" s="1355"/>
      <c r="F106" s="1355"/>
      <c r="G106" s="1355"/>
      <c r="H106" s="1403"/>
      <c r="I106" s="1403"/>
      <c r="J106" s="1403"/>
      <c r="K106" s="1403"/>
      <c r="L106" s="1403"/>
      <c r="M106" s="1355"/>
      <c r="N106" s="1402"/>
      <c r="O106" s="1469"/>
      <c r="P106" s="1469"/>
      <c r="Q106" s="1469"/>
      <c r="R106" s="1469"/>
      <c r="S106" s="1355"/>
      <c r="T106" s="1355"/>
      <c r="U106" s="1355"/>
      <c r="V106" s="1355"/>
      <c r="W106" s="1355"/>
      <c r="X106" s="1355"/>
      <c r="Y106" s="1512"/>
      <c r="Z106" s="1358"/>
      <c r="AA106" s="1361"/>
      <c r="AB106" s="1358"/>
      <c r="AC106" s="1358"/>
      <c r="AD106" s="1358"/>
    </row>
    <row customHeight="1" ht="9">
      <c r="A107" s="1357"/>
      <c r="B107" s="1357"/>
      <c r="C107" s="1355"/>
      <c r="D107" s="1355"/>
      <c r="E107" s="1355"/>
      <c r="F107" s="1355"/>
      <c r="G107" s="1355"/>
      <c r="H107" s="1403"/>
      <c r="I107" s="1403"/>
      <c r="J107" s="1403"/>
      <c r="K107" s="1403"/>
      <c r="L107" s="1403"/>
      <c r="M107" s="1355"/>
      <c r="N107" s="1402"/>
      <c r="O107" s="1469"/>
      <c r="P107" s="1469"/>
      <c r="Q107" s="1469"/>
      <c r="R107" s="1469"/>
      <c r="S107" s="1355"/>
      <c r="T107" s="1355"/>
      <c r="U107" s="1355"/>
      <c r="V107" s="1355"/>
      <c r="W107" s="1355"/>
      <c r="X107" s="1355"/>
      <c r="Y107" s="1512"/>
      <c r="Z107" s="1358"/>
      <c r="AA107" s="1361"/>
      <c r="AB107" s="1358"/>
      <c r="AC107" s="1358"/>
      <c r="AD107" s="1358"/>
    </row>
    <row customHeight="1" ht="9">
      <c r="A108" s="1357"/>
      <c r="B108" s="1357"/>
      <c r="C108" s="1355"/>
      <c r="D108" s="1355"/>
      <c r="E108" s="1355"/>
      <c r="F108" s="1355"/>
      <c r="G108" s="1355"/>
      <c r="H108" s="1403"/>
      <c r="I108" s="1403"/>
      <c r="J108" s="1403"/>
      <c r="K108" s="1403"/>
      <c r="L108" s="1403"/>
      <c r="M108" s="1355"/>
      <c r="N108" s="1402"/>
      <c r="O108" s="1469"/>
      <c r="P108" s="1469"/>
      <c r="Q108" s="1469"/>
      <c r="R108" s="1469"/>
      <c r="S108" s="1355"/>
      <c r="T108" s="1355"/>
      <c r="U108" s="1355"/>
      <c r="V108" s="1355"/>
      <c r="W108" s="1355"/>
      <c r="X108" s="1355"/>
      <c r="Y108" s="1512"/>
      <c r="Z108" s="1358"/>
      <c r="AA108" s="1361"/>
      <c r="AB108" s="1358"/>
      <c r="AC108" s="1358"/>
      <c r="AD108" s="1358"/>
    </row>
    <row customHeight="1" ht="9">
      <c r="A109" s="1357"/>
      <c r="B109" s="1357"/>
      <c r="C109" s="1355"/>
      <c r="D109" s="1355"/>
      <c r="E109" s="1355"/>
      <c r="F109" s="1355"/>
      <c r="G109" s="1355"/>
      <c r="H109" s="1403"/>
      <c r="I109" s="1403"/>
      <c r="J109" s="1403"/>
      <c r="K109" s="1403"/>
      <c r="L109" s="1403"/>
      <c r="M109" s="1355"/>
      <c r="N109" s="1402"/>
      <c r="O109" s="1469"/>
      <c r="P109" s="1469"/>
      <c r="Q109" s="1469"/>
      <c r="R109" s="1469"/>
      <c r="S109" s="1355"/>
      <c r="T109" s="1355"/>
      <c r="U109" s="1355"/>
      <c r="V109" s="1355"/>
      <c r="W109" s="1355"/>
      <c r="X109" s="1355"/>
      <c r="Y109" s="1512"/>
      <c r="Z109" s="1358"/>
      <c r="AA109" s="1361"/>
      <c r="AB109" s="1358"/>
      <c r="AC109" s="1358"/>
      <c r="AD109" s="1358"/>
    </row>
    <row customHeight="1" ht="9">
      <c r="A110" s="1357"/>
      <c r="B110" s="1357"/>
      <c r="C110" s="1355"/>
      <c r="D110" s="1355"/>
      <c r="E110" s="1355"/>
      <c r="F110" s="1355"/>
      <c r="G110" s="1355"/>
      <c r="H110" s="1403"/>
      <c r="I110" s="1403"/>
      <c r="J110" s="1403"/>
      <c r="K110" s="1403"/>
      <c r="L110" s="1403"/>
      <c r="M110" s="1355"/>
      <c r="N110" s="1402"/>
      <c r="O110" s="1469"/>
      <c r="P110" s="1469"/>
      <c r="Q110" s="1469"/>
      <c r="R110" s="1469"/>
      <c r="S110" s="1355"/>
      <c r="T110" s="1355"/>
      <c r="U110" s="1355"/>
      <c r="V110" s="1355"/>
      <c r="W110" s="1355"/>
      <c r="X110" s="1355"/>
      <c r="Y110" s="1512"/>
      <c r="Z110" s="1358"/>
      <c r="AA110" s="1361"/>
      <c r="AB110" s="1358"/>
      <c r="AC110" s="1358"/>
      <c r="AD110" s="1358"/>
    </row>
    <row customHeight="1" ht="9">
      <c r="A111" s="1357"/>
      <c r="B111" s="1357"/>
      <c r="C111" s="1355"/>
      <c r="D111" s="1355"/>
      <c r="E111" s="1355"/>
      <c r="F111" s="1355"/>
      <c r="G111" s="1355"/>
      <c r="H111" s="1403"/>
      <c r="I111" s="1403"/>
      <c r="J111" s="1403"/>
      <c r="K111" s="1403"/>
      <c r="L111" s="1403"/>
      <c r="M111" s="1355"/>
      <c r="N111" s="1402"/>
      <c r="O111" s="1469"/>
      <c r="P111" s="1469"/>
      <c r="Q111" s="1469"/>
      <c r="R111" s="1469"/>
      <c r="S111" s="1355"/>
      <c r="T111" s="1355"/>
      <c r="U111" s="1355"/>
      <c r="V111" s="1355"/>
      <c r="W111" s="1355"/>
      <c r="X111" s="1355"/>
      <c r="Y111" s="1512"/>
      <c r="Z111" s="1358"/>
      <c r="AA111" s="1361"/>
      <c r="AB111" s="1358"/>
      <c r="AC111" s="1358"/>
      <c r="AD111" s="1358"/>
    </row>
    <row customHeight="1" ht="9">
      <c r="A112" s="1357"/>
      <c r="B112" s="1357"/>
      <c r="C112" s="1355"/>
      <c r="D112" s="1355"/>
      <c r="E112" s="1355"/>
      <c r="F112" s="1355"/>
      <c r="G112" s="1355"/>
      <c r="H112" s="1403"/>
      <c r="I112" s="1403"/>
      <c r="J112" s="1403"/>
      <c r="K112" s="1403"/>
      <c r="L112" s="1403"/>
      <c r="M112" s="1355"/>
      <c r="N112" s="1402"/>
      <c r="O112" s="1469"/>
      <c r="P112" s="1469"/>
      <c r="Q112" s="1469"/>
      <c r="R112" s="1469"/>
      <c r="S112" s="1355"/>
      <c r="T112" s="1355"/>
      <c r="U112" s="1355"/>
      <c r="V112" s="1355"/>
      <c r="W112" s="1355"/>
      <c r="X112" s="1355"/>
      <c r="Y112" s="1512"/>
      <c r="Z112" s="1358"/>
      <c r="AA112" s="1361"/>
      <c r="AB112" s="1358"/>
      <c r="AC112" s="1358"/>
      <c r="AD112" s="1358"/>
    </row>
    <row customHeight="1" ht="9">
      <c r="A113" s="1357"/>
      <c r="B113" s="1357"/>
      <c r="C113" s="1355"/>
      <c r="D113" s="1355"/>
      <c r="E113" s="1355"/>
      <c r="F113" s="1355"/>
      <c r="G113" s="1355"/>
      <c r="H113" s="1403"/>
      <c r="I113" s="1403"/>
      <c r="J113" s="1403"/>
      <c r="K113" s="1403"/>
      <c r="L113" s="1403"/>
      <c r="M113" s="1355"/>
      <c r="N113" s="1402"/>
      <c r="O113" s="1469"/>
      <c r="P113" s="1469"/>
      <c r="Q113" s="1469"/>
      <c r="R113" s="1469"/>
      <c r="S113" s="1355"/>
      <c r="T113" s="1355"/>
      <c r="U113" s="1355"/>
      <c r="V113" s="1355"/>
      <c r="W113" s="1355"/>
      <c r="X113" s="1355"/>
      <c r="Y113" s="1512"/>
      <c r="Z113" s="1358"/>
      <c r="AA113" s="1361"/>
      <c r="AB113" s="1358"/>
      <c r="AC113" s="1358"/>
      <c r="AD113" s="1358"/>
    </row>
    <row customHeight="1" ht="9">
      <c r="A114" s="1357"/>
      <c r="B114" s="1357"/>
      <c r="C114" s="1355"/>
      <c r="D114" s="1355"/>
      <c r="E114" s="1355"/>
      <c r="F114" s="1355"/>
      <c r="G114" s="1355"/>
      <c r="H114" s="1403"/>
      <c r="I114" s="1403"/>
      <c r="J114" s="1403"/>
      <c r="K114" s="1403"/>
      <c r="L114" s="1403"/>
      <c r="M114" s="1355"/>
      <c r="N114" s="1402"/>
      <c r="O114" s="1469"/>
      <c r="P114" s="1469"/>
      <c r="Q114" s="1469"/>
      <c r="R114" s="1469"/>
      <c r="S114" s="1355"/>
      <c r="T114" s="1355"/>
      <c r="U114" s="1355"/>
      <c r="V114" s="1355"/>
      <c r="W114" s="1355"/>
      <c r="X114" s="1355"/>
      <c r="Y114" s="1512"/>
      <c r="Z114" s="1358"/>
      <c r="AA114" s="1361"/>
      <c r="AB114" s="1358"/>
      <c r="AC114" s="1358"/>
      <c r="AD114" s="1358"/>
    </row>
    <row customHeight="1" ht="9">
      <c r="A115" s="1357"/>
      <c r="B115" s="1357"/>
      <c r="C115" s="1355"/>
      <c r="D115" s="1355"/>
      <c r="E115" s="1355"/>
      <c r="F115" s="1355"/>
      <c r="G115" s="1355"/>
      <c r="H115" s="1403"/>
      <c r="I115" s="1403"/>
      <c r="J115" s="1403"/>
      <c r="K115" s="1403"/>
      <c r="L115" s="1403"/>
      <c r="M115" s="1355"/>
      <c r="N115" s="1402"/>
      <c r="O115" s="1469"/>
      <c r="P115" s="1469"/>
      <c r="Q115" s="1469"/>
      <c r="R115" s="1469"/>
      <c r="S115" s="1355"/>
      <c r="T115" s="1355"/>
      <c r="U115" s="1355"/>
      <c r="V115" s="1355"/>
      <c r="W115" s="1355"/>
      <c r="X115" s="1355"/>
      <c r="Y115" s="1512"/>
      <c r="Z115" s="1358"/>
      <c r="AA115" s="1361"/>
      <c r="AB115" s="1358"/>
      <c r="AC115" s="1358"/>
      <c r="AD115" s="1358"/>
    </row>
    <row customHeight="1" ht="9">
      <c r="A116" s="1357"/>
      <c r="B116" s="1357"/>
      <c r="C116" s="1355"/>
      <c r="D116" s="1355"/>
      <c r="E116" s="1355"/>
      <c r="F116" s="1355"/>
      <c r="G116" s="1355"/>
      <c r="H116" s="1403"/>
      <c r="I116" s="1403"/>
      <c r="J116" s="1403"/>
      <c r="K116" s="1403"/>
      <c r="L116" s="1403"/>
      <c r="M116" s="1355"/>
      <c r="N116" s="1402"/>
      <c r="O116" s="1469"/>
      <c r="P116" s="1469"/>
      <c r="Q116" s="1469"/>
      <c r="R116" s="1469"/>
      <c r="S116" s="1355"/>
      <c r="T116" s="1355"/>
      <c r="U116" s="1355"/>
      <c r="V116" s="1355"/>
      <c r="W116" s="1355"/>
      <c r="X116" s="1355"/>
      <c r="Y116" s="1512"/>
      <c r="Z116" s="1358"/>
      <c r="AA116" s="1361"/>
      <c r="AB116" s="1358"/>
      <c r="AC116" s="1358"/>
      <c r="AD116" s="1358"/>
    </row>
    <row customHeight="1" ht="9">
      <c r="A117" s="1357"/>
      <c r="B117" s="1357"/>
      <c r="C117" s="1355"/>
      <c r="D117" s="1355"/>
      <c r="E117" s="1355"/>
      <c r="F117" s="1355"/>
      <c r="G117" s="1355"/>
      <c r="H117" s="1403"/>
      <c r="I117" s="1403"/>
      <c r="J117" s="1403"/>
      <c r="K117" s="1403"/>
      <c r="L117" s="1403"/>
      <c r="M117" s="1355"/>
      <c r="N117" s="1402"/>
      <c r="O117" s="1469"/>
      <c r="P117" s="1469"/>
      <c r="Q117" s="1469"/>
      <c r="R117" s="1469"/>
      <c r="S117" s="1355"/>
      <c r="T117" s="1355"/>
      <c r="U117" s="1355"/>
      <c r="V117" s="1355"/>
      <c r="W117" s="1355"/>
      <c r="X117" s="1355"/>
      <c r="Y117" s="1512"/>
      <c r="Z117" s="1358"/>
      <c r="AA117" s="1361"/>
      <c r="AB117" s="1358"/>
      <c r="AC117" s="1358"/>
      <c r="AD117" s="1358"/>
    </row>
    <row customHeight="1" ht="9">
      <c r="A118" s="1357"/>
      <c r="B118" s="1357"/>
      <c r="C118" s="1355"/>
      <c r="D118" s="1355"/>
      <c r="E118" s="1355"/>
      <c r="F118" s="1355"/>
      <c r="G118" s="1355"/>
      <c r="H118" s="1403"/>
      <c r="I118" s="1403"/>
      <c r="J118" s="1403"/>
      <c r="K118" s="1403"/>
      <c r="L118" s="1403"/>
      <c r="M118" s="1355"/>
      <c r="N118" s="1402"/>
      <c r="O118" s="1469"/>
      <c r="P118" s="1469"/>
      <c r="Q118" s="1469"/>
      <c r="R118" s="1469"/>
      <c r="S118" s="1355"/>
      <c r="T118" s="1355"/>
      <c r="U118" s="1355"/>
      <c r="V118" s="1355"/>
      <c r="W118" s="1355"/>
      <c r="X118" s="1355"/>
      <c r="Y118" s="1512"/>
      <c r="Z118" s="1358"/>
      <c r="AA118" s="1361"/>
      <c r="AB118" s="1358"/>
      <c r="AC118" s="1358"/>
      <c r="AD118" s="1358"/>
    </row>
    <row customHeight="1" ht="9">
      <c r="A119" s="1357"/>
      <c r="B119" s="1357"/>
      <c r="C119" s="1355"/>
      <c r="D119" s="1355"/>
      <c r="E119" s="1355"/>
      <c r="F119" s="1355"/>
      <c r="G119" s="1355"/>
      <c r="H119" s="1403"/>
      <c r="I119" s="1403"/>
      <c r="J119" s="1403"/>
      <c r="K119" s="1403"/>
      <c r="L119" s="1403"/>
      <c r="M119" s="1355"/>
      <c r="N119" s="1402"/>
      <c r="O119" s="1469"/>
      <c r="P119" s="1469"/>
      <c r="Q119" s="1469"/>
      <c r="R119" s="1469"/>
      <c r="S119" s="1355"/>
      <c r="T119" s="1355"/>
      <c r="U119" s="1355"/>
      <c r="V119" s="1355"/>
      <c r="W119" s="1355"/>
      <c r="X119" s="1355"/>
      <c r="Y119" s="1512"/>
      <c r="Z119" s="1358"/>
      <c r="AA119" s="1361"/>
      <c r="AB119" s="1358"/>
      <c r="AC119" s="1358"/>
      <c r="AD119" s="1358"/>
    </row>
    <row customHeight="1" ht="9">
      <c r="A120" s="1357"/>
      <c r="B120" s="1357"/>
      <c r="C120" s="1355"/>
      <c r="D120" s="1355"/>
      <c r="E120" s="1355"/>
      <c r="F120" s="1355"/>
      <c r="G120" s="1355"/>
      <c r="H120" s="1403"/>
      <c r="I120" s="1403"/>
      <c r="J120" s="1403"/>
      <c r="K120" s="1403"/>
      <c r="L120" s="1403"/>
      <c r="M120" s="1355"/>
      <c r="N120" s="1402"/>
      <c r="O120" s="1469"/>
      <c r="P120" s="1469"/>
      <c r="Q120" s="1469"/>
      <c r="R120" s="1469"/>
      <c r="S120" s="1355"/>
      <c r="T120" s="1355"/>
      <c r="U120" s="1355"/>
      <c r="V120" s="1355"/>
      <c r="W120" s="1355"/>
      <c r="X120" s="1355"/>
      <c r="Y120" s="1512"/>
      <c r="Z120" s="1358"/>
      <c r="AA120" s="1361"/>
      <c r="AB120" s="1358"/>
      <c r="AC120" s="1358"/>
      <c r="AD120" s="1358"/>
    </row>
    <row customHeight="1" ht="9">
      <c r="A121" s="1357"/>
      <c r="B121" s="1357"/>
      <c r="C121" s="1355"/>
      <c r="D121" s="1355"/>
      <c r="E121" s="1355"/>
      <c r="F121" s="1355"/>
      <c r="G121" s="1355"/>
      <c r="H121" s="1403"/>
      <c r="I121" s="1403"/>
      <c r="J121" s="1403"/>
      <c r="K121" s="1403"/>
      <c r="L121" s="1403"/>
      <c r="M121" s="1355"/>
      <c r="N121" s="1402"/>
      <c r="O121" s="1469"/>
      <c r="P121" s="1469"/>
      <c r="Q121" s="1469"/>
      <c r="R121" s="1469"/>
      <c r="S121" s="1355"/>
      <c r="T121" s="1355"/>
      <c r="U121" s="1355"/>
      <c r="V121" s="1355"/>
      <c r="W121" s="1355"/>
      <c r="X121" s="1355"/>
      <c r="Y121" s="1512"/>
      <c r="Z121" s="1358"/>
      <c r="AA121" s="1361"/>
      <c r="AB121" s="1358"/>
      <c r="AC121" s="1358"/>
      <c r="AD121" s="1358"/>
    </row>
    <row customHeight="1" ht="9">
      <c r="A122" s="1357"/>
      <c r="B122" s="1357"/>
      <c r="C122" s="1355"/>
      <c r="D122" s="1355"/>
      <c r="E122" s="1355"/>
      <c r="F122" s="1355"/>
      <c r="G122" s="1355"/>
      <c r="H122" s="1403"/>
      <c r="I122" s="1403"/>
      <c r="J122" s="1403"/>
      <c r="K122" s="1403"/>
      <c r="L122" s="1403"/>
      <c r="M122" s="1355"/>
      <c r="N122" s="1402"/>
      <c r="O122" s="1469"/>
      <c r="P122" s="1469"/>
      <c r="Q122" s="1469"/>
      <c r="R122" s="1469"/>
      <c r="S122" s="1355"/>
      <c r="T122" s="1355"/>
      <c r="U122" s="1355"/>
      <c r="V122" s="1355"/>
      <c r="W122" s="1355"/>
      <c r="X122" s="1355"/>
      <c r="Y122" s="1512"/>
      <c r="Z122" s="1358"/>
      <c r="AA122" s="1361"/>
      <c r="AB122" s="1358"/>
      <c r="AC122" s="1358"/>
      <c r="AD122" s="1358"/>
    </row>
    <row customHeight="1" ht="9">
      <c r="A123" s="1357"/>
      <c r="B123" s="1357"/>
      <c r="C123" s="1355"/>
      <c r="D123" s="1355"/>
      <c r="E123" s="1355"/>
      <c r="F123" s="1355"/>
      <c r="G123" s="1355"/>
      <c r="H123" s="1403"/>
      <c r="I123" s="1403"/>
      <c r="J123" s="1403"/>
      <c r="K123" s="1403"/>
      <c r="L123" s="1403"/>
      <c r="M123" s="1355"/>
      <c r="N123" s="1402"/>
      <c r="O123" s="1469"/>
      <c r="P123" s="1469"/>
      <c r="Q123" s="1469"/>
      <c r="R123" s="1469"/>
      <c r="S123" s="1355"/>
      <c r="T123" s="1355"/>
      <c r="U123" s="1355"/>
      <c r="V123" s="1355"/>
      <c r="W123" s="1355"/>
      <c r="X123" s="1355"/>
      <c r="Y123" s="1512"/>
      <c r="Z123" s="1358"/>
      <c r="AA123" s="1361"/>
      <c r="AB123" s="1358"/>
      <c r="AC123" s="1358"/>
      <c r="AD123" s="1358"/>
    </row>
    <row customHeight="1" ht="9">
      <c r="A124" s="1357"/>
      <c r="B124" s="1357"/>
      <c r="C124" s="1355"/>
      <c r="D124" s="1355"/>
      <c r="E124" s="1355"/>
      <c r="F124" s="1355"/>
      <c r="G124" s="1355"/>
      <c r="H124" s="1403"/>
      <c r="I124" s="1403"/>
      <c r="J124" s="1403"/>
      <c r="K124" s="1403"/>
      <c r="L124" s="1403"/>
      <c r="M124" s="1355"/>
      <c r="N124" s="1402"/>
      <c r="O124" s="1469"/>
      <c r="P124" s="1469"/>
      <c r="Q124" s="1469"/>
      <c r="R124" s="1469"/>
      <c r="S124" s="1355"/>
      <c r="T124" s="1355"/>
      <c r="U124" s="1355"/>
      <c r="V124" s="1355"/>
      <c r="W124" s="1355"/>
      <c r="X124" s="1355"/>
      <c r="Y124" s="1512"/>
      <c r="Z124" s="1358"/>
      <c r="AA124" s="1361"/>
      <c r="AB124" s="1358"/>
      <c r="AC124" s="1358"/>
      <c r="AD124" s="1358"/>
    </row>
    <row customHeight="1" ht="9">
      <c r="A125" s="1357"/>
      <c r="B125" s="1357"/>
      <c r="C125" s="1355"/>
      <c r="D125" s="1355"/>
      <c r="E125" s="1355"/>
      <c r="F125" s="1355"/>
      <c r="G125" s="1355"/>
      <c r="H125" s="1403"/>
      <c r="I125" s="1403"/>
      <c r="J125" s="1403"/>
      <c r="K125" s="1403"/>
      <c r="L125" s="1403"/>
      <c r="M125" s="1355"/>
      <c r="N125" s="1402"/>
      <c r="O125" s="1469"/>
      <c r="P125" s="1469"/>
      <c r="Q125" s="1469"/>
      <c r="R125" s="1469"/>
      <c r="S125" s="1355"/>
      <c r="T125" s="1355"/>
      <c r="U125" s="1355"/>
      <c r="V125" s="1355"/>
      <c r="W125" s="1355"/>
      <c r="X125" s="1355"/>
      <c r="Y125" s="1512"/>
      <c r="Z125" s="1358"/>
      <c r="AA125" s="1361"/>
      <c r="AB125" s="1358"/>
      <c r="AC125" s="1358"/>
      <c r="AD125" s="1358"/>
    </row>
    <row customHeight="1" ht="9">
      <c r="A126" s="1357"/>
      <c r="B126" s="1357"/>
      <c r="C126" s="1355"/>
      <c r="D126" s="1355"/>
      <c r="E126" s="1355"/>
      <c r="F126" s="1355"/>
      <c r="G126" s="1355"/>
      <c r="H126" s="1403"/>
      <c r="I126" s="1403"/>
      <c r="J126" s="1403"/>
      <c r="K126" s="1403"/>
      <c r="L126" s="1403"/>
      <c r="M126" s="1355"/>
      <c r="N126" s="1402"/>
      <c r="O126" s="1469"/>
      <c r="P126" s="1469"/>
      <c r="Q126" s="1469"/>
      <c r="R126" s="1469"/>
      <c r="S126" s="1355"/>
      <c r="T126" s="1355"/>
      <c r="U126" s="1355"/>
      <c r="V126" s="1355"/>
      <c r="W126" s="1355"/>
      <c r="X126" s="1355"/>
      <c r="Y126" s="1512"/>
      <c r="Z126" s="1358"/>
      <c r="AA126" s="1361"/>
      <c r="AB126" s="1358"/>
      <c r="AC126" s="1358"/>
      <c r="AD126" s="1358"/>
    </row>
    <row customHeight="1" ht="9">
      <c r="A127" s="1357"/>
      <c r="B127" s="1357"/>
      <c r="C127" s="1355"/>
      <c r="D127" s="1355"/>
      <c r="E127" s="1355"/>
      <c r="F127" s="1355"/>
      <c r="G127" s="1355"/>
      <c r="H127" s="1403"/>
      <c r="I127" s="1403"/>
      <c r="J127" s="1403"/>
      <c r="K127" s="1403"/>
      <c r="L127" s="1403"/>
      <c r="M127" s="1355"/>
      <c r="N127" s="1402"/>
      <c r="O127" s="1469"/>
      <c r="P127" s="1469"/>
      <c r="Q127" s="1469"/>
      <c r="R127" s="1469"/>
      <c r="S127" s="1355"/>
      <c r="T127" s="1355"/>
      <c r="U127" s="1355"/>
      <c r="V127" s="1355"/>
      <c r="W127" s="1355"/>
      <c r="X127" s="1355"/>
      <c r="Y127" s="1512"/>
      <c r="Z127" s="1358"/>
      <c r="AA127" s="1361"/>
      <c r="AB127" s="1358"/>
      <c r="AC127" s="1358"/>
      <c r="AD127" s="1358"/>
    </row>
    <row customHeight="1" ht="9">
      <c r="A128" s="1357"/>
      <c r="B128" s="1357"/>
      <c r="C128" s="1355"/>
      <c r="D128" s="1355"/>
      <c r="E128" s="1355"/>
      <c r="F128" s="1355"/>
      <c r="G128" s="1355"/>
      <c r="H128" s="1403"/>
      <c r="I128" s="1403"/>
      <c r="J128" s="1403"/>
      <c r="K128" s="1403"/>
      <c r="L128" s="1403"/>
      <c r="M128" s="1355"/>
      <c r="N128" s="1402"/>
      <c r="O128" s="1469"/>
      <c r="P128" s="1469"/>
      <c r="Q128" s="1469"/>
      <c r="R128" s="1469"/>
      <c r="S128" s="1355"/>
      <c r="T128" s="1355"/>
      <c r="U128" s="1355"/>
      <c r="V128" s="1355"/>
      <c r="W128" s="1355"/>
      <c r="X128" s="1355"/>
      <c r="Y128" s="1512"/>
      <c r="Z128" s="1358"/>
      <c r="AA128" s="1361"/>
      <c r="AB128" s="1358"/>
      <c r="AC128" s="1358"/>
      <c r="AD128" s="1358"/>
    </row>
    <row customHeight="1" ht="9">
      <c r="A129" s="1357"/>
      <c r="B129" s="1357"/>
      <c r="C129" s="1355"/>
      <c r="D129" s="1355"/>
      <c r="E129" s="1355"/>
      <c r="F129" s="1355"/>
      <c r="G129" s="1355"/>
      <c r="H129" s="1403"/>
      <c r="I129" s="1403"/>
      <c r="J129" s="1403"/>
      <c r="K129" s="1403"/>
      <c r="L129" s="1403"/>
      <c r="M129" s="1355"/>
      <c r="N129" s="1402"/>
      <c r="O129" s="1469"/>
      <c r="P129" s="1469"/>
      <c r="Q129" s="1469"/>
      <c r="R129" s="1469"/>
      <c r="S129" s="1355"/>
      <c r="T129" s="1355"/>
      <c r="U129" s="1355"/>
      <c r="V129" s="1355"/>
      <c r="W129" s="1355"/>
      <c r="X129" s="1355"/>
      <c r="Y129" s="1512"/>
      <c r="Z129" s="1358"/>
      <c r="AA129" s="1361"/>
      <c r="AB129" s="1358"/>
      <c r="AC129" s="1358"/>
      <c r="AD129" s="1358"/>
    </row>
    <row customHeight="1" ht="9">
      <c r="A130" s="1357"/>
      <c r="B130" s="1357"/>
      <c r="C130" s="1355"/>
      <c r="D130" s="1355"/>
      <c r="E130" s="1355"/>
      <c r="F130" s="1355"/>
      <c r="G130" s="1355"/>
      <c r="H130" s="1403"/>
      <c r="I130" s="1403"/>
      <c r="J130" s="1403"/>
      <c r="K130" s="1403"/>
      <c r="L130" s="1403"/>
      <c r="M130" s="1355"/>
      <c r="N130" s="1402"/>
      <c r="O130" s="1471"/>
      <c r="P130" s="1471"/>
      <c r="Q130" s="1471"/>
      <c r="R130" s="1471"/>
      <c r="S130" s="1355"/>
      <c r="T130" s="1355"/>
      <c r="U130" s="1355"/>
      <c r="V130" s="1355"/>
      <c r="W130" s="1355"/>
      <c r="X130" s="1355"/>
      <c r="Y130" s="1512"/>
      <c r="Z130" s="1358"/>
      <c r="AA130" s="1361"/>
      <c r="AB130" s="1358"/>
      <c r="AC130" s="1358"/>
      <c r="AD130" s="1358"/>
    </row>
    <row customHeight="1" ht="9">
      <c r="A131" s="1357"/>
      <c r="B131" s="1357"/>
      <c r="C131" s="1355"/>
      <c r="D131" s="1355"/>
      <c r="E131" s="1355"/>
      <c r="F131" s="1355"/>
      <c r="G131" s="1355"/>
      <c r="H131" s="1403"/>
      <c r="I131" s="1403"/>
      <c r="J131" s="1403"/>
      <c r="K131" s="1403"/>
      <c r="L131" s="1403"/>
      <c r="M131" s="1355"/>
      <c r="N131" s="1402"/>
      <c r="O131" s="1472"/>
      <c r="P131" s="1472"/>
      <c r="Q131" s="1472"/>
      <c r="R131" s="1472"/>
      <c r="S131" s="1355"/>
      <c r="T131" s="1355"/>
      <c r="U131" s="1355"/>
      <c r="V131" s="1355"/>
      <c r="W131" s="1355"/>
      <c r="X131" s="1355"/>
      <c r="Y131" s="1512"/>
      <c r="Z131" s="1358"/>
      <c r="AA131" s="1361"/>
      <c r="AB131" s="1358"/>
      <c r="AC131" s="1358"/>
      <c r="AD131" s="1358"/>
    </row>
    <row customHeight="1" ht="9">
      <c r="A132" s="1357"/>
      <c r="B132" s="1357"/>
      <c r="C132" s="1355"/>
      <c r="D132" s="1355"/>
      <c r="E132" s="1355"/>
      <c r="F132" s="1355"/>
      <c r="G132" s="1355"/>
      <c r="H132" s="1403"/>
      <c r="I132" s="1403"/>
      <c r="J132" s="1403"/>
      <c r="K132" s="1403"/>
      <c r="L132" s="1403"/>
      <c r="M132" s="1355"/>
      <c r="N132" s="1402"/>
      <c r="O132" s="1471"/>
      <c r="P132" s="1471"/>
      <c r="Q132" s="1471"/>
      <c r="R132" s="1471"/>
      <c r="S132" s="1355"/>
      <c r="T132" s="1355"/>
      <c r="U132" s="1355"/>
      <c r="V132" s="1355"/>
      <c r="W132" s="1355"/>
      <c r="X132" s="1355"/>
      <c r="Y132" s="1512"/>
      <c r="Z132" s="1358"/>
      <c r="AA132" s="1361"/>
      <c r="AB132" s="1358"/>
      <c r="AC132" s="1358"/>
      <c r="AD132" s="1358"/>
    </row>
    <row customHeight="1" ht="9">
      <c r="A133" s="1357"/>
      <c r="B133" s="1357"/>
      <c r="C133" s="1355"/>
      <c r="D133" s="1355"/>
      <c r="E133" s="1355"/>
      <c r="F133" s="1355"/>
      <c r="G133" s="1355"/>
      <c r="H133" s="1403"/>
      <c r="I133" s="1403"/>
      <c r="J133" s="1403"/>
      <c r="K133" s="1403"/>
      <c r="L133" s="1403"/>
      <c r="M133" s="1355"/>
      <c r="N133" s="1402"/>
      <c r="O133" s="1472"/>
      <c r="P133" s="1472"/>
      <c r="Q133" s="1472"/>
      <c r="R133" s="1472"/>
      <c r="S133" s="1355"/>
      <c r="T133" s="1355"/>
      <c r="U133" s="1355"/>
      <c r="V133" s="1355"/>
      <c r="W133" s="1355"/>
      <c r="X133" s="1355"/>
      <c r="Y133" s="1512"/>
      <c r="Z133" s="1358"/>
      <c r="AA133" s="1361"/>
      <c r="AB133" s="1358"/>
      <c r="AC133" s="1358"/>
      <c r="AD133" s="1358"/>
    </row>
    <row customHeight="1" ht="9">
      <c r="A134" s="1357"/>
      <c r="B134" s="1357"/>
      <c r="C134" s="1355"/>
      <c r="D134" s="1355"/>
      <c r="E134" s="1355"/>
      <c r="F134" s="1355"/>
      <c r="G134" s="1355"/>
      <c r="H134" s="1403"/>
      <c r="I134" s="1403"/>
      <c r="J134" s="1403"/>
      <c r="K134" s="1403"/>
      <c r="L134" s="1403"/>
      <c r="M134" s="1355"/>
      <c r="N134" s="1402"/>
      <c r="O134" s="1469"/>
      <c r="P134" s="1469"/>
      <c r="Q134" s="1469"/>
      <c r="R134" s="1469"/>
      <c r="S134" s="1355"/>
      <c r="T134" s="1355"/>
      <c r="U134" s="1355"/>
      <c r="V134" s="1355"/>
      <c r="W134" s="1355"/>
      <c r="X134" s="1355"/>
      <c r="Y134" s="1512"/>
      <c r="Z134" s="1358"/>
      <c r="AA134" s="1361"/>
      <c r="AB134" s="1358"/>
      <c r="AC134" s="1358"/>
      <c r="AD134" s="1358"/>
    </row>
    <row customHeight="1" ht="9">
      <c r="A135" s="1357"/>
      <c r="B135" s="1357"/>
      <c r="C135" s="1355"/>
      <c r="D135" s="1355"/>
      <c r="E135" s="1355"/>
      <c r="F135" s="1355"/>
      <c r="G135" s="1355"/>
      <c r="H135" s="1403"/>
      <c r="I135" s="1403"/>
      <c r="J135" s="1403"/>
      <c r="K135" s="1403"/>
      <c r="L135" s="1403"/>
      <c r="M135" s="1355"/>
      <c r="N135" s="1402"/>
      <c r="O135" s="1469"/>
      <c r="P135" s="1469"/>
      <c r="Q135" s="1469"/>
      <c r="R135" s="1469"/>
      <c r="S135" s="1355"/>
      <c r="T135" s="1355"/>
      <c r="U135" s="1355"/>
      <c r="V135" s="1355"/>
      <c r="W135" s="1355"/>
      <c r="X135" s="1355"/>
      <c r="Y135" s="1512"/>
      <c r="Z135" s="1358"/>
      <c r="AA135" s="1361"/>
      <c r="AB135" s="1358"/>
      <c r="AC135" s="1358"/>
      <c r="AD135" s="1358"/>
    </row>
    <row customHeight="1" ht="9">
      <c r="A136" s="1357"/>
      <c r="B136" s="1357"/>
      <c r="C136" s="1355"/>
      <c r="D136" s="1355"/>
      <c r="E136" s="1355"/>
      <c r="F136" s="1355"/>
      <c r="G136" s="1355"/>
      <c r="H136" s="1403"/>
      <c r="I136" s="1403"/>
      <c r="J136" s="1403"/>
      <c r="K136" s="1403"/>
      <c r="L136" s="1403"/>
      <c r="M136" s="1355"/>
      <c r="N136" s="1402"/>
      <c r="O136" s="1469"/>
      <c r="P136" s="1469"/>
      <c r="Q136" s="1469"/>
      <c r="R136" s="1469"/>
      <c r="S136" s="1355"/>
      <c r="T136" s="1355"/>
      <c r="U136" s="1355"/>
      <c r="V136" s="1355"/>
      <c r="W136" s="1355"/>
      <c r="X136" s="1355"/>
      <c r="Y136" s="1512"/>
      <c r="Z136" s="1358"/>
      <c r="AA136" s="1361"/>
      <c r="AB136" s="1358"/>
      <c r="AC136" s="1358"/>
      <c r="AD136" s="1358"/>
    </row>
    <row customHeight="1" ht="9">
      <c r="A137" s="1357"/>
      <c r="B137" s="1357"/>
      <c r="C137" s="1355"/>
      <c r="D137" s="1355"/>
      <c r="E137" s="1355"/>
      <c r="F137" s="1355"/>
      <c r="G137" s="1355"/>
      <c r="H137" s="1403"/>
      <c r="I137" s="1403"/>
      <c r="J137" s="1403"/>
      <c r="K137" s="1403"/>
      <c r="L137" s="1403"/>
      <c r="M137" s="1355"/>
      <c r="N137" s="1402"/>
      <c r="O137" s="1473"/>
      <c r="P137" s="1473"/>
      <c r="Q137" s="1473"/>
      <c r="R137" s="1473"/>
      <c r="S137" s="1355"/>
      <c r="T137" s="1355"/>
      <c r="U137" s="1355"/>
      <c r="V137" s="1355"/>
      <c r="W137" s="1355"/>
      <c r="X137" s="1355"/>
      <c r="Y137" s="1512"/>
      <c r="Z137" s="1358"/>
      <c r="AA137" s="1361"/>
      <c r="AB137" s="1358"/>
      <c r="AC137" s="1358"/>
      <c r="AD137" s="1358"/>
    </row>
    <row customHeight="1" ht="9">
      <c r="A138" s="1357"/>
      <c r="B138" s="1357"/>
      <c r="C138" s="1355"/>
      <c r="D138" s="1355"/>
      <c r="E138" s="1355"/>
      <c r="F138" s="1355"/>
      <c r="G138" s="1355"/>
      <c r="H138" s="1403"/>
      <c r="I138" s="1403"/>
      <c r="J138" s="1403"/>
      <c r="K138" s="1403"/>
      <c r="L138" s="1403"/>
      <c r="M138" s="1355"/>
      <c r="N138" s="1402"/>
      <c r="O138" s="1470"/>
      <c r="P138" s="1470"/>
      <c r="Q138" s="1470"/>
      <c r="R138" s="1470"/>
      <c r="S138" s="1355"/>
      <c r="T138" s="1355"/>
      <c r="U138" s="1355"/>
      <c r="V138" s="1355"/>
      <c r="W138" s="1355"/>
      <c r="X138" s="1355"/>
      <c r="Y138" s="1512"/>
      <c r="Z138" s="1358"/>
      <c r="AA138" s="1361"/>
      <c r="AB138" s="1358"/>
      <c r="AC138" s="1358"/>
      <c r="AD138" s="1358"/>
    </row>
    <row customHeight="1" ht="9">
      <c r="A139" s="1357"/>
      <c r="B139" s="1357"/>
      <c r="C139" s="1355"/>
      <c r="D139" s="1355"/>
      <c r="E139" s="1355"/>
      <c r="F139" s="1355"/>
      <c r="G139" s="1355"/>
      <c r="H139" s="1403"/>
      <c r="I139" s="1403"/>
      <c r="J139" s="1403"/>
      <c r="K139" s="1403"/>
      <c r="L139" s="1403"/>
      <c r="M139" s="1355"/>
      <c r="N139" s="1402"/>
      <c r="O139" s="1355"/>
      <c r="P139" s="1355"/>
      <c r="Q139" s="1355"/>
      <c r="R139" s="1355"/>
      <c r="S139" s="1355"/>
      <c r="T139" s="1355"/>
      <c r="U139" s="1355"/>
      <c r="V139" s="1355"/>
      <c r="W139" s="1355"/>
      <c r="X139" s="1355"/>
      <c r="Y139" s="1512"/>
      <c r="Z139" s="1358"/>
      <c r="AA139" s="1361"/>
      <c r="AB139" s="1358"/>
      <c r="AC139" s="1358"/>
      <c r="AD139" s="1358"/>
    </row>
    <row customHeight="1" ht="9">
      <c r="A140" s="1357"/>
      <c r="B140" s="1357"/>
      <c r="C140" s="1355"/>
      <c r="D140" s="1355"/>
      <c r="E140" s="1355"/>
      <c r="F140" s="1355"/>
      <c r="G140" s="1355"/>
      <c r="H140" s="1403"/>
      <c r="I140" s="1403"/>
      <c r="J140" s="1403"/>
      <c r="K140" s="1403"/>
      <c r="L140" s="1403"/>
      <c r="M140" s="1355"/>
      <c r="N140" s="1402"/>
      <c r="O140" s="1355"/>
      <c r="P140" s="1355"/>
      <c r="Q140" s="1355"/>
      <c r="R140" s="1355"/>
      <c r="S140" s="1355"/>
      <c r="T140" s="1355"/>
      <c r="U140" s="1355"/>
      <c r="V140" s="1355"/>
      <c r="W140" s="1355"/>
      <c r="X140" s="1355"/>
      <c r="Y140" s="1512"/>
      <c r="Z140" s="1358"/>
      <c r="AA140" s="1361"/>
      <c r="AB140" s="1358"/>
      <c r="AC140" s="1358"/>
      <c r="AD140" s="1358"/>
    </row>
    <row customHeight="1" ht="9">
      <c r="A141" s="1357"/>
      <c r="B141" s="1357"/>
      <c r="C141" s="1355"/>
      <c r="D141" s="1355"/>
      <c r="E141" s="1355"/>
      <c r="F141" s="1355"/>
      <c r="G141" s="1355"/>
      <c r="H141" s="1403"/>
      <c r="I141" s="1403"/>
      <c r="J141" s="1403"/>
      <c r="K141" s="1403"/>
      <c r="L141" s="1403"/>
      <c r="M141" s="1355"/>
      <c r="N141" s="1402"/>
      <c r="O141" s="1355"/>
      <c r="P141" s="1355"/>
      <c r="Q141" s="1355"/>
      <c r="R141" s="1355"/>
      <c r="S141" s="1355"/>
      <c r="T141" s="1355"/>
      <c r="U141" s="1355"/>
      <c r="V141" s="1355"/>
      <c r="W141" s="1355"/>
      <c r="X141" s="1355"/>
      <c r="Y141" s="1512"/>
      <c r="Z141" s="1358"/>
      <c r="AA141" s="1361"/>
      <c r="AB141" s="1358"/>
      <c r="AC141" s="1358"/>
      <c r="AD141" s="1358"/>
    </row>
    <row customHeight="1" ht="9">
      <c r="A142" s="1357"/>
      <c r="B142" s="1357"/>
      <c r="C142" s="1355"/>
      <c r="D142" s="1355"/>
      <c r="E142" s="1355"/>
      <c r="F142" s="1355"/>
      <c r="G142" s="1355"/>
      <c r="H142" s="1403"/>
      <c r="I142" s="1403"/>
      <c r="J142" s="1403"/>
      <c r="K142" s="1403"/>
      <c r="L142" s="1403"/>
      <c r="M142" s="1355"/>
      <c r="N142" s="1402"/>
      <c r="O142" s="1355"/>
      <c r="P142" s="1355"/>
      <c r="Q142" s="1355"/>
      <c r="R142" s="1355"/>
      <c r="S142" s="1355"/>
      <c r="T142" s="1355"/>
      <c r="U142" s="1355"/>
      <c r="V142" s="1355"/>
      <c r="W142" s="1355"/>
      <c r="X142" s="1355"/>
      <c r="Y142" s="1512"/>
      <c r="Z142" s="1358"/>
      <c r="AA142" s="1361"/>
      <c r="AB142" s="1358"/>
      <c r="AC142" s="1358"/>
      <c r="AD142" s="1358"/>
    </row>
    <row customHeight="1" ht="9">
      <c r="A143" s="1357"/>
      <c r="B143" s="1357"/>
      <c r="C143" s="1355"/>
      <c r="D143" s="1355"/>
      <c r="E143" s="1355"/>
      <c r="F143" s="1355"/>
      <c r="G143" s="1355"/>
      <c r="H143" s="1403"/>
      <c r="I143" s="1403"/>
      <c r="J143" s="1403"/>
      <c r="K143" s="1403"/>
      <c r="L143" s="1403"/>
      <c r="M143" s="1355"/>
      <c r="N143" s="1402"/>
      <c r="O143" s="1355"/>
      <c r="P143" s="1355"/>
      <c r="Q143" s="1355"/>
      <c r="R143" s="1355"/>
      <c r="S143" s="1355"/>
      <c r="T143" s="1355"/>
      <c r="U143" s="1355"/>
      <c r="V143" s="1355"/>
      <c r="W143" s="1355"/>
      <c r="X143" s="1355"/>
      <c r="Y143" s="1512"/>
      <c r="Z143" s="1358"/>
      <c r="AA143" s="1361"/>
      <c r="AB143" s="1358"/>
      <c r="AC143" s="1358"/>
      <c r="AD143" s="1358"/>
    </row>
    <row customHeight="1" ht="9">
      <c r="A144" s="1357"/>
      <c r="B144" s="1357"/>
      <c r="C144" s="1355"/>
      <c r="D144" s="1355"/>
      <c r="E144" s="1355"/>
      <c r="F144" s="1355"/>
      <c r="G144" s="1355"/>
      <c r="H144" s="1403"/>
      <c r="I144" s="1403"/>
      <c r="J144" s="1403"/>
      <c r="K144" s="1403"/>
      <c r="L144" s="1403"/>
      <c r="M144" s="1355"/>
      <c r="N144" s="1402"/>
      <c r="O144" s="1355"/>
      <c r="P144" s="1355"/>
      <c r="Q144" s="1355"/>
      <c r="R144" s="1355"/>
      <c r="S144" s="1355"/>
      <c r="T144" s="1355"/>
      <c r="U144" s="1355"/>
      <c r="V144" s="1355"/>
      <c r="W144" s="1355"/>
      <c r="X144" s="1355"/>
      <c r="Y144" s="1512"/>
      <c r="Z144" s="1358"/>
      <c r="AA144" s="1361"/>
      <c r="AB144" s="1358"/>
      <c r="AC144" s="1358"/>
      <c r="AD144" s="1358"/>
    </row>
    <row customHeight="1" ht="9">
      <c r="A145" s="1357"/>
      <c r="B145" s="1357"/>
      <c r="C145" s="1355"/>
      <c r="D145" s="1355"/>
      <c r="E145" s="1355"/>
      <c r="F145" s="1355"/>
      <c r="G145" s="1355"/>
      <c r="H145" s="1403"/>
      <c r="I145" s="1403"/>
      <c r="J145" s="1403"/>
      <c r="K145" s="1403"/>
      <c r="L145" s="1403"/>
      <c r="M145" s="1355"/>
      <c r="N145" s="1402"/>
      <c r="O145" s="1355"/>
      <c r="P145" s="1355"/>
      <c r="Q145" s="1355"/>
      <c r="R145" s="1355"/>
      <c r="S145" s="1355"/>
      <c r="T145" s="1355"/>
      <c r="U145" s="1355"/>
      <c r="V145" s="1355"/>
      <c r="W145" s="1355"/>
      <c r="X145" s="1355"/>
      <c r="Y145" s="1512"/>
      <c r="Z145" s="1358"/>
      <c r="AA145" s="1361"/>
      <c r="AB145" s="1358"/>
      <c r="AC145" s="1358"/>
      <c r="AD145" s="1358"/>
    </row>
    <row customHeight="1" ht="9">
      <c r="A146" s="1357"/>
      <c r="B146" s="1357"/>
      <c r="C146" s="1355"/>
      <c r="D146" s="1355"/>
      <c r="E146" s="1355"/>
      <c r="F146" s="1355"/>
      <c r="G146" s="1355"/>
      <c r="H146" s="1403"/>
      <c r="I146" s="1403"/>
      <c r="J146" s="1403"/>
      <c r="K146" s="1403"/>
      <c r="L146" s="1403"/>
      <c r="M146" s="1355"/>
      <c r="N146" s="1402"/>
      <c r="O146" s="1355"/>
      <c r="P146" s="1355"/>
      <c r="Q146" s="1355"/>
      <c r="R146" s="1355"/>
      <c r="S146" s="1355"/>
      <c r="T146" s="1355"/>
      <c r="U146" s="1355"/>
      <c r="V146" s="1355"/>
      <c r="W146" s="1355"/>
      <c r="X146" s="1355"/>
      <c r="Y146" s="1512"/>
      <c r="Z146" s="1358"/>
      <c r="AA146" s="1361"/>
      <c r="AB146" s="1358"/>
      <c r="AC146" s="1358"/>
      <c r="AD146" s="1358"/>
    </row>
    <row customHeight="1" ht="9">
      <c r="A147" s="1357"/>
      <c r="B147" s="1357"/>
      <c r="C147" s="1357"/>
      <c r="D147" s="1357"/>
      <c r="E147" s="1357"/>
      <c r="F147" s="1357"/>
      <c r="G147" s="1357"/>
      <c r="H147" s="1357"/>
      <c r="I147" s="1357"/>
      <c r="J147" s="1357"/>
      <c r="K147" s="1357"/>
      <c r="L147" s="1357"/>
      <c r="M147" s="1357"/>
      <c r="N147" s="1357"/>
      <c r="O147" s="1357"/>
      <c r="P147" s="1357"/>
      <c r="Q147" s="1357"/>
      <c r="R147" s="1357"/>
      <c r="S147" s="1357"/>
      <c r="T147" s="1357"/>
      <c r="U147" s="1357"/>
      <c r="V147" s="1357"/>
      <c r="W147" s="1357"/>
      <c r="X147" s="1357"/>
      <c r="Y147" s="1357"/>
      <c r="Z147" s="1357"/>
      <c r="AA147" s="1357"/>
      <c r="AB147" s="1357"/>
      <c r="AC147" s="1357"/>
      <c r="AD147" s="1357"/>
    </row>
    <row customHeight="1" ht="90">
      <c r="A148" s="1357" t="s">
        <v>1781</v>
      </c>
      <c r="B148" s="1357"/>
      <c r="C148" s="1355" t="s">
        <v>2345</v>
      </c>
      <c r="D148" s="1355" t="s">
        <v>1685</v>
      </c>
      <c r="E148" s="1355" t="s">
        <v>1783</v>
      </c>
      <c r="F148" s="1355" t="s">
        <v>2346</v>
      </c>
      <c r="G148" s="1355"/>
      <c r="H148" s="1355"/>
      <c r="I148" s="1475"/>
      <c r="J148" s="1475"/>
      <c r="K148" s="1475"/>
      <c r="L148" s="1475"/>
      <c r="M148" s="1405"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N148" s="1360"/>
      <c r="O148" s="1355"/>
      <c r="P148" s="1356"/>
      <c r="Q148" s="1356"/>
      <c r="R148" s="1356"/>
      <c r="S148" s="1355"/>
      <c r="T148" s="1355" t="s">
        <v>2347</v>
      </c>
      <c r="U148" s="1356"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V148" s="1356"/>
      <c r="W148" s="1356"/>
      <c r="X148" s="1355" t="s">
        <v>2348</v>
      </c>
      <c r="Y148" s="1512"/>
      <c r="Z148" s="1358"/>
      <c r="AA148" s="1361"/>
      <c r="AB148" s="1358"/>
      <c r="AC148" s="1358"/>
      <c r="AD148" s="1358"/>
    </row>
    <row customHeight="1" ht="9">
      <c r="A149" s="1357"/>
      <c r="B149" s="1357"/>
      <c r="C149" s="1357"/>
      <c r="D149" s="1357"/>
      <c r="E149" s="1357"/>
      <c r="F149" s="1357"/>
      <c r="G149" s="1357"/>
      <c r="H149" s="1357"/>
      <c r="I149" s="1357"/>
      <c r="J149" s="1357"/>
      <c r="K149" s="1357"/>
      <c r="L149" s="1357"/>
      <c r="M149" s="1357"/>
      <c r="N149" s="1357"/>
      <c r="O149" s="1357"/>
      <c r="P149" s="1357"/>
      <c r="Q149" s="1357"/>
      <c r="R149" s="1357"/>
      <c r="S149" s="1357"/>
      <c r="T149" s="1357"/>
      <c r="U149" s="1357"/>
      <c r="V149" s="1357"/>
      <c r="W149" s="1357"/>
      <c r="X149" s="1357"/>
      <c r="Y149" s="1357"/>
      <c r="Z149" s="1357"/>
      <c r="AA149" s="1357"/>
      <c r="AB149" s="1357"/>
      <c r="AC149" s="1357"/>
      <c r="AD149" s="1357"/>
    </row>
    <row customHeight="1" ht="9">
      <c r="A150" s="1357" t="s">
        <v>1785</v>
      </c>
      <c r="B150" s="1357"/>
      <c r="C150" s="1355"/>
      <c r="D150" s="1355"/>
      <c r="E150" s="1355"/>
      <c r="F150" s="1355"/>
      <c r="G150" s="1355"/>
      <c r="H150" s="1355"/>
      <c r="I150" s="1355"/>
      <c r="J150" s="1355"/>
      <c r="K150" s="1355"/>
      <c r="L150" s="1355"/>
      <c r="M150" s="1355"/>
      <c r="N150" s="1355"/>
      <c r="O150" s="1355"/>
      <c r="P150" s="1355"/>
      <c r="Q150" s="1355"/>
      <c r="R150" s="1355"/>
      <c r="S150" s="1355"/>
      <c r="T150" s="1355"/>
      <c r="U150" s="1355"/>
      <c r="V150" s="1355"/>
      <c r="W150" s="1355"/>
      <c r="X150" s="1355"/>
      <c r="Y150" s="1512"/>
      <c r="Z150" s="1358"/>
      <c r="AA150" s="1361"/>
      <c r="AB150" s="1358"/>
      <c r="AC150" s="1358"/>
      <c r="AD150" s="1358"/>
    </row>
    <row customHeight="1" ht="9">
      <c r="A151" s="1357"/>
      <c r="B151" s="1357"/>
      <c r="C151" s="1357"/>
      <c r="D151" s="1357"/>
      <c r="E151" s="1357"/>
      <c r="F151" s="1357"/>
      <c r="G151" s="1357"/>
      <c r="H151" s="1357"/>
      <c r="I151" s="1357"/>
      <c r="J151" s="1357"/>
      <c r="K151" s="1357"/>
      <c r="L151" s="1357"/>
      <c r="M151" s="1357"/>
      <c r="N151" s="1357"/>
      <c r="O151" s="1357"/>
      <c r="P151" s="1357"/>
      <c r="Q151" s="1357"/>
      <c r="R151" s="1357"/>
      <c r="S151" s="1357"/>
      <c r="T151" s="1357"/>
      <c r="U151" s="1357"/>
      <c r="V151" s="1357"/>
      <c r="W151" s="1357"/>
      <c r="X151" s="1357"/>
      <c r="Y151" s="1357"/>
      <c r="Z151" s="1357"/>
      <c r="AA151" s="1357"/>
      <c r="AB151" s="1357"/>
      <c r="AC151" s="1357"/>
      <c r="AD151" s="1357"/>
    </row>
    <row customHeight="1" ht="9">
      <c r="A152" s="1357" t="s">
        <v>1788</v>
      </c>
      <c r="B152" s="1357"/>
      <c r="C152" s="1355"/>
      <c r="D152" s="1355"/>
      <c r="E152" s="1355"/>
      <c r="F152" s="1355"/>
      <c r="G152" s="1355"/>
      <c r="H152" s="1355"/>
      <c r="I152" s="1355"/>
      <c r="J152" s="1355"/>
      <c r="K152" s="1355"/>
      <c r="L152" s="1355"/>
      <c r="M152" s="1355"/>
      <c r="N152" s="1355"/>
      <c r="O152" s="1355"/>
      <c r="P152" s="1355"/>
      <c r="Q152" s="1355"/>
      <c r="R152" s="1355"/>
      <c r="S152" s="1355"/>
      <c r="T152" s="1355"/>
      <c r="U152" s="1355"/>
      <c r="V152" s="1355"/>
      <c r="W152" s="1355"/>
      <c r="X152" s="1355"/>
      <c r="Y152" s="1512"/>
      <c r="Z152" s="1358"/>
      <c r="AA152" s="1361"/>
      <c r="AB152" s="1358"/>
      <c r="AC152" s="1358"/>
      <c r="AD152" s="1358"/>
    </row>
    <row customHeight="1" ht="9">
      <c r="A153" s="1357"/>
      <c r="B153" s="1357"/>
      <c r="C153" s="1357"/>
      <c r="D153" s="1357"/>
      <c r="E153" s="1357"/>
      <c r="F153" s="1357"/>
      <c r="G153" s="1357"/>
      <c r="H153" s="1357"/>
      <c r="I153" s="1357"/>
      <c r="J153" s="1357"/>
      <c r="K153" s="1357"/>
      <c r="L153" s="1357"/>
      <c r="M153" s="1357"/>
      <c r="N153" s="1357"/>
      <c r="O153" s="1357"/>
      <c r="P153" s="1357"/>
      <c r="Q153" s="1357"/>
      <c r="R153" s="1357"/>
      <c r="S153" s="1357"/>
      <c r="T153" s="1357"/>
      <c r="U153" s="1357"/>
      <c r="V153" s="1357"/>
      <c r="W153" s="1357"/>
      <c r="X153" s="1357"/>
      <c r="Y153" s="1357"/>
      <c r="Z153" s="1357"/>
      <c r="AA153" s="1357"/>
      <c r="AB153" s="1357"/>
      <c r="AC153" s="1357"/>
      <c r="AD153" s="1357"/>
    </row>
    <row customHeight="1" ht="9">
      <c r="A154" s="1357" t="s">
        <v>1793</v>
      </c>
      <c r="B154" s="1357"/>
      <c r="C154" s="1355"/>
      <c r="D154" s="1355"/>
      <c r="E154" s="1355"/>
      <c r="F154" s="1355"/>
      <c r="G154" s="1355"/>
      <c r="H154" s="1355"/>
      <c r="I154" s="1355"/>
      <c r="J154" s="1355"/>
      <c r="K154" s="1355"/>
      <c r="L154" s="1355"/>
      <c r="M154" s="1355"/>
      <c r="N154" s="1355"/>
      <c r="O154" s="1355"/>
      <c r="P154" s="1355"/>
      <c r="Q154" s="1355"/>
      <c r="R154" s="1355"/>
      <c r="S154" s="1355"/>
      <c r="T154" s="1355"/>
      <c r="U154" s="1355"/>
      <c r="V154" s="1355"/>
      <c r="W154" s="1355"/>
      <c r="X154" s="1355"/>
      <c r="Y154" s="1512"/>
      <c r="Z154" s="1358"/>
      <c r="AA154" s="1361"/>
      <c r="AB154" s="1358"/>
      <c r="AC154" s="1358"/>
      <c r="AD154" s="1358"/>
    </row>
  </sheetData>
  <sheetProtection sort="0" autoFilter="0" insertRows="0" insertColumns="1" deleteRows="0" deleteColumns="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FB56845-E9F2-36E5-735C-F244213795E5}" mc:Ignorable="x14ac xr xr2 xr3">
  <sheetPr>
    <tabColor theme="6" tint="0.4"/>
  </sheetPr>
  <dimension ref="A1:AD41"/>
  <sheetViews>
    <sheetView topLeftCell="A1" showGridLines="0" workbookViewId="0">
      <selection activeCell="A1" sqref="A1"/>
    </sheetView>
  </sheetViews>
  <sheetFormatPr defaultColWidth="10.57421875" customHeight="1" defaultRowHeight="14.25"/>
  <cols>
    <col min="1" max="1" style="46889" width="10.57421875" hidden="1"/>
    <col min="2" max="2" style="46889" width="11.00390625" hidden="1" customWidth="1"/>
    <col min="3" max="3" style="46889" width="10.57421875" hidden="1"/>
    <col min="4" max="4" style="46889" width="11.8515625" hidden="1" customWidth="1"/>
    <col min="5" max="5" style="46889" width="12.28125" hidden="1" customWidth="1"/>
    <col min="6" max="8" style="47739" width="12.28125" hidden="1" customWidth="1"/>
    <col min="9" max="9" style="47740" width="3.00390625" customWidth="1"/>
    <col min="10" max="11" style="47741" width="3.00390625" customWidth="1"/>
    <col min="12" max="12" style="47742" width="12.00390625" customWidth="1"/>
    <col min="13" max="13" style="46808" width="31.00390625" customWidth="1"/>
    <col min="14" max="14" style="46808" width="1.00390625" customWidth="1"/>
    <col min="15" max="18" style="46808" width="24.00390625" customWidth="1"/>
    <col min="19" max="19" style="46808" width="11.00390625" customWidth="1"/>
    <col min="20" max="20" style="46808" width="3.7109375" customWidth="1"/>
    <col min="21" max="21" style="46808" width="11.00390625" customWidth="1"/>
    <col min="22" max="22" style="46808" width="8.57421875" customWidth="1"/>
    <col min="23" max="23" style="46808" width="4.00390625" customWidth="1"/>
    <col min="24" max="24" style="46808" width="115.00390625" customWidth="1"/>
    <col min="25" max="29" style="46890" width="10.00390625" customWidth="1"/>
    <col min="30" max="30" style="46808" width="10.57421875" hidden="1"/>
  </cols>
  <sheetData>
    <row customHeight="1" ht="22.5" hidden="1">
      <c r="R1" s="839"/>
      <c r="S1" s="839"/>
      <c r="AD1" s="1667" t="s">
        <v>14</v>
      </c>
    </row>
    <row customHeight="1" ht="14.25" hidden="1">
      <c r="V2" s="839"/>
      <c r="AD2" s="1667">
        <v>0</v>
      </c>
    </row>
    <row customHeight="1" ht="14.25" hidden="1">
      <c r="AD3" s="1667">
        <v>0</v>
      </c>
    </row>
    <row customHeight="1" ht="14.699999999999998">
      <c r="J4" s="888"/>
      <c r="K4" s="888"/>
      <c r="L4" s="1787"/>
      <c r="M4" s="875"/>
      <c r="N4" s="875"/>
      <c r="O4" s="1021"/>
      <c r="P4" s="1021"/>
      <c r="Q4" s="1021"/>
      <c r="R4" s="1021"/>
      <c r="S4" s="1021"/>
      <c r="T4" s="1021"/>
      <c r="U4" s="1021"/>
      <c r="V4" s="1021"/>
      <c r="AD4" s="1667">
        <v>14</v>
      </c>
    </row>
    <row customHeight="1" ht="67.2">
      <c r="J5" s="888"/>
      <c r="K5" s="888"/>
      <c r="L5" s="3115" t="s">
        <v>2349</v>
      </c>
      <c r="M5" s="3115"/>
      <c r="N5" s="3115"/>
      <c r="O5" s="3115"/>
      <c r="P5" s="3115"/>
      <c r="Q5" s="3115"/>
      <c r="R5" s="3115"/>
      <c r="S5" s="3115"/>
      <c r="T5" s="3115"/>
      <c r="U5" s="3115"/>
      <c r="V5" s="1755"/>
      <c r="AD5" s="1667">
        <v>64</v>
      </c>
    </row>
    <row customHeight="1" ht="14.699999999999998">
      <c r="J6" s="888"/>
      <c r="K6" s="888"/>
      <c r="L6" s="3116" t="str">
        <f>IF(org=0,"Не определено",org)</f>
        <v>КГУП "Примтеплоэнерго"</v>
      </c>
      <c r="M6" s="3116"/>
      <c r="N6" s="3116"/>
      <c r="O6" s="3116"/>
      <c r="P6" s="3116"/>
      <c r="Q6" s="3116"/>
      <c r="R6" s="3116"/>
      <c r="S6" s="3116"/>
      <c r="T6" s="3116"/>
      <c r="U6" s="3116"/>
      <c r="V6" s="1755"/>
      <c r="AD6" s="1667">
        <v>14</v>
      </c>
    </row>
    <row customHeight="1" ht="14.699999999999998">
      <c r="J7" s="888"/>
      <c r="K7" s="888"/>
      <c r="L7" s="1787"/>
      <c r="M7" s="875"/>
      <c r="N7" s="875"/>
      <c r="O7" s="834"/>
      <c r="P7" s="834"/>
      <c r="Q7" s="834"/>
      <c r="R7" s="834"/>
      <c r="S7" s="834"/>
      <c r="T7" s="834"/>
      <c r="U7" s="834"/>
      <c r="V7" s="834"/>
      <c r="W7" s="1021"/>
      <c r="AD7" s="1667">
        <v>14</v>
      </c>
    </row>
    <row s="47026" customFormat="1" customHeight="1" ht="48.29999999999999">
      <c r="A8" s="1880"/>
      <c r="B8" s="1880"/>
      <c r="C8" s="1880"/>
      <c r="D8" s="1880"/>
      <c r="E8" s="1880"/>
      <c r="F8" s="1880"/>
      <c r="G8" s="1880"/>
      <c r="H8" s="1880"/>
      <c r="L8" s="1788"/>
      <c r="M8" s="807" t="s">
        <v>42</v>
      </c>
      <c r="N8" s="816"/>
      <c r="O8" s="2763" t="str">
        <f>IF(TITLE_NAME_OR_PR_CHANGE="",IF(TITLE_NAME_OR_PR="","",TITLE_NAME_OR_PR),TITLE_NAME_OR_PR_CHANGE)</f>
        <v>Агентство по тарифам Приморского края</v>
      </c>
      <c r="P8" s="2763"/>
      <c r="Q8" s="2763"/>
      <c r="R8" s="2763"/>
      <c r="S8" s="2763"/>
      <c r="T8" s="2763"/>
      <c r="U8" s="2763"/>
      <c r="V8" s="838"/>
      <c r="W8" s="838"/>
      <c r="X8" s="792"/>
      <c r="Y8" s="880"/>
      <c r="Z8" s="880"/>
      <c r="AA8" s="880"/>
      <c r="AB8" s="880"/>
      <c r="AC8" s="880"/>
      <c r="AD8" s="930">
        <v>46</v>
      </c>
    </row>
    <row s="47026" customFormat="1" customHeight="1" ht="24">
      <c r="A9" s="1880"/>
      <c r="B9" s="1880"/>
      <c r="C9" s="1880"/>
      <c r="D9" s="1880"/>
      <c r="E9" s="1880"/>
      <c r="F9" s="1880"/>
      <c r="G9" s="1880"/>
      <c r="H9" s="1880"/>
      <c r="L9" s="1788"/>
      <c r="M9" s="807" t="s">
        <v>539</v>
      </c>
      <c r="N9" s="816"/>
      <c r="O9" s="2763" t="str">
        <f>IF(TITLE_DATE_CHANGE_PERIOD="",IF(TITLE_DATE_PR="","",TITLE_DATE_PR),TITLE_DATE_CHANGE_PERIOD)</f>
        <v>45639.49512731482</v>
      </c>
      <c r="P9" s="2763"/>
      <c r="Q9" s="2763"/>
      <c r="R9" s="2763"/>
      <c r="S9" s="2763"/>
      <c r="T9" s="2763"/>
      <c r="U9" s="2763"/>
      <c r="V9" s="838"/>
      <c r="W9" s="838"/>
      <c r="X9" s="792"/>
      <c r="Y9" s="880"/>
      <c r="Z9" s="880"/>
      <c r="AA9" s="880"/>
      <c r="AB9" s="880"/>
      <c r="AC9" s="880"/>
      <c r="AD9" s="930">
        <v>23</v>
      </c>
    </row>
    <row s="47026" customFormat="1" customHeight="1" ht="24">
      <c r="A10" s="1880"/>
      <c r="B10" s="1880"/>
      <c r="C10" s="1880"/>
      <c r="D10" s="1880"/>
      <c r="E10" s="1880"/>
      <c r="F10" s="1880"/>
      <c r="G10" s="1880"/>
      <c r="H10" s="1880"/>
      <c r="L10" s="1762"/>
      <c r="M10" s="807" t="s">
        <v>540</v>
      </c>
      <c r="N10" s="816"/>
      <c r="O10" s="2763" t="str">
        <f>IF(TITLE_NUMBER_PR_CHANGE="",IF(TITLE_NUMBER_PR="","",TITLE_NUMBER_PR),TITLE_NUMBER_PR_CHANGE)</f>
        <v>53/9</v>
      </c>
      <c r="P10" s="2763"/>
      <c r="Q10" s="2763"/>
      <c r="R10" s="2763"/>
      <c r="S10" s="2763"/>
      <c r="T10" s="2763"/>
      <c r="U10" s="2763"/>
      <c r="V10" s="838"/>
      <c r="W10" s="838"/>
      <c r="X10" s="792"/>
      <c r="Y10" s="880"/>
      <c r="Z10" s="880"/>
      <c r="AA10" s="880"/>
      <c r="AB10" s="880"/>
      <c r="AC10" s="880"/>
      <c r="AD10" s="930">
        <v>23</v>
      </c>
    </row>
    <row s="47026" customFormat="1" customHeight="1" ht="24">
      <c r="A11" s="1880"/>
      <c r="B11" s="1880"/>
      <c r="C11" s="1880"/>
      <c r="D11" s="1880"/>
      <c r="E11" s="1880"/>
      <c r="F11" s="1880"/>
      <c r="G11" s="1880"/>
      <c r="H11" s="1880"/>
      <c r="L11" s="1762"/>
      <c r="M11" s="807" t="s">
        <v>44</v>
      </c>
      <c r="N11" s="816"/>
      <c r="O11" s="2763" t="str">
        <f>IF(TITLE_IST_PUB_CHANGE="",IF(TITLE_IST_PUB="","",TITLE_IST_PUB),TITLE_IST_PUB_CHANGE)</f>
        <v>http://pravo.gov.ru</v>
      </c>
      <c r="P11" s="2763"/>
      <c r="Q11" s="2763"/>
      <c r="R11" s="2763"/>
      <c r="S11" s="2763"/>
      <c r="T11" s="2763"/>
      <c r="U11" s="2763"/>
      <c r="V11" s="838"/>
      <c r="W11" s="838"/>
      <c r="X11" s="792"/>
      <c r="Y11" s="880"/>
      <c r="Z11" s="880"/>
      <c r="AA11" s="880"/>
      <c r="AB11" s="880"/>
      <c r="AC11" s="880"/>
      <c r="AD11" s="930">
        <v>23</v>
      </c>
    </row>
    <row s="47026" customFormat="1" customHeight="1" ht="11.25" hidden="1">
      <c r="A12" s="1880"/>
      <c r="B12" s="1880"/>
      <c r="C12" s="1880"/>
      <c r="D12" s="1880"/>
      <c r="E12" s="1880"/>
      <c r="F12" s="1880"/>
      <c r="G12" s="1880"/>
      <c r="H12" s="1880"/>
      <c r="L12" s="3117"/>
      <c r="M12" s="3117"/>
      <c r="N12" s="1799"/>
      <c r="O12" s="838"/>
      <c r="P12" s="838"/>
      <c r="Q12" s="838"/>
      <c r="R12" s="838"/>
      <c r="S12" s="838"/>
      <c r="T12" s="838"/>
      <c r="U12" s="838"/>
      <c r="V12" s="790" t="s">
        <v>543</v>
      </c>
      <c r="Y12" s="880"/>
      <c r="Z12" s="880"/>
      <c r="AA12" s="880"/>
      <c r="AB12" s="880"/>
      <c r="AC12" s="880"/>
      <c r="AD12" s="930">
        <v>0</v>
      </c>
    </row>
    <row customHeight="1" ht="14.699999999999998">
      <c r="J13" s="888"/>
      <c r="K13" s="888"/>
      <c r="L13" s="1787"/>
      <c r="M13" s="875"/>
      <c r="N13" s="1756"/>
      <c r="O13" s="2764"/>
      <c r="P13" s="2764"/>
      <c r="Q13" s="2764"/>
      <c r="R13" s="2764"/>
      <c r="S13" s="2764"/>
      <c r="T13" s="2764"/>
      <c r="U13" s="2764"/>
      <c r="V13" s="2764"/>
      <c r="AD13" s="1667">
        <v>14</v>
      </c>
    </row>
    <row customHeight="1" ht="14.699999999999998">
      <c r="J14" s="888"/>
      <c r="K14" s="888"/>
      <c r="L14" s="2639" t="s">
        <v>418</v>
      </c>
      <c r="M14" s="2639"/>
      <c r="N14" s="2639"/>
      <c r="O14" s="2639"/>
      <c r="P14" s="2639"/>
      <c r="Q14" s="2639"/>
      <c r="R14" s="2639"/>
      <c r="S14" s="2639"/>
      <c r="T14" s="2639"/>
      <c r="U14" s="2639"/>
      <c r="V14" s="2639"/>
      <c r="W14" s="2639"/>
      <c r="X14" s="2639" t="s">
        <v>419</v>
      </c>
      <c r="AD14" s="1667">
        <v>14</v>
      </c>
    </row>
    <row customHeight="1" ht="14.699999999999998">
      <c r="J15" s="888"/>
      <c r="K15" s="888"/>
      <c r="L15" s="2785" t="s">
        <v>90</v>
      </c>
      <c r="M15" s="2721" t="s">
        <v>544</v>
      </c>
      <c r="N15" s="813"/>
      <c r="O15" s="2786" t="s">
        <v>2350</v>
      </c>
      <c r="P15" s="2787"/>
      <c r="Q15" s="2787"/>
      <c r="R15" s="2787"/>
      <c r="S15" s="2787"/>
      <c r="T15" s="2787"/>
      <c r="U15" s="2788"/>
      <c r="V15" s="2789" t="s">
        <v>546</v>
      </c>
      <c r="W15" s="2792" t="s">
        <v>1269</v>
      </c>
      <c r="X15" s="2639"/>
      <c r="AD15" s="1667">
        <v>14</v>
      </c>
    </row>
    <row customHeight="1" ht="35.699999999999996">
      <c r="J16" s="888"/>
      <c r="K16" s="888"/>
      <c r="L16" s="2785"/>
      <c r="M16" s="2721"/>
      <c r="N16" s="1543"/>
      <c r="O16" s="2772" t="s">
        <v>549</v>
      </c>
      <c r="P16" s="2772" t="s">
        <v>550</v>
      </c>
      <c r="Q16" s="2774" t="s">
        <v>551</v>
      </c>
      <c r="R16" s="2775"/>
      <c r="S16" s="2774" t="s">
        <v>564</v>
      </c>
      <c r="T16" s="2781"/>
      <c r="U16" s="2775"/>
      <c r="V16" s="2790"/>
      <c r="W16" s="2793"/>
      <c r="X16" s="2639"/>
      <c r="AD16" s="1667">
        <v>34</v>
      </c>
    </row>
    <row customHeight="1" ht="35.699999999999996">
      <c r="A17" s="1882" t="s">
        <v>190</v>
      </c>
      <c r="B17" s="1882" t="s">
        <v>191</v>
      </c>
      <c r="C17" s="1882" t="s">
        <v>192</v>
      </c>
      <c r="D17" s="1882" t="s">
        <v>193</v>
      </c>
      <c r="E17" s="1882"/>
      <c r="J17" s="888"/>
      <c r="K17" s="888"/>
      <c r="L17" s="2785"/>
      <c r="M17" s="2721"/>
      <c r="N17" s="814"/>
      <c r="O17" s="2773"/>
      <c r="P17" s="2773"/>
      <c r="Q17" s="1734" t="s">
        <v>560</v>
      </c>
      <c r="R17" s="1734" t="s">
        <v>561</v>
      </c>
      <c r="S17" s="1804" t="s">
        <v>562</v>
      </c>
      <c r="T17" s="2782" t="s">
        <v>563</v>
      </c>
      <c r="U17" s="2783"/>
      <c r="V17" s="2791"/>
      <c r="W17" s="2794"/>
      <c r="X17" s="2639"/>
      <c r="AD17" s="1667">
        <v>34</v>
      </c>
    </row>
    <row s="47496" customFormat="1" customHeight="1" ht="11.549999999999999">
      <c r="A18" s="1882"/>
      <c r="B18" s="1882"/>
      <c r="C18" s="1882"/>
      <c r="D18" s="1882"/>
      <c r="E18" s="1882"/>
      <c r="F18" s="1874"/>
      <c r="G18" s="1874"/>
      <c r="H18" s="1874"/>
      <c r="I18" s="1758"/>
      <c r="J18" s="1759"/>
      <c r="K18" s="1766">
        <v>1</v>
      </c>
      <c r="L18" s="1789" t="s">
        <v>101</v>
      </c>
      <c r="M18" s="1767" t="s">
        <v>105</v>
      </c>
      <c r="N18" s="1757" t="str">
        <f>OFFSET(N18,0,-1)</f>
        <v>2</v>
      </c>
      <c r="O18" s="1801">
        <f>OFFSET(O18,0,-1)+1</f>
        <v>3</v>
      </c>
      <c r="P18" s="1801"/>
      <c r="Q18" s="1801">
        <f>OFFSET(Q18,0,-1)+1</f>
        <v>1</v>
      </c>
      <c r="R18" s="1801">
        <f>OFFSET(R18,0,-1)+1</f>
        <v>2</v>
      </c>
      <c r="S18" s="1801">
        <f>OFFSET(S18,0,-1)+1</f>
        <v>3</v>
      </c>
      <c r="T18" s="2784">
        <f>OFFSET(T18,0,-1)+1</f>
        <v>4</v>
      </c>
      <c r="U18" s="2784"/>
      <c r="V18" s="1801">
        <f>OFFSET(V18,0,-2)+1</f>
        <v>5</v>
      </c>
      <c r="W18" s="1757">
        <f>OFFSET(W18,0,-1)</f>
        <v>5</v>
      </c>
      <c r="X18" s="1801">
        <f>OFFSET(X18,0,-1)+1</f>
        <v>6</v>
      </c>
      <c r="Y18" s="1023"/>
      <c r="Z18" s="1023"/>
      <c r="AA18" s="1023"/>
      <c r="AB18" s="1023"/>
      <c r="AC18" s="1023"/>
      <c r="AD18" s="1008">
        <v>11</v>
      </c>
    </row>
    <row customHeight="1" ht="21">
      <c r="A19" s="1875" t="s">
        <v>219</v>
      </c>
      <c r="B19" s="1875" t="s">
        <v>220</v>
      </c>
      <c r="C19" s="1875" t="s">
        <v>221</v>
      </c>
      <c r="D19" s="1875" t="s">
        <v>222</v>
      </c>
      <c r="E19" s="1875"/>
      <c r="F19" s="1877"/>
      <c r="G19" s="1877"/>
      <c r="H19" s="1877"/>
      <c r="I19" s="873"/>
      <c r="J19" s="872"/>
      <c r="K19" s="867"/>
      <c r="L19" s="1805">
        <f>INDEX(PT_DIFFERENTIATION_NUM_NTAR,MATCH(A19,PT_DIFFERENTIATION_NTAR_ID,0))</f>
        <v>0</v>
      </c>
      <c r="M19" s="810" t="s">
        <v>179</v>
      </c>
      <c r="N19" s="812"/>
      <c r="O19" s="3118" t="str">
        <f>INDEX(PT_DIFFERENTIATION_NTAR,MATCH(A19,PT_DIFFERENTIATION_NTAR_ID,0))</f>
        <v/>
      </c>
      <c r="P19" s="3118"/>
      <c r="Q19" s="3118"/>
      <c r="R19" s="3118"/>
      <c r="S19" s="3118"/>
      <c r="T19" s="3118"/>
      <c r="U19" s="3118"/>
      <c r="V19" s="3118"/>
      <c r="W19" s="3118"/>
      <c r="X19" s="1770" t="s">
        <v>514</v>
      </c>
      <c r="Z19" s="1012"/>
      <c r="AA19" s="1012" t="str">
        <f>IF(M19="","",M19)</f>
        <v>Наименование тарифа</v>
      </c>
      <c r="AB19" s="1012"/>
      <c r="AC19" s="1012"/>
      <c r="AD19" s="1667">
        <v>20</v>
      </c>
    </row>
    <row customHeight="1" ht="21">
      <c r="A20" s="1875" t="s">
        <v>219</v>
      </c>
      <c r="B20" s="1875" t="s">
        <v>220</v>
      </c>
      <c r="C20" s="1875" t="s">
        <v>221</v>
      </c>
      <c r="D20" s="1875" t="s">
        <v>222</v>
      </c>
      <c r="E20" s="1875"/>
      <c r="F20" s="1877"/>
      <c r="G20" s="1877"/>
      <c r="H20" s="1877"/>
      <c r="I20" s="1802"/>
      <c r="J20" s="864"/>
      <c r="K20" s="865"/>
      <c r="L20" s="1805" t="str">
        <f>INDEX(PT_DIFFERENTIATION_NUM_TER,MATCH(B19,PT_DIFFERENTIATION_TER_ID,0))</f>
        <v>.</v>
      </c>
      <c r="M20" s="820" t="s">
        <v>515</v>
      </c>
      <c r="N20" s="812"/>
      <c r="O20" s="3118" t="str">
        <f>INDEX(PT_DIFFERENTIATION_TER,MATCH(B19,PT_DIFFERENTIATION_TER_ID,0))</f>
        <v/>
      </c>
      <c r="P20" s="3118"/>
      <c r="Q20" s="3118"/>
      <c r="R20" s="3118"/>
      <c r="S20" s="3118"/>
      <c r="T20" s="3118"/>
      <c r="U20" s="3118"/>
      <c r="V20" s="3118"/>
      <c r="W20" s="3118"/>
      <c r="X20" s="1770" t="s">
        <v>516</v>
      </c>
      <c r="Z20" s="1012"/>
      <c r="AA20" s="1012" t="str">
        <f>IF(M20="","",M20)</f>
        <v>Территория действия тарифа</v>
      </c>
      <c r="AB20" s="1012"/>
      <c r="AC20" s="1012"/>
      <c r="AD20" s="1667">
        <v>20</v>
      </c>
    </row>
    <row customHeight="1" ht="24">
      <c r="A21" s="1875" t="s">
        <v>219</v>
      </c>
      <c r="B21" s="1875" t="s">
        <v>220</v>
      </c>
      <c r="C21" s="1875" t="s">
        <v>221</v>
      </c>
      <c r="D21" s="1875" t="s">
        <v>222</v>
      </c>
      <c r="E21" s="1875"/>
      <c r="F21" s="1877"/>
      <c r="G21" s="1877"/>
      <c r="H21" s="1877"/>
      <c r="I21" s="866"/>
      <c r="J21" s="864"/>
      <c r="K21" s="865"/>
      <c r="L21" s="1805" t="str">
        <f>INDEX(PT_DIFFERENTIATION_NUM_CS,MATCH(C19,PT_DIFFERENTIATION_CS_ID,0))</f>
        <v>..</v>
      </c>
      <c r="M21" s="821" t="s">
        <v>517</v>
      </c>
      <c r="N21" s="812"/>
      <c r="O21" s="3118" t="str">
        <f>INDEX(PT_DIFFERENTIATION_CS,MATCH(C19,PT_DIFFERENTIATION_CS_ID,0))</f>
        <v/>
      </c>
      <c r="P21" s="3118"/>
      <c r="Q21" s="3118"/>
      <c r="R21" s="3118"/>
      <c r="S21" s="3118"/>
      <c r="T21" s="3118"/>
      <c r="U21" s="3118"/>
      <c r="V21" s="3118"/>
      <c r="W21" s="3118"/>
      <c r="X21" s="1770" t="s">
        <v>518</v>
      </c>
      <c r="Z21" s="1012"/>
      <c r="AA21" s="1012" t="str">
        <f>IF(M21="","",M21)</f>
        <v>Наименование системы теплоснабжения </v>
      </c>
      <c r="AB21" s="1012"/>
      <c r="AC21" s="1012"/>
      <c r="AD21" s="1667">
        <v>23</v>
      </c>
    </row>
    <row customHeight="1" ht="21">
      <c r="A22" s="1875" t="s">
        <v>219</v>
      </c>
      <c r="B22" s="1875" t="s">
        <v>220</v>
      </c>
      <c r="C22" s="1875" t="s">
        <v>221</v>
      </c>
      <c r="D22" s="1875" t="s">
        <v>222</v>
      </c>
      <c r="E22" s="1875"/>
      <c r="F22" s="1877"/>
      <c r="G22" s="1877"/>
      <c r="H22" s="1877"/>
      <c r="I22" s="866"/>
      <c r="J22" s="864"/>
      <c r="K22" s="865"/>
      <c r="L22" s="1805" t="str">
        <f>INDEX(PT_DIFFERENTIATION_NUM_IST_TE,MATCH(D19,PT_DIFFERENTIATION_IST_TE_ID,0))</f>
        <v>...</v>
      </c>
      <c r="M22" s="822" t="s">
        <v>519</v>
      </c>
      <c r="N22" s="812"/>
      <c r="O22" s="3118" t="str">
        <f>INDEX(PT_DIFFERENTIATION_IST_TE,MATCH(D19,PT_DIFFERENTIATION_IST_TE_ID,0))</f>
        <v/>
      </c>
      <c r="P22" s="3118"/>
      <c r="Q22" s="3118"/>
      <c r="R22" s="3118"/>
      <c r="S22" s="3118"/>
      <c r="T22" s="3118"/>
      <c r="U22" s="3118"/>
      <c r="V22" s="3118"/>
      <c r="W22" s="3118"/>
      <c r="X22" s="1770" t="s">
        <v>520</v>
      </c>
      <c r="Z22" s="1012"/>
      <c r="AA22" s="1012" t="str">
        <f>IF(M22="","",M22)</f>
        <v>Источник тепловой энергии  </v>
      </c>
      <c r="AB22" s="1012"/>
      <c r="AC22" s="1012"/>
      <c r="AD22" s="1667">
        <v>20</v>
      </c>
    </row>
    <row customHeight="1" ht="96.75">
      <c r="A23" s="1875" t="s">
        <v>219</v>
      </c>
      <c r="B23" s="1875" t="s">
        <v>220</v>
      </c>
      <c r="C23" s="1875" t="s">
        <v>221</v>
      </c>
      <c r="D23" s="1875" t="s">
        <v>222</v>
      </c>
      <c r="E23" s="1875"/>
      <c r="F23" s="3119" t="str">
        <f>L22&amp;".1"</f>
        <v>....1</v>
      </c>
      <c r="I23" s="2769">
        <v>1</v>
      </c>
      <c r="J23" s="1803"/>
      <c r="K23" s="868"/>
      <c r="L23" s="1805" t="str">
        <f>$F$23</f>
        <v>....1</v>
      </c>
      <c r="M23" s="797" t="s">
        <v>522</v>
      </c>
      <c r="N23" s="812"/>
      <c r="O23" s="2817"/>
      <c r="P23" s="2817"/>
      <c r="Q23" s="2817"/>
      <c r="R23" s="2817"/>
      <c r="S23" s="2817"/>
      <c r="T23" s="2817"/>
      <c r="U23" s="2817"/>
      <c r="V23" s="2817"/>
      <c r="W23" s="2817"/>
      <c r="X23" s="1770" t="s">
        <v>523</v>
      </c>
      <c r="Z23" s="1012"/>
      <c r="AA23" s="1012" t="str">
        <f>IF(M23="","",M23)</f>
        <v>Схема подключения теплопотребляющей установки к коллектору источника тепловой энергии</v>
      </c>
      <c r="AB23" s="1012"/>
      <c r="AC23" s="1012"/>
      <c r="AD23" s="1667">
        <v>92</v>
      </c>
    </row>
    <row customHeight="1" ht="86.25">
      <c r="A24" s="1875" t="s">
        <v>219</v>
      </c>
      <c r="B24" s="1875" t="s">
        <v>220</v>
      </c>
      <c r="C24" s="1875" t="s">
        <v>221</v>
      </c>
      <c r="D24" s="1875" t="s">
        <v>222</v>
      </c>
      <c r="E24" s="1875"/>
      <c r="F24" s="3119"/>
      <c r="G24" s="2729" t="str">
        <f>F23&amp;".1"</f>
        <v>....1.1</v>
      </c>
      <c r="I24" s="2769"/>
      <c r="J24" s="2769">
        <v>1</v>
      </c>
      <c r="K24" s="869"/>
      <c r="L24" s="1805" t="str">
        <f>$G$24</f>
        <v>....1.1</v>
      </c>
      <c r="M24" s="798" t="s">
        <v>525</v>
      </c>
      <c r="N24" s="812"/>
      <c r="O24" s="2757"/>
      <c r="P24" s="2758"/>
      <c r="Q24" s="2758"/>
      <c r="R24" s="2758"/>
      <c r="S24" s="2758"/>
      <c r="T24" s="2758"/>
      <c r="U24" s="2758"/>
      <c r="V24" s="2758"/>
      <c r="W24" s="2759"/>
      <c r="X24" s="1770" t="s">
        <v>526</v>
      </c>
      <c r="Z24" s="1012"/>
      <c r="AA24" s="1012" t="str">
        <f>IF(M24="","",M24)</f>
        <v>Группа потребителей</v>
      </c>
      <c r="AB24" s="1012"/>
      <c r="AC24" s="1012"/>
      <c r="AD24" s="1667">
        <v>82</v>
      </c>
    </row>
    <row customHeight="1" ht="11.549999999999999">
      <c r="A25" s="1875" t="s">
        <v>219</v>
      </c>
      <c r="B25" s="1875" t="s">
        <v>220</v>
      </c>
      <c r="C25" s="1875" t="s">
        <v>221</v>
      </c>
      <c r="D25" s="1875" t="s">
        <v>222</v>
      </c>
      <c r="E25" s="1875"/>
      <c r="F25" s="3119"/>
      <c r="G25" s="2729"/>
      <c r="H25" s="2729" t="str">
        <f>G24&amp;".1"</f>
        <v>....1.1.1</v>
      </c>
      <c r="I25" s="2769"/>
      <c r="J25" s="2769"/>
      <c r="K25" s="869">
        <v>1</v>
      </c>
      <c r="L25" s="1805" t="str">
        <f>$H$25</f>
        <v>....1.1.1</v>
      </c>
      <c r="M25" s="1859"/>
      <c r="N25" s="812"/>
      <c r="O25" s="1263"/>
      <c r="P25" s="837"/>
      <c r="Q25" s="1263"/>
      <c r="R25" s="1769"/>
      <c r="S25" s="3114"/>
      <c r="T25" s="2619" t="s">
        <v>63</v>
      </c>
      <c r="U25" s="3114"/>
      <c r="V25" s="2619" t="s">
        <v>19</v>
      </c>
      <c r="W25" s="837"/>
      <c r="X25" s="2765" t="s">
        <v>528</v>
      </c>
      <c r="Y25" s="1023">
        <f>STRCHECKDATE(O26:W26)</f>
      </c>
      <c r="Z25" s="1012"/>
      <c r="AA25" s="1012" t="str">
        <f>IF(M25="","",M25)</f>
        <v/>
      </c>
      <c r="AB25" s="1012"/>
      <c r="AC25" s="1012"/>
      <c r="AD25" s="1667">
        <v>11</v>
      </c>
    </row>
    <row customHeight="1" ht="11.549999999999999">
      <c r="A26" s="1875" t="s">
        <v>219</v>
      </c>
      <c r="B26" s="1875" t="s">
        <v>220</v>
      </c>
      <c r="C26" s="1875" t="s">
        <v>221</v>
      </c>
      <c r="D26" s="1875" t="s">
        <v>222</v>
      </c>
      <c r="E26" s="1875"/>
      <c r="F26" s="3119"/>
      <c r="G26" s="2729"/>
      <c r="H26" s="2729"/>
      <c r="I26" s="2769"/>
      <c r="J26" s="2769"/>
      <c r="K26" s="869"/>
      <c r="L26" s="1806"/>
      <c r="M26" s="812"/>
      <c r="N26" s="812"/>
      <c r="O26" s="837"/>
      <c r="P26" s="837"/>
      <c r="Q26" s="837"/>
      <c r="R26" s="840" t="str">
        <f>S25&amp;"-"&amp;U25</f>
        <v>-</v>
      </c>
      <c r="S26" s="2778"/>
      <c r="T26" s="2619"/>
      <c r="U26" s="2778"/>
      <c r="V26" s="2619"/>
      <c r="W26" s="837"/>
      <c r="X26" s="2766"/>
      <c r="Z26" s="1012"/>
      <c r="AA26" s="1012" t="str">
        <f>IF(M26="","",M26)</f>
        <v/>
      </c>
      <c r="AB26" s="1012"/>
      <c r="AC26" s="1012"/>
      <c r="AD26" s="1667">
        <v>11</v>
      </c>
    </row>
    <row customHeight="1" ht="15.75">
      <c r="A27" s="1875" t="s">
        <v>219</v>
      </c>
      <c r="B27" s="1875" t="s">
        <v>220</v>
      </c>
      <c r="C27" s="1875" t="s">
        <v>221</v>
      </c>
      <c r="D27" s="1875" t="s">
        <v>222</v>
      </c>
      <c r="E27" s="1875"/>
      <c r="F27" s="3119"/>
      <c r="G27" s="2729"/>
      <c r="I27" s="2769"/>
      <c r="J27" s="2769"/>
      <c r="K27" s="868"/>
      <c r="L27" s="1790"/>
      <c r="M27" s="800" t="s">
        <v>529</v>
      </c>
      <c r="N27" s="879"/>
      <c r="O27" s="879"/>
      <c r="P27" s="879"/>
      <c r="Q27" s="879"/>
      <c r="R27" s="879"/>
      <c r="S27" s="879"/>
      <c r="T27" s="879"/>
      <c r="U27" s="879"/>
      <c r="V27" s="879"/>
      <c r="W27" s="836"/>
      <c r="X27" s="2767"/>
      <c r="Z27" s="1012"/>
      <c r="AA27" s="1012" t="str">
        <f>IF(M27="","",M27)</f>
        <v>Добавить вид теплоносителя (параметры теплоносителя)</v>
      </c>
      <c r="AB27" s="1012"/>
      <c r="AC27" s="1012"/>
      <c r="AD27" s="1667">
        <v>15</v>
      </c>
    </row>
    <row customHeight="1" ht="15.75">
      <c r="A28" s="1875" t="s">
        <v>219</v>
      </c>
      <c r="B28" s="1875" t="s">
        <v>220</v>
      </c>
      <c r="C28" s="1875" t="s">
        <v>221</v>
      </c>
      <c r="D28" s="1875" t="s">
        <v>222</v>
      </c>
      <c r="E28" s="1875"/>
      <c r="F28" s="3119"/>
      <c r="I28" s="2769"/>
      <c r="J28" s="1803"/>
      <c r="K28" s="868"/>
      <c r="L28" s="1790"/>
      <c r="M28" s="799" t="s">
        <v>530</v>
      </c>
      <c r="N28" s="879"/>
      <c r="O28" s="879"/>
      <c r="P28" s="879"/>
      <c r="Q28" s="879"/>
      <c r="R28" s="879"/>
      <c r="S28" s="879"/>
      <c r="T28" s="879"/>
      <c r="U28" s="879"/>
      <c r="V28" s="878"/>
      <c r="W28" s="879"/>
      <c r="X28" s="815"/>
      <c r="Z28" s="1012"/>
      <c r="AA28" s="1012" t="str">
        <f>IF(M28="","",M28)</f>
        <v>Добавить группу потребителей</v>
      </c>
      <c r="AB28" s="1012"/>
      <c r="AC28" s="1012"/>
      <c r="AD28" s="1667">
        <v>15</v>
      </c>
    </row>
    <row customHeight="1" ht="14.699999999999998">
      <c r="A29" s="1875" t="s">
        <v>219</v>
      </c>
      <c r="B29" s="1875" t="s">
        <v>220</v>
      </c>
      <c r="C29" s="1875" t="s">
        <v>221</v>
      </c>
      <c r="D29" s="1875" t="s">
        <v>222</v>
      </c>
      <c r="E29" s="1875"/>
      <c r="F29" s="1877"/>
      <c r="G29" s="1877"/>
      <c r="H29" s="1049"/>
      <c r="I29" s="872"/>
      <c r="J29" s="887"/>
      <c r="K29" s="867"/>
      <c r="L29" s="1790"/>
      <c r="M29" s="877" t="s">
        <v>531</v>
      </c>
      <c r="N29" s="879"/>
      <c r="O29" s="879"/>
      <c r="P29" s="879"/>
      <c r="Q29" s="879"/>
      <c r="R29" s="879"/>
      <c r="S29" s="879"/>
      <c r="T29" s="879"/>
      <c r="U29" s="879"/>
      <c r="V29" s="878"/>
      <c r="W29" s="879"/>
      <c r="X29" s="815"/>
      <c r="Z29" s="1012"/>
      <c r="AA29" s="1012" t="str">
        <f>IF(M29="","",M29)</f>
        <v>Добавить схему подключения</v>
      </c>
      <c r="AB29" s="1012"/>
      <c r="AC29" s="1012"/>
      <c r="AD29" s="1667">
        <v>14</v>
      </c>
    </row>
    <row customHeight="1" ht="14.699999999999998">
      <c r="A30" s="1875" t="s">
        <v>219</v>
      </c>
      <c r="B30" s="1875" t="s">
        <v>220</v>
      </c>
      <c r="C30" s="1875" t="s">
        <v>221</v>
      </c>
      <c r="D30" s="1875"/>
      <c r="E30" s="1875" t="s">
        <v>703</v>
      </c>
      <c r="F30" s="1877"/>
      <c r="G30" s="1877"/>
      <c r="H30" s="1049"/>
      <c r="I30" s="872"/>
      <c r="J30" s="887"/>
      <c r="K30" s="867"/>
      <c r="L30" s="1791"/>
      <c r="M30" s="1780"/>
      <c r="N30" s="1781"/>
      <c r="O30" s="1781"/>
      <c r="P30" s="1781"/>
      <c r="Q30" s="1781"/>
      <c r="R30" s="1781"/>
      <c r="S30" s="1781"/>
      <c r="T30" s="1781"/>
      <c r="U30" s="1781"/>
      <c r="V30" s="1782"/>
      <c r="W30" s="1781"/>
      <c r="X30" s="1783"/>
      <c r="Z30" s="1012"/>
      <c r="AA30" s="1012" t="str">
        <f>IF(M30="","",M30)</f>
        <v/>
      </c>
      <c r="AB30" s="1012"/>
      <c r="AC30" s="1012"/>
      <c r="AD30" s="1667">
        <v>14</v>
      </c>
    </row>
    <row customHeight="1" ht="14.699999999999998">
      <c r="A31" s="1875" t="s">
        <v>219</v>
      </c>
      <c r="B31" s="1875" t="s">
        <v>220</v>
      </c>
      <c r="C31" s="1875"/>
      <c r="D31" s="1875"/>
      <c r="E31" s="1875" t="s">
        <v>2351</v>
      </c>
      <c r="F31" s="2029"/>
      <c r="G31" s="2029"/>
      <c r="H31" s="1049"/>
      <c r="I31" s="870"/>
      <c r="J31" s="887"/>
      <c r="K31" s="871"/>
      <c r="L31" s="1791"/>
      <c r="M31" s="1784"/>
      <c r="N31" s="1781"/>
      <c r="O31" s="1781"/>
      <c r="P31" s="1781"/>
      <c r="Q31" s="1781"/>
      <c r="R31" s="1781"/>
      <c r="S31" s="1781"/>
      <c r="T31" s="1781"/>
      <c r="U31" s="1781"/>
      <c r="V31" s="1782"/>
      <c r="W31" s="1781"/>
      <c r="X31" s="1783"/>
      <c r="Z31" s="1012"/>
      <c r="AA31" s="1012" t="str">
        <f>IF(M31="","",M31)</f>
        <v/>
      </c>
      <c r="AB31" s="1012"/>
      <c r="AC31" s="1012"/>
      <c r="AD31" s="1667">
        <v>14</v>
      </c>
    </row>
    <row customHeight="1" ht="14.699999999999998">
      <c r="A32" s="1875" t="s">
        <v>2352</v>
      </c>
      <c r="B32" s="1875"/>
      <c r="C32" s="1875"/>
      <c r="D32" s="1875"/>
      <c r="E32" s="1875" t="s">
        <v>164</v>
      </c>
      <c r="F32" s="2029"/>
      <c r="G32" s="2029"/>
      <c r="H32" s="1049"/>
      <c r="I32" s="872"/>
      <c r="J32" s="887"/>
      <c r="K32" s="867"/>
      <c r="L32" s="1791"/>
      <c r="M32" s="1785"/>
      <c r="N32" s="1781"/>
      <c r="O32" s="1781"/>
      <c r="P32" s="1781"/>
      <c r="Q32" s="1781"/>
      <c r="R32" s="1781"/>
      <c r="S32" s="1781"/>
      <c r="T32" s="1781"/>
      <c r="U32" s="1781"/>
      <c r="V32" s="1782"/>
      <c r="W32" s="1781"/>
      <c r="X32" s="1783"/>
      <c r="Z32" s="1012"/>
      <c r="AA32" s="1012" t="str">
        <f>IF(M32="","",M32)</f>
        <v/>
      </c>
      <c r="AB32" s="1012"/>
      <c r="AC32" s="1012"/>
      <c r="AD32" s="1667">
        <v>14</v>
      </c>
    </row>
    <row s="46950" customFormat="1" customHeight="1" ht="11.549999999999999">
      <c r="A33" s="1875"/>
      <c r="B33" s="1875"/>
      <c r="C33" s="1875"/>
      <c r="D33" s="1875"/>
      <c r="E33" s="1875" t="s">
        <v>386</v>
      </c>
      <c r="F33" s="2030"/>
      <c r="G33" s="2031"/>
      <c r="H33" s="1049"/>
      <c r="L33" s="1792"/>
      <c r="M33" s="1786"/>
      <c r="N33" s="1781"/>
      <c r="O33" s="1781"/>
      <c r="P33" s="1781"/>
      <c r="Q33" s="1781"/>
      <c r="R33" s="1781"/>
      <c r="S33" s="1781"/>
      <c r="T33" s="1781"/>
      <c r="U33" s="1781"/>
      <c r="V33" s="1782"/>
      <c r="W33" s="1781"/>
      <c r="X33" s="1783"/>
      <c r="Y33" s="891"/>
      <c r="Z33" s="891"/>
      <c r="AA33" s="891"/>
      <c r="AB33" s="891"/>
      <c r="AC33" s="891"/>
      <c r="AD33" s="885">
        <v>11</v>
      </c>
    </row>
    <row customHeight="1" ht="11.549999999999999">
      <c r="F34" s="1672"/>
      <c r="G34" s="1672"/>
      <c r="H34" s="1049"/>
      <c r="I34" s="1667"/>
      <c r="J34" s="1667"/>
      <c r="K34" s="1667"/>
      <c r="Y34" s="1667"/>
      <c r="Z34" s="1667"/>
      <c r="AA34" s="1667"/>
      <c r="AB34" s="1667"/>
      <c r="AC34" s="1667"/>
      <c r="AD34" s="1667">
        <v>11</v>
      </c>
    </row>
    <row customHeight="1" ht="28.5">
      <c r="H35" s="1049"/>
      <c r="L35" s="1800" t="s">
        <v>920</v>
      </c>
      <c r="M35" s="2797" t="s">
        <v>2353</v>
      </c>
      <c r="N35" s="2797"/>
      <c r="O35" s="2797"/>
      <c r="P35" s="2797"/>
      <c r="Q35" s="2797"/>
      <c r="R35" s="2797"/>
      <c r="S35" s="2797"/>
      <c r="T35" s="2797"/>
      <c r="U35" s="2797"/>
      <c r="V35" s="2797"/>
      <c r="W35" s="2797"/>
      <c r="X35" s="2797"/>
      <c r="AD35" s="1667">
        <v>27</v>
      </c>
    </row>
    <row customHeight="1" ht="109.19999999999999">
      <c r="H36" s="1049"/>
      <c r="I36" s="1815"/>
      <c r="M36" s="2797" t="s">
        <v>2354</v>
      </c>
      <c r="N36" s="2797"/>
      <c r="O36" s="2797"/>
      <c r="P36" s="2797"/>
      <c r="Q36" s="2797"/>
      <c r="R36" s="2797"/>
      <c r="S36" s="2797"/>
      <c r="T36" s="2797"/>
      <c r="U36" s="2797"/>
      <c r="V36" s="2797"/>
      <c r="W36" s="2797"/>
      <c r="X36" s="2797"/>
      <c r="AD36" s="1667">
        <v>104</v>
      </c>
    </row>
    <row customHeight="1" ht="14.699999999999998">
      <c r="H37" s="1049"/>
      <c r="AD37" s="1667">
        <v>14</v>
      </c>
    </row>
    <row customHeight="1" ht="14.699999999999998">
      <c r="H38" s="1049"/>
      <c r="AD38" s="1667">
        <v>14</v>
      </c>
    </row>
    <row customHeight="1" ht="14.699999999999998">
      <c r="H39" s="1049"/>
      <c r="AD39" s="1667">
        <v>14</v>
      </c>
    </row>
    <row customHeight="1" ht="14.699999999999998">
      <c r="H40" s="1049"/>
      <c r="AD40" s="1667">
        <v>14</v>
      </c>
    </row>
    <row customHeight="1" ht="22.5" hidden="1">
      <c r="A41" s="1672" t="s">
        <v>84</v>
      </c>
      <c r="B41" s="1672">
        <v>0</v>
      </c>
      <c r="C41" s="1672">
        <v>0</v>
      </c>
      <c r="D41" s="1672">
        <v>0</v>
      </c>
      <c r="E41" s="1672">
        <v>0</v>
      </c>
      <c r="F41" s="1874">
        <v>0</v>
      </c>
      <c r="G41" s="1874">
        <v>0</v>
      </c>
      <c r="H41" s="1874">
        <v>0</v>
      </c>
      <c r="I41" s="1798">
        <v>3</v>
      </c>
      <c r="J41" s="856">
        <v>3</v>
      </c>
      <c r="K41" s="856">
        <v>3</v>
      </c>
      <c r="L41" s="1093">
        <v>12</v>
      </c>
      <c r="M41" s="1667">
        <v>31</v>
      </c>
      <c r="N41" s="1667">
        <v>1</v>
      </c>
      <c r="O41" s="1667">
        <v>24</v>
      </c>
      <c r="P41" s="1667">
        <v>24</v>
      </c>
      <c r="Q41" s="1667">
        <v>24</v>
      </c>
      <c r="R41" s="1667">
        <v>24</v>
      </c>
      <c r="S41" s="1667">
        <v>11</v>
      </c>
      <c r="T41" s="1667">
        <v>3</v>
      </c>
      <c r="U41" s="1667">
        <v>11</v>
      </c>
      <c r="V41" s="1667">
        <v>8</v>
      </c>
      <c r="W41" s="1667">
        <v>4</v>
      </c>
      <c r="X41" s="1667">
        <v>115</v>
      </c>
      <c r="Y41" s="1023">
        <v>10</v>
      </c>
      <c r="Z41" s="1023">
        <v>10</v>
      </c>
      <c r="AA41" s="1023">
        <v>10</v>
      </c>
      <c r="AB41" s="1023">
        <v>10</v>
      </c>
      <c r="AC41" s="1023">
        <v>10</v>
      </c>
      <c r="AD41" s="1667">
        <v>23</v>
      </c>
    </row>
  </sheetData>
  <sheetProtection formatColumns="0" formatRows="0" autoFilter="0" sort="0" insertRows="0" insertColumns="1" deleteRows="0" deleteColumns="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BC94068-BA47-94CC-F37E-B0BB06BBB4D4}"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821427C-A4EB-D506-91DE-1C3B69F26AC3}"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0CA1E8C-D99F-9F6F-6C39-E1535F54125F}"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A9A1BB1-DA6E-B83E-3A6E-9EE4499B2CAA}"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AE098FB-7B2A-6E6D-FEC1-7A3CB5140AC4}"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C7801A7-FE28-6AAB-6933-783E17EA8A8C}" mc:Ignorable="x14ac xr xr2 xr3">
  <sheetPr>
    <tabColor theme="3" tint="0.6"/>
  </sheetPr>
  <dimension ref="A1:J60"/>
  <sheetViews>
    <sheetView topLeftCell="A1" showGridLines="0" zoomScale="90" workbookViewId="0">
      <selection activeCell="A1" sqref="A1"/>
    </sheetView>
  </sheetViews>
  <sheetFormatPr defaultColWidth="9.140625" customHeight="1" defaultRowHeight="11.25"/>
  <cols>
    <col min="1" max="1" style="47451" width="15.00390625" hidden="1" customWidth="1"/>
    <col min="2" max="2" style="47408" width="15.00390625" hidden="1" customWidth="1"/>
    <col min="3" max="3" style="47452" width="3.00390625" customWidth="1"/>
    <col min="4" max="4" style="47453" width="6.00390625" customWidth="1"/>
    <col min="5" max="5" style="47452" width="52.00390625" customWidth="1"/>
    <col min="6" max="6" style="47452" width="48.00390625" customWidth="1"/>
    <col min="7" max="7" style="47452" width="121.00390625" customWidth="1"/>
    <col min="8" max="8" style="47452" width="8.00390625" customWidth="1"/>
    <col min="9" max="9" style="47452" width="64.00390625" customWidth="1"/>
    <col min="10" max="10" style="47452" width="9.140625" hidden="1"/>
  </cols>
  <sheetData>
    <row customHeight="1" ht="11.25" hidden="1">
      <c r="A1" s="2198" t="s">
        <v>417</v>
      </c>
      <c r="J1" s="967" t="s">
        <v>14</v>
      </c>
    </row>
    <row customHeight="1" ht="11.25" hidden="1">
      <c r="J2" s="967">
        <v>0</v>
      </c>
    </row>
    <row s="47366" customFormat="1" customHeight="1" ht="11.549999999999999">
      <c r="A3" s="2198"/>
      <c r="B3" s="1013"/>
      <c r="D3" s="990"/>
      <c r="J3" s="989">
        <v>11</v>
      </c>
    </row>
    <row customHeight="1" ht="27.299999999999997">
      <c r="D4" s="2669" t="str">
        <f>ORG_INFO_NAME_FORM</f>
        <v>Форма 1. Информация об организации, осуществляющей водоотведение (общая информация)</v>
      </c>
      <c r="E4" s="2670"/>
      <c r="F4" s="2671"/>
      <c r="I4" s="1227"/>
      <c r="J4" s="967">
        <v>26</v>
      </c>
    </row>
    <row customHeight="1" ht="18">
      <c r="D5" s="2688" t="str">
        <f>IF(org=0,"Не определено",org)</f>
        <v>КГУП "Примтеплоэнерго"</v>
      </c>
      <c r="E5" s="2688"/>
      <c r="F5" s="2688"/>
      <c r="I5" s="1227"/>
      <c r="J5" s="967">
        <v>17</v>
      </c>
    </row>
    <row s="47366" customFormat="1" customHeight="1" ht="11.549999999999999">
      <c r="A6" s="2198"/>
      <c r="B6" s="1013"/>
      <c r="D6" s="1226"/>
      <c r="E6" s="1226"/>
      <c r="F6" s="1264"/>
      <c r="G6" s="1226"/>
      <c r="J6" s="989">
        <v>11</v>
      </c>
    </row>
    <row customHeight="1" ht="11.25" hidden="1">
      <c r="A7" s="969"/>
      <c r="B7" s="1014"/>
      <c r="C7" s="969"/>
      <c r="D7" s="975"/>
      <c r="E7" s="2719"/>
      <c r="F7" s="2719"/>
      <c r="J7" s="967">
        <v>0</v>
      </c>
    </row>
    <row customHeight="1" ht="11.549999999999999">
      <c r="A8" s="969"/>
      <c r="B8" s="1014"/>
      <c r="C8" s="969"/>
      <c r="D8" s="2716" t="s">
        <v>418</v>
      </c>
      <c r="E8" s="2717"/>
      <c r="F8" s="2717"/>
      <c r="G8" s="2720" t="s">
        <v>419</v>
      </c>
      <c r="J8" s="967">
        <v>11</v>
      </c>
    </row>
    <row customHeight="1" ht="11.549999999999999">
      <c r="A9" s="969"/>
      <c r="B9" s="1014"/>
      <c r="C9" s="969"/>
      <c r="D9" s="984" t="s">
        <v>90</v>
      </c>
      <c r="E9" s="958" t="s">
        <v>420</v>
      </c>
      <c r="F9" s="958" t="s">
        <v>421</v>
      </c>
      <c r="G9" s="2721"/>
      <c r="J9" s="967">
        <v>11</v>
      </c>
    </row>
    <row customHeight="1" ht="12" hidden="1">
      <c r="A10" s="969"/>
      <c r="B10" s="1014"/>
      <c r="C10" s="969"/>
      <c r="D10" s="976"/>
      <c r="E10" s="976"/>
      <c r="F10" s="976"/>
      <c r="G10" s="976"/>
      <c r="J10" s="967">
        <v>0</v>
      </c>
    </row>
    <row customHeight="1" ht="22.5" hidden="1">
      <c r="A11" s="969"/>
      <c r="B11" s="1014"/>
      <c r="C11" s="969"/>
      <c r="D11" s="1521" t="s">
        <v>101</v>
      </c>
      <c r="E11" s="1524" t="s">
        <v>422</v>
      </c>
      <c r="F11" s="1523" t="str">
        <f>IF(region_name="","",region_name)</f>
        <v>Приморский край</v>
      </c>
      <c r="G11" s="1524" t="s">
        <v>423</v>
      </c>
      <c r="H11" s="987"/>
      <c r="J11" s="967">
        <v>0</v>
      </c>
    </row>
    <row customHeight="1" ht="22.5" hidden="1">
      <c r="A12" s="969"/>
      <c r="B12" s="1014"/>
      <c r="C12" s="969"/>
      <c r="D12" s="957" t="s">
        <v>101</v>
      </c>
      <c r="E12" s="956"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955" t="s">
        <v>424</v>
      </c>
      <c r="G12" s="986"/>
      <c r="H12" s="987"/>
      <c r="J12" s="967">
        <v>0</v>
      </c>
    </row>
    <row customHeight="1" ht="23.25">
      <c r="A13" s="969"/>
      <c r="B13" s="1014"/>
      <c r="C13" s="969"/>
      <c r="D13" s="957" t="s">
        <v>101</v>
      </c>
      <c r="E13" s="954" t="str">
        <f>"Наименование юридического лица"&amp;IF(TEMPLATE_SPHERE="TKO"," (индивидуального предпринимателя)","")</f>
        <v>Наименование юридического лица</v>
      </c>
      <c r="F13" s="953"/>
      <c r="G13" s="956"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987"/>
      <c r="J13" s="967">
        <v>22</v>
      </c>
    </row>
    <row customHeight="1" ht="22.5" hidden="1">
      <c r="A14" s="969"/>
      <c r="B14" s="1014"/>
      <c r="C14" s="969"/>
      <c r="D14" s="1521" t="s">
        <v>425</v>
      </c>
      <c r="E14" s="1522" t="s">
        <v>426</v>
      </c>
      <c r="F14" s="1523" t="str">
        <f>IF(inn="","",inn)</f>
        <v>2536112729</v>
      </c>
      <c r="G14" s="1524" t="s">
        <v>427</v>
      </c>
      <c r="H14" s="987"/>
      <c r="J14" s="967">
        <v>0</v>
      </c>
    </row>
    <row customHeight="1" ht="22.5" hidden="1">
      <c r="A15" s="969"/>
      <c r="B15" s="1014"/>
      <c r="C15" s="969"/>
      <c r="D15" s="1521" t="s">
        <v>428</v>
      </c>
      <c r="E15" s="1522" t="s">
        <v>429</v>
      </c>
      <c r="F15" s="1523" t="str">
        <f>IF(kpp="","",kpp)</f>
        <v>253801001</v>
      </c>
      <c r="G15" s="1524" t="s">
        <v>430</v>
      </c>
      <c r="H15" s="987"/>
      <c r="J15" s="967">
        <v>0</v>
      </c>
    </row>
    <row customHeight="1" ht="39">
      <c r="A16" s="969"/>
      <c r="B16" s="1014"/>
      <c r="C16" s="969"/>
      <c r="D16" s="957" t="s">
        <v>105</v>
      </c>
      <c r="E16" s="954"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953"/>
      <c r="G16" s="956"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987"/>
      <c r="J16" s="967">
        <v>37</v>
      </c>
    </row>
    <row customHeight="1" ht="23.25">
      <c r="A17" s="969"/>
      <c r="B17" s="1014"/>
      <c r="C17" s="969"/>
      <c r="D17" s="957" t="s">
        <v>92</v>
      </c>
      <c r="E17" s="954" t="str">
        <f>"Дата присвоения ОГРН"&amp;IF(TEMPLATE_SPHERE="TKO",""," (ОГРНИП)")</f>
        <v>Дата присвоения ОГРН (ОГРНИП)</v>
      </c>
      <c r="F17" s="2244" t="s">
        <v>28</v>
      </c>
      <c r="G17" s="956" t="str">
        <f>"Дата присвоения ОГРН"&amp;IF(TEMPLATE_SPHERE="TKO",""," (ОГРНИП)")&amp;" указывается в виде «ДД.ММ.ГГГГ»."</f>
        <v>Дата присвоения ОГРН (ОГРНИП) указывается в виде «ДД.ММ.ГГГГ».</v>
      </c>
      <c r="H17" s="987"/>
      <c r="J17" s="967">
        <v>22</v>
      </c>
    </row>
    <row customHeight="1" ht="71.25">
      <c r="A18" s="969"/>
      <c r="B18" s="1014"/>
      <c r="C18" s="969"/>
      <c r="D18" s="957" t="s">
        <v>93</v>
      </c>
      <c r="E18" s="954"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953"/>
      <c r="G18" s="986"/>
      <c r="H18" s="987"/>
      <c r="J18" s="967">
        <v>68</v>
      </c>
    </row>
    <row customHeight="1" ht="22.5" hidden="1">
      <c r="A19" s="2714" t="s">
        <v>431</v>
      </c>
      <c r="B19" s="1014"/>
      <c r="C19" s="2725"/>
      <c r="D19" s="957" t="str">
        <f>A19</f>
        <v>5.1</v>
      </c>
      <c r="E19" s="954" t="s">
        <v>432</v>
      </c>
      <c r="F19" s="955" t="s">
        <v>424</v>
      </c>
      <c r="G19" s="956" t="s">
        <v>433</v>
      </c>
      <c r="H19" s="987"/>
      <c r="I19" s="1364"/>
      <c r="J19" s="967">
        <v>0</v>
      </c>
    </row>
    <row customHeight="1" ht="24" hidden="1">
      <c r="A20" s="2714"/>
      <c r="B20" s="1014"/>
      <c r="C20" s="2725"/>
      <c r="D20" s="952" t="str">
        <f>D19&amp;".1"</f>
        <v>5.1.1</v>
      </c>
      <c r="E20" s="951" t="s">
        <v>434</v>
      </c>
      <c r="F20" s="1393" t="s">
        <v>28</v>
      </c>
      <c r="G20" s="986"/>
      <c r="H20" s="987"/>
      <c r="I20" s="1364"/>
      <c r="J20" s="967">
        <v>0</v>
      </c>
    </row>
    <row customHeight="1" ht="22.5" hidden="1">
      <c r="A21" s="2714"/>
      <c r="B21" s="1014"/>
      <c r="C21" s="2725"/>
      <c r="D21" s="952" t="str">
        <f>D19&amp;".2"</f>
        <v>5.1.2</v>
      </c>
      <c r="E21" s="951" t="s">
        <v>435</v>
      </c>
      <c r="F21" s="2245" t="s">
        <v>28</v>
      </c>
      <c r="G21" s="956" t="s">
        <v>436</v>
      </c>
      <c r="H21" s="987"/>
      <c r="I21" s="1364"/>
      <c r="J21" s="967">
        <v>0</v>
      </c>
    </row>
    <row customHeight="1" ht="22.5" hidden="1">
      <c r="A22" s="2714"/>
      <c r="B22" s="1014"/>
      <c r="C22" s="2725"/>
      <c r="D22" s="952" t="str">
        <f>D19&amp;".3"</f>
        <v>5.1.3</v>
      </c>
      <c r="E22" s="951" t="s">
        <v>437</v>
      </c>
      <c r="F22" s="1393" t="s">
        <v>28</v>
      </c>
      <c r="G22" s="986"/>
      <c r="H22" s="987"/>
      <c r="I22" s="1364"/>
      <c r="J22" s="967">
        <v>0</v>
      </c>
    </row>
    <row customHeight="1" ht="22.5" hidden="1">
      <c r="A23" s="2714"/>
      <c r="B23" s="1014"/>
      <c r="C23" s="2725"/>
      <c r="D23" s="952" t="str">
        <f>D19&amp;".4"</f>
        <v>5.1.4</v>
      </c>
      <c r="E23" s="951" t="s">
        <v>438</v>
      </c>
      <c r="F23" s="1393" t="s">
        <v>28</v>
      </c>
      <c r="G23" s="956" t="s">
        <v>439</v>
      </c>
      <c r="H23" s="987"/>
      <c r="I23" s="1364"/>
      <c r="J23" s="967">
        <v>0</v>
      </c>
    </row>
    <row customHeight="1" ht="22.5" hidden="1">
      <c r="A24" s="2490"/>
      <c r="B24" s="1014"/>
      <c r="C24" s="1004"/>
      <c r="D24" s="979"/>
      <c r="E24" s="1680" t="s">
        <v>440</v>
      </c>
      <c r="F24" s="980"/>
      <c r="G24" s="981"/>
      <c r="H24" s="987"/>
      <c r="I24" s="1364"/>
      <c r="J24" s="967">
        <v>0</v>
      </c>
    </row>
    <row s="47408" customFormat="1" customHeight="1" ht="24.75" hidden="1">
      <c r="A25" s="969"/>
      <c r="B25" s="1014"/>
      <c r="C25" s="1014"/>
      <c r="D25" s="1518" t="s">
        <v>92</v>
      </c>
      <c r="E25" s="1520" t="s">
        <v>441</v>
      </c>
      <c r="F25" s="1525" t="s">
        <v>424</v>
      </c>
      <c r="G25" s="1520"/>
      <c r="J25" s="1013">
        <v>0</v>
      </c>
    </row>
    <row s="47408" customFormat="1" customHeight="1" ht="11.25" hidden="1">
      <c r="A26" s="969"/>
      <c r="B26" s="1014"/>
      <c r="C26" s="1014"/>
      <c r="D26" s="1518" t="s">
        <v>442</v>
      </c>
      <c r="E26" s="1519" t="s">
        <v>443</v>
      </c>
      <c r="F26" s="1525" t="s">
        <v>424</v>
      </c>
      <c r="G26" s="1520"/>
      <c r="J26" s="1013">
        <v>0</v>
      </c>
    </row>
    <row s="47408" customFormat="1" customHeight="1" ht="11.25" hidden="1">
      <c r="A27" s="969"/>
      <c r="B27" s="1014"/>
      <c r="C27" s="1014"/>
      <c r="D27" s="1518" t="s">
        <v>444</v>
      </c>
      <c r="E27" s="1526" t="s">
        <v>445</v>
      </c>
      <c r="F27" s="1527"/>
      <c r="G27" s="1520"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водоотведения, ответственного за размещение данных, в соответствии с паспортными данными физического лица.</v>
      </c>
      <c r="J27" s="1013">
        <v>0</v>
      </c>
    </row>
    <row s="47408" customFormat="1" customHeight="1" ht="11.25" hidden="1">
      <c r="A28" s="969"/>
      <c r="B28" s="1014"/>
      <c r="C28" s="1014"/>
      <c r="D28" s="1518" t="s">
        <v>446</v>
      </c>
      <c r="E28" s="1526" t="s">
        <v>447</v>
      </c>
      <c r="F28" s="1527"/>
      <c r="G28" s="1520"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водоотведения, ответственного за размещение данных, в соответствии с паспортными данными физического лица.</v>
      </c>
      <c r="J28" s="1013">
        <v>0</v>
      </c>
    </row>
    <row s="47408" customFormat="1" customHeight="1" ht="11.25" hidden="1">
      <c r="A29" s="969"/>
      <c r="B29" s="1014"/>
      <c r="C29" s="1014"/>
      <c r="D29" s="1518" t="s">
        <v>448</v>
      </c>
      <c r="E29" s="1526" t="s">
        <v>449</v>
      </c>
      <c r="F29" s="1527"/>
      <c r="G29" s="1520"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водоотведения, ответственного за размещение данных, в соответствии с паспортными данными физического лица (при наличии).</v>
      </c>
      <c r="J29" s="1013">
        <v>0</v>
      </c>
    </row>
    <row s="47408" customFormat="1" customHeight="1" ht="11.25" hidden="1">
      <c r="A30" s="969"/>
      <c r="B30" s="1014"/>
      <c r="C30" s="1014"/>
      <c r="D30" s="1518" t="s">
        <v>450</v>
      </c>
      <c r="E30" s="1519" t="s">
        <v>451</v>
      </c>
      <c r="F30" s="1527"/>
      <c r="G30" s="1520"/>
      <c r="J30" s="1013">
        <v>0</v>
      </c>
    </row>
    <row s="47408" customFormat="1" customHeight="1" ht="11.25" hidden="1">
      <c r="A31" s="969"/>
      <c r="B31" s="1014"/>
      <c r="C31" s="1014"/>
      <c r="D31" s="1518" t="s">
        <v>452</v>
      </c>
      <c r="E31" s="1519" t="s">
        <v>453</v>
      </c>
      <c r="F31" s="1527"/>
      <c r="G31" s="1520"/>
      <c r="J31" s="1013">
        <v>0</v>
      </c>
    </row>
    <row s="47408" customFormat="1" customHeight="1" ht="11.25" hidden="1">
      <c r="A32" s="969"/>
      <c r="B32" s="1014"/>
      <c r="C32" s="1014"/>
      <c r="D32" s="1518" t="s">
        <v>454</v>
      </c>
      <c r="E32" s="1519" t="s">
        <v>455</v>
      </c>
      <c r="F32" s="1528"/>
      <c r="G32" s="1520"/>
      <c r="J32" s="1013">
        <v>0</v>
      </c>
    </row>
    <row customHeight="1" ht="24">
      <c r="A33" s="969" t="str">
        <f>IF(TEMPLATE_SPHERE="HEAT","6","5")</f>
        <v>5</v>
      </c>
      <c r="B33" s="1014"/>
      <c r="C33" s="969"/>
      <c r="D33" s="952" t="str">
        <f>A33</f>
        <v>5</v>
      </c>
      <c r="E33" s="950"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955" t="s">
        <v>424</v>
      </c>
      <c r="G33" s="986"/>
      <c r="H33" s="987"/>
      <c r="J33" s="967">
        <v>23</v>
      </c>
    </row>
    <row customHeight="1" ht="23.25">
      <c r="A34" s="969"/>
      <c r="B34" s="1014"/>
      <c r="C34" s="969"/>
      <c r="D34" s="952" t="str">
        <f>D33&amp;".1"</f>
        <v>5.1</v>
      </c>
      <c r="E34" s="954" t="str">
        <f>"фамилия"&amp;IF(TEMPLATE_SPHERE&lt;&gt;"HEAT"," руководителя","")</f>
        <v>фамилия руководителя</v>
      </c>
      <c r="F34" s="953"/>
      <c r="G34" s="956"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987"/>
      <c r="J34" s="967">
        <v>22</v>
      </c>
    </row>
    <row customHeight="1" ht="23.25">
      <c r="A35" s="969"/>
      <c r="B35" s="1014"/>
      <c r="C35" s="969"/>
      <c r="D35" s="952" t="str">
        <f>D33&amp;".2"</f>
        <v>5.2</v>
      </c>
      <c r="E35" s="954" t="str">
        <f>"имя"&amp;IF(TEMPLATE_SPHERE&lt;&gt;"HEAT"," руководителя","")</f>
        <v>имя руководителя</v>
      </c>
      <c r="F35" s="953"/>
      <c r="G35" s="956"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987"/>
      <c r="J35" s="967">
        <v>22</v>
      </c>
    </row>
    <row customHeight="1" ht="24">
      <c r="A36" s="969"/>
      <c r="B36" s="1014"/>
      <c r="C36" s="969"/>
      <c r="D36" s="952" t="str">
        <f>D33&amp;".3"</f>
        <v>5.3</v>
      </c>
      <c r="E36" s="954" t="str">
        <f>"отчество"&amp;IF(TEMPLATE_SPHERE&lt;&gt;"HEAT"," руководителя","")</f>
        <v>отчество руководителя</v>
      </c>
      <c r="F36" s="1210"/>
      <c r="G36" s="956"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987"/>
      <c r="J36" s="967">
        <v>23</v>
      </c>
    </row>
    <row customHeight="1" ht="35.699999999999996">
      <c r="A37" s="969"/>
      <c r="B37" s="1014"/>
      <c r="C37" s="969"/>
      <c r="D37" s="952">
        <f>D33+1</f>
        <v>6</v>
      </c>
      <c r="E37" s="950"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953"/>
      <c r="G37" s="956" t="s">
        <v>456</v>
      </c>
      <c r="H37" s="987"/>
      <c r="J37" s="967">
        <v>34</v>
      </c>
    </row>
    <row customHeight="1" ht="35.699999999999996">
      <c r="A38" s="969"/>
      <c r="B38" s="1014"/>
      <c r="C38" s="969"/>
      <c r="D38" s="952">
        <f>D37+1</f>
        <v>7</v>
      </c>
      <c r="E38" s="950"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953"/>
      <c r="G38" s="956" t="s">
        <v>456</v>
      </c>
      <c r="H38" s="987"/>
      <c r="J38" s="967">
        <v>34</v>
      </c>
    </row>
    <row customHeight="1" ht="23.25">
      <c r="A39" s="969"/>
      <c r="B39" s="1014"/>
      <c r="C39" s="969"/>
      <c r="D39" s="952">
        <f>D38+1</f>
        <v>8</v>
      </c>
      <c r="E39" s="949"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955" t="s">
        <v>424</v>
      </c>
      <c r="G39" s="2722"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987"/>
      <c r="J39" s="967">
        <v>22</v>
      </c>
    </row>
    <row customHeight="1" ht="22.5" hidden="1">
      <c r="A40" s="969"/>
      <c r="B40" s="1014"/>
      <c r="C40" s="969"/>
      <c r="D40" s="952" t="str">
        <f>D39&amp;".0"</f>
        <v>8.0</v>
      </c>
      <c r="E40" s="2117"/>
      <c r="F40" s="1393"/>
      <c r="G40" s="2723"/>
      <c r="H40" s="987"/>
      <c r="J40" s="967">
        <v>0</v>
      </c>
    </row>
    <row customHeight="1" ht="23.25">
      <c r="A41" s="969"/>
      <c r="B41" s="969"/>
      <c r="C41" s="2200"/>
      <c r="D41" s="952" t="str">
        <f>D39&amp;".1"</f>
        <v>8.1</v>
      </c>
      <c r="E41" s="1372"/>
      <c r="F41" s="1373"/>
      <c r="G41" s="2723"/>
      <c r="H41" s="987"/>
      <c r="J41" s="967">
        <v>22</v>
      </c>
    </row>
    <row customHeight="1" ht="15.75">
      <c r="A42" s="969"/>
      <c r="B42" s="1014"/>
      <c r="C42" s="969"/>
      <c r="D42" s="979"/>
      <c r="E42" s="927" t="s">
        <v>457</v>
      </c>
      <c r="F42" s="981"/>
      <c r="G42" s="2724"/>
      <c r="H42" s="988"/>
      <c r="J42" s="967">
        <v>15</v>
      </c>
    </row>
    <row customHeight="1" ht="27.299999999999997">
      <c r="A43" s="969"/>
      <c r="B43" s="1014"/>
      <c r="C43" s="969"/>
      <c r="D43" s="952">
        <f>D39+1</f>
        <v>9</v>
      </c>
      <c r="E43" s="950"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1374"/>
      <c r="G43" s="956"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987"/>
      <c r="J43" s="967">
        <v>26</v>
      </c>
    </row>
    <row customHeight="1" ht="23.25">
      <c r="A44" s="969"/>
      <c r="B44" s="1014"/>
      <c r="C44" s="969"/>
      <c r="D44" s="952">
        <f>D43+1</f>
        <v>10</v>
      </c>
      <c r="E44" s="950"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890"/>
      <c r="G44" s="986" t="s">
        <v>458</v>
      </c>
      <c r="H44" s="987"/>
      <c r="J44" s="967">
        <v>22</v>
      </c>
    </row>
    <row customHeight="1" ht="23.25">
      <c r="A45" s="969"/>
      <c r="B45" s="1014"/>
      <c r="C45" s="969"/>
      <c r="D45" s="952">
        <f>D44+1</f>
        <v>11</v>
      </c>
      <c r="E45" s="950" t="s">
        <v>459</v>
      </c>
      <c r="F45" s="955" t="s">
        <v>424</v>
      </c>
      <c r="G45" s="949" t="str">
        <f>IF(TEMPLATE_SPHERE="TKO","Указывается режим работы организации.","")</f>
        <v/>
      </c>
      <c r="H45" s="987"/>
      <c r="J45" s="967">
        <v>22</v>
      </c>
    </row>
    <row customHeight="1" ht="24">
      <c r="A46" s="969"/>
      <c r="B46" s="1014"/>
      <c r="C46" s="969"/>
      <c r="D46" s="952" t="str">
        <f>D45&amp;".1"</f>
        <v>11.1</v>
      </c>
      <c r="E46" s="954" t="str">
        <f>"режим работы регулируемой организации"&amp;IF(TEMPLATE_SPHERE="HEAT",", ЕТО, ТО","")</f>
        <v>режим работы регулируемой организации</v>
      </c>
      <c r="F46" s="2196"/>
      <c r="G46" s="949" t="s">
        <v>460</v>
      </c>
      <c r="H46" s="987"/>
      <c r="J46" s="967">
        <v>23</v>
      </c>
    </row>
    <row customHeight="1" ht="24">
      <c r="A47" s="2714"/>
      <c r="B47" s="1014"/>
      <c r="C47" s="1004"/>
      <c r="D47" s="952" t="str">
        <f>D45&amp;".2"</f>
        <v>11.2</v>
      </c>
      <c r="E47" s="954" t="s">
        <v>461</v>
      </c>
      <c r="F47" s="1002"/>
      <c r="G47" s="949" t="s">
        <v>462</v>
      </c>
      <c r="H47" s="987"/>
      <c r="J47" s="967">
        <v>23</v>
      </c>
    </row>
    <row customHeight="1" ht="24">
      <c r="A48" s="2714"/>
      <c r="B48" s="1014"/>
      <c r="C48" s="1004"/>
      <c r="D48" s="952" t="str">
        <f>D45&amp;".3"</f>
        <v>11.3</v>
      </c>
      <c r="E48" s="954" t="s">
        <v>463</v>
      </c>
      <c r="F48" s="1002"/>
      <c r="G48" s="949" t="s">
        <v>464</v>
      </c>
      <c r="H48" s="987"/>
      <c r="J48" s="967">
        <v>23</v>
      </c>
    </row>
    <row customHeight="1" ht="24">
      <c r="A49" s="2714"/>
      <c r="B49" s="1014"/>
      <c r="C49" s="1004"/>
      <c r="D49" s="952" t="str">
        <f>IF(TEMPLATE_SPHERE="TKO",D45&amp;".0",D45&amp;".4")</f>
        <v>11.4</v>
      </c>
      <c r="E49" s="948" t="s">
        <v>465</v>
      </c>
      <c r="F49" s="2197"/>
      <c r="G49" s="2274" t="s">
        <v>466</v>
      </c>
      <c r="H49" s="987"/>
      <c r="J49" s="967">
        <v>23</v>
      </c>
    </row>
    <row customHeight="1" ht="24">
      <c r="A50" s="969"/>
      <c r="B50" s="1014"/>
      <c r="C50" s="969"/>
      <c r="D50" s="979"/>
      <c r="E50" s="927" t="s">
        <v>467</v>
      </c>
      <c r="F50" s="980"/>
      <c r="G50" s="2274" t="s">
        <v>468</v>
      </c>
      <c r="H50" s="988"/>
      <c r="J50" s="967">
        <v>23</v>
      </c>
    </row>
    <row customHeight="1" ht="24">
      <c r="A51" s="1370"/>
      <c r="B51" s="1014"/>
      <c r="C51" s="1004"/>
      <c r="D51" s="952">
        <f>D45+1</f>
        <v>12</v>
      </c>
      <c r="E51" s="1040" t="s">
        <v>469</v>
      </c>
      <c r="F51" s="1002"/>
      <c r="G51" s="2201"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987"/>
      <c r="J51" s="967">
        <v>23</v>
      </c>
    </row>
    <row customHeight="1" ht="11.549999999999999">
      <c r="A52" s="969"/>
      <c r="B52" s="1014"/>
      <c r="C52" s="969"/>
      <c r="J52" s="967">
        <v>11</v>
      </c>
    </row>
    <row s="47437" customFormat="1" customHeight="1" ht="31.5">
      <c r="A53" s="2199"/>
      <c r="B53" s="1015"/>
      <c r="C53" s="2715"/>
      <c r="D53" s="2718"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водоотведения,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718"/>
      <c r="F53" s="2718"/>
      <c r="G53" s="2718"/>
      <c r="H53" s="966"/>
      <c r="I53" s="966"/>
      <c r="J53" s="972">
        <v>30</v>
      </c>
    </row>
    <row s="47437" customFormat="1" customHeight="1" ht="42">
      <c r="A54" s="969"/>
      <c r="B54" s="1014"/>
      <c r="C54" s="2715"/>
      <c r="D54" s="2718" t="str">
        <f>IF(ORG_INFO_P_NOTE_MAIN=0,"",ORG_INFO_P_NOTE_MAIN)</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E54" s="2718"/>
      <c r="F54" s="2718"/>
      <c r="G54" s="2718"/>
      <c r="J54" s="972">
        <v>40</v>
      </c>
    </row>
    <row customHeight="1" ht="11.549999999999999">
      <c r="D55" s="970"/>
      <c r="E55" s="971"/>
      <c r="F55" s="971"/>
      <c r="G55" s="971"/>
      <c r="J55" s="967">
        <v>11</v>
      </c>
    </row>
    <row customHeight="1" ht="28.5">
      <c r="D56" s="973"/>
      <c r="E56" s="970"/>
      <c r="F56" s="982"/>
      <c r="G56" s="982"/>
      <c r="J56" s="967">
        <v>27</v>
      </c>
    </row>
    <row customHeight="1" ht="11.549999999999999">
      <c r="D57" s="970"/>
      <c r="E57" s="970"/>
      <c r="F57" s="971"/>
      <c r="G57" s="971"/>
      <c r="J57" s="967">
        <v>11</v>
      </c>
    </row>
    <row customHeight="1" ht="40.949999999999996">
      <c r="D58" s="974"/>
      <c r="E58" s="983"/>
      <c r="F58" s="983"/>
      <c r="G58" s="983"/>
      <c r="J58" s="967">
        <v>39</v>
      </c>
    </row>
    <row customHeight="1" ht="28.5">
      <c r="D59" s="974"/>
      <c r="E59" s="983"/>
      <c r="F59" s="983"/>
      <c r="G59" s="983"/>
      <c r="J59" s="967">
        <v>27</v>
      </c>
    </row>
    <row customHeight="1" ht="11.25" hidden="1">
      <c r="A60" s="2198" t="s">
        <v>84</v>
      </c>
      <c r="B60" s="1013">
        <v>0</v>
      </c>
      <c r="C60" s="967">
        <v>3</v>
      </c>
      <c r="D60" s="968">
        <v>6</v>
      </c>
      <c r="E60" s="967">
        <v>52</v>
      </c>
      <c r="F60" s="967">
        <v>48</v>
      </c>
      <c r="G60" s="967">
        <v>121</v>
      </c>
      <c r="H60" s="967">
        <v>8</v>
      </c>
      <c r="I60" s="967">
        <v>64</v>
      </c>
      <c r="J60" s="967">
        <v>11</v>
      </c>
    </row>
  </sheetData>
  <sheetProtection formatColumns="0" formatRows="0" sort="0" autoFilter="0" insertRows="0" insertColumns="1" deleteRows="0" deleteColumns="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A813F69-F816-285E-7B76-19784F7C2B71}"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D4596B8-AC3F-E987-6EA5-6F0C47A851D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B702CE7-8548-F1EA-3A5B-49B1F429ABD6}"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578"/>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C83F06F-C0A6-2F8D-B223-AA3F3F168BD8}" mc:Ignorable="x14ac xr xr2 xr3">
  <dimension ref="A1:E8"/>
  <sheetViews>
    <sheetView topLeftCell="A1" showGridLines="0" workbookViewId="0">
      <selection activeCell="A1" sqref="A1"/>
    </sheetView>
  </sheetViews>
  <sheetFormatPr customHeight="1" defaultRowHeight="11.25"/>
  <cols>
    <col min="1" max="1" style="55900" width="10.57421875" customWidth="1"/>
    <col min="2" max="2" style="55900" width="8.7109375" customWidth="1"/>
    <col min="3" max="3" style="55900" width="18.140625" customWidth="1"/>
    <col min="4" max="4" style="55900" width="12.57421875" customWidth="1"/>
  </cols>
  <sheetData>
    <row customHeight="1" ht="11.25">
      <c r="A1" s="3127" t="s">
        <v>2355</v>
      </c>
      <c r="B1" s="3128" t="s">
        <v>2356</v>
      </c>
      <c r="C1" s="3129" t="s">
        <v>2357</v>
      </c>
      <c r="D1" s="3130"/>
      <c r="E1" s="1348" t="s">
        <v>2358</v>
      </c>
    </row>
    <row customHeight="1" ht="11.25">
      <c r="A2" s="3131"/>
      <c r="B2" s="1277" t="s">
        <v>26</v>
      </c>
      <c r="C2" s="1265"/>
      <c r="D2" s="1276"/>
      <c r="E2" s="1348"/>
    </row>
    <row customHeight="1" ht="11.25">
      <c r="A3" s="3132"/>
      <c r="B3" s="3133" t="s">
        <v>33</v>
      </c>
      <c r="C3" s="1265"/>
      <c r="D3" s="1276"/>
      <c r="E3" s="1348"/>
    </row>
    <row customHeight="1" ht="11.25">
      <c r="A4" s="3134"/>
      <c r="B4" s="1278" t="s">
        <v>1781</v>
      </c>
      <c r="C4" s="1265"/>
      <c r="D4" s="1276"/>
      <c r="E4" s="1348"/>
    </row>
    <row customHeight="1" ht="11.25">
      <c r="A5" s="3135"/>
      <c r="B5" s="1278" t="s">
        <v>1776</v>
      </c>
      <c r="C5" s="3136" t="s">
        <v>2122</v>
      </c>
      <c r="D5" s="3137" t="s">
        <v>2359</v>
      </c>
      <c r="E5" s="1348"/>
    </row>
    <row s="46950" customFormat="1" customHeight="1" ht="11.25">
      <c r="A6" s="3138"/>
      <c r="B6" s="1278" t="s">
        <v>1785</v>
      </c>
      <c r="C6" s="1265"/>
      <c r="D6" s="1276"/>
      <c r="E6" s="1348"/>
    </row>
    <row customHeight="1" ht="11.25">
      <c r="A7" s="3139"/>
      <c r="B7" s="1278" t="s">
        <v>1793</v>
      </c>
      <c r="C7" s="1265"/>
      <c r="D7" s="1276"/>
      <c r="E7" s="1348"/>
    </row>
    <row customHeight="1" ht="11.25">
      <c r="A8" s="1268"/>
      <c r="B8" s="1278" t="s">
        <v>1788</v>
      </c>
      <c r="C8" s="1265"/>
      <c r="D8" s="1276"/>
      <c r="E8" s="1348"/>
    </row>
  </sheetData>
  <sheetProtection formatColumns="0" formatRows="0" autoFilter="0" sort="0" insertRows="0" insertColumns="1" deleteRows="0" deleteColumns="0"/>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AC36F93-D24D-F4BC-E467-F112A6E10032}"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C47CE03-F055-3A89-499F-11861B310B65}"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CAF566D-C1A5-EDE5-6FAA-3CA8B3514816}" mc:Ignorable="x14ac xr xr2 xr3">
  <sheetPr>
    <tabColor rgb="FFFFCC99"/>
  </sheetPr>
  <dimension ref="A1:I487"/>
  <sheetViews>
    <sheetView topLeftCell="A1" showGridLines="0" workbookViewId="0">
      <selection activeCell="A1" sqref="A1"/>
    </sheetView>
  </sheetViews>
  <sheetFormatPr defaultColWidth="9.140625" customHeight="1" defaultRowHeight="11.25"/>
  <cols>
    <col min="1" max="2" style="46950" width="9.140625"/>
    <col min="3" max="3" style="46950" width="20.7109375" customWidth="1"/>
    <col min="4" max="4" style="46950" width="25.140625" customWidth="1"/>
    <col min="5" max="9" style="46950" width="9.140625"/>
  </cols>
  <sheetData>
    <row customHeight="1" ht="11.25">
      <c r="A1" s="580" t="s">
        <v>2360</v>
      </c>
      <c r="B1" s="580" t="s">
        <v>2361</v>
      </c>
      <c r="C1" s="580" t="s">
        <v>2362</v>
      </c>
      <c r="D1" s="580" t="s">
        <v>2363</v>
      </c>
      <c r="E1" s="580" t="s">
        <v>2364</v>
      </c>
      <c r="F1" s="580" t="s">
        <v>2365</v>
      </c>
      <c r="G1" s="580" t="s">
        <v>2366</v>
      </c>
      <c r="H1" s="580" t="s">
        <v>2367</v>
      </c>
      <c r="I1" s="580" t="s">
        <v>2368</v>
      </c>
    </row>
    <row customHeight="1" ht="11.25">
      <c r="A2" s="5674" t="s">
        <v>2369</v>
      </c>
      <c r="B2" s="5674" t="s">
        <v>16</v>
      </c>
      <c r="C2" s="5674" t="s">
        <v>28</v>
      </c>
      <c r="D2" s="5674" t="s">
        <v>2370</v>
      </c>
      <c r="E2" s="5674" t="s">
        <v>2371</v>
      </c>
      <c r="F2" s="5674" t="s">
        <v>2372</v>
      </c>
      <c r="G2" s="5674" t="s">
        <v>28</v>
      </c>
      <c r="H2" s="5674" t="s">
        <v>28</v>
      </c>
      <c r="I2" s="5674" t="s">
        <v>924</v>
      </c>
    </row>
    <row customHeight="1" ht="11.25">
      <c r="A3" s="5674" t="s">
        <v>2369</v>
      </c>
      <c r="B3" s="5674" t="s">
        <v>16</v>
      </c>
      <c r="C3" s="5674" t="s">
        <v>2373</v>
      </c>
      <c r="D3" s="5674" t="s">
        <v>2374</v>
      </c>
      <c r="E3" s="5674" t="s">
        <v>2375</v>
      </c>
      <c r="F3" s="5674" t="s">
        <v>2376</v>
      </c>
      <c r="G3" s="5674" t="s">
        <v>28</v>
      </c>
      <c r="H3" s="5674" t="s">
        <v>28</v>
      </c>
      <c r="I3" s="5674" t="s">
        <v>924</v>
      </c>
    </row>
    <row customHeight="1" ht="11.25">
      <c r="A4" s="5674" t="s">
        <v>2369</v>
      </c>
      <c r="B4" s="5674" t="s">
        <v>16</v>
      </c>
      <c r="C4" s="5674" t="s">
        <v>2377</v>
      </c>
      <c r="D4" s="5674" t="s">
        <v>2378</v>
      </c>
      <c r="E4" s="5674" t="s">
        <v>2379</v>
      </c>
      <c r="F4" s="5674" t="s">
        <v>2380</v>
      </c>
      <c r="G4" s="5674" t="s">
        <v>28</v>
      </c>
      <c r="H4" s="5674" t="s">
        <v>28</v>
      </c>
      <c r="I4" s="5674" t="s">
        <v>924</v>
      </c>
    </row>
    <row customHeight="1" ht="11.25">
      <c r="A5" s="5674" t="s">
        <v>2369</v>
      </c>
      <c r="B5" s="5674" t="s">
        <v>16</v>
      </c>
      <c r="C5" s="5674" t="s">
        <v>2381</v>
      </c>
      <c r="D5" s="5674" t="s">
        <v>2382</v>
      </c>
      <c r="E5" s="5674" t="s">
        <v>2383</v>
      </c>
      <c r="F5" s="5674" t="s">
        <v>2384</v>
      </c>
      <c r="G5" s="5674" t="s">
        <v>28</v>
      </c>
      <c r="H5" s="5674" t="s">
        <v>28</v>
      </c>
      <c r="I5" s="5674" t="s">
        <v>924</v>
      </c>
    </row>
    <row customHeight="1" ht="11.25">
      <c r="A6" s="5674" t="s">
        <v>2369</v>
      </c>
      <c r="B6" s="5674" t="s">
        <v>16</v>
      </c>
      <c r="C6" s="5674" t="s">
        <v>2385</v>
      </c>
      <c r="D6" s="5674" t="s">
        <v>2386</v>
      </c>
      <c r="E6" s="5674" t="s">
        <v>2387</v>
      </c>
      <c r="F6" s="5674" t="s">
        <v>2388</v>
      </c>
      <c r="G6" s="5674" t="s">
        <v>28</v>
      </c>
      <c r="H6" s="5674" t="s">
        <v>28</v>
      </c>
      <c r="I6" s="5674" t="s">
        <v>924</v>
      </c>
    </row>
    <row customHeight="1" ht="11.25">
      <c r="A7" s="5674" t="s">
        <v>2369</v>
      </c>
      <c r="B7" s="5674" t="s">
        <v>16</v>
      </c>
      <c r="C7" s="5674" t="s">
        <v>2389</v>
      </c>
      <c r="D7" s="5674" t="s">
        <v>2386</v>
      </c>
      <c r="E7" s="5674" t="s">
        <v>2387</v>
      </c>
      <c r="F7" s="5674" t="s">
        <v>2390</v>
      </c>
      <c r="G7" s="5674" t="s">
        <v>2391</v>
      </c>
      <c r="H7" s="5674" t="s">
        <v>28</v>
      </c>
      <c r="I7" s="5674" t="s">
        <v>924</v>
      </c>
    </row>
    <row customHeight="1" ht="11.25">
      <c r="A8" s="5674" t="s">
        <v>2369</v>
      </c>
      <c r="B8" s="5674" t="s">
        <v>16</v>
      </c>
      <c r="C8" s="5674" t="s">
        <v>2392</v>
      </c>
      <c r="D8" s="5674" t="s">
        <v>2393</v>
      </c>
      <c r="E8" s="5674" t="s">
        <v>2387</v>
      </c>
      <c r="F8" s="5674" t="s">
        <v>2394</v>
      </c>
      <c r="G8" s="5674" t="s">
        <v>28</v>
      </c>
      <c r="H8" s="5674" t="s">
        <v>28</v>
      </c>
      <c r="I8" s="5674" t="s">
        <v>924</v>
      </c>
    </row>
    <row customHeight="1" ht="11.25">
      <c r="A9" s="5674" t="s">
        <v>2369</v>
      </c>
      <c r="B9" s="5674" t="s">
        <v>16</v>
      </c>
      <c r="C9" s="5674" t="s">
        <v>2395</v>
      </c>
      <c r="D9" s="5674" t="s">
        <v>2396</v>
      </c>
      <c r="E9" s="5674" t="s">
        <v>2387</v>
      </c>
      <c r="F9" s="5674" t="s">
        <v>2397</v>
      </c>
      <c r="G9" s="5674" t="s">
        <v>28</v>
      </c>
      <c r="H9" s="5674" t="s">
        <v>28</v>
      </c>
      <c r="I9" s="5674" t="s">
        <v>924</v>
      </c>
    </row>
    <row customHeight="1" ht="11.25">
      <c r="A10" s="5674" t="s">
        <v>2369</v>
      </c>
      <c r="B10" s="5674" t="s">
        <v>16</v>
      </c>
      <c r="C10" s="5674" t="s">
        <v>2398</v>
      </c>
      <c r="D10" s="5674" t="s">
        <v>2399</v>
      </c>
      <c r="E10" s="5674" t="s">
        <v>2400</v>
      </c>
      <c r="F10" s="5674" t="s">
        <v>2401</v>
      </c>
      <c r="G10" s="5674" t="s">
        <v>28</v>
      </c>
      <c r="H10" s="5674" t="s">
        <v>28</v>
      </c>
      <c r="I10" s="5674" t="s">
        <v>924</v>
      </c>
    </row>
    <row customHeight="1" ht="11.25">
      <c r="A11" s="5674" t="s">
        <v>2369</v>
      </c>
      <c r="B11" s="5674" t="s">
        <v>16</v>
      </c>
      <c r="C11" s="5674" t="s">
        <v>2402</v>
      </c>
      <c r="D11" s="5674" t="s">
        <v>2403</v>
      </c>
      <c r="E11" s="5674" t="s">
        <v>2404</v>
      </c>
      <c r="F11" s="5674" t="s">
        <v>2405</v>
      </c>
      <c r="G11" s="5674" t="s">
        <v>28</v>
      </c>
      <c r="H11" s="5674" t="s">
        <v>28</v>
      </c>
      <c r="I11" s="5674" t="s">
        <v>924</v>
      </c>
    </row>
    <row customHeight="1" ht="11.25">
      <c r="A12" s="5674" t="s">
        <v>2369</v>
      </c>
      <c r="B12" s="5674" t="s">
        <v>16</v>
      </c>
      <c r="C12" s="5674" t="s">
        <v>2406</v>
      </c>
      <c r="D12" s="5674" t="s">
        <v>2407</v>
      </c>
      <c r="E12" s="5674" t="s">
        <v>2408</v>
      </c>
      <c r="F12" s="5674" t="s">
        <v>2409</v>
      </c>
      <c r="G12" s="5674" t="s">
        <v>28</v>
      </c>
      <c r="H12" s="5674" t="s">
        <v>28</v>
      </c>
      <c r="I12" s="5674" t="s">
        <v>924</v>
      </c>
    </row>
    <row customHeight="1" ht="11.25">
      <c r="A13" s="5674" t="s">
        <v>2369</v>
      </c>
      <c r="B13" s="5674" t="s">
        <v>16</v>
      </c>
      <c r="C13" s="5674" t="s">
        <v>2410</v>
      </c>
      <c r="D13" s="5674" t="s">
        <v>2411</v>
      </c>
      <c r="E13" s="5674" t="s">
        <v>2412</v>
      </c>
      <c r="F13" s="5674" t="s">
        <v>2413</v>
      </c>
      <c r="G13" s="5674" t="s">
        <v>28</v>
      </c>
      <c r="H13" s="5674" t="s">
        <v>28</v>
      </c>
      <c r="I13" s="5674" t="s">
        <v>924</v>
      </c>
    </row>
    <row customHeight="1" ht="11.25">
      <c r="A14" s="5674" t="s">
        <v>2369</v>
      </c>
      <c r="B14" s="5674" t="s">
        <v>16</v>
      </c>
      <c r="C14" s="5674" t="s">
        <v>2414</v>
      </c>
      <c r="D14" s="5674" t="s">
        <v>2415</v>
      </c>
      <c r="E14" s="5674" t="s">
        <v>2416</v>
      </c>
      <c r="F14" s="5674" t="s">
        <v>2417</v>
      </c>
      <c r="G14" s="5674" t="s">
        <v>2418</v>
      </c>
      <c r="H14" s="5674" t="s">
        <v>28</v>
      </c>
      <c r="I14" s="5674" t="s">
        <v>924</v>
      </c>
    </row>
    <row customHeight="1" ht="11.25">
      <c r="A15" s="5674" t="s">
        <v>2369</v>
      </c>
      <c r="B15" s="5674" t="s">
        <v>16</v>
      </c>
      <c r="C15" s="5674" t="s">
        <v>2419</v>
      </c>
      <c r="D15" s="5674" t="s">
        <v>2420</v>
      </c>
      <c r="E15" s="5674" t="s">
        <v>2421</v>
      </c>
      <c r="F15" s="5674" t="s">
        <v>2380</v>
      </c>
      <c r="G15" s="5674" t="s">
        <v>28</v>
      </c>
      <c r="H15" s="5674" t="s">
        <v>28</v>
      </c>
      <c r="I15" s="5674" t="s">
        <v>924</v>
      </c>
    </row>
    <row customHeight="1" ht="11.25">
      <c r="A16" s="5674" t="s">
        <v>2369</v>
      </c>
      <c r="B16" s="5674" t="s">
        <v>16</v>
      </c>
      <c r="C16" s="5674" t="s">
        <v>2422</v>
      </c>
      <c r="D16" s="5674" t="s">
        <v>2423</v>
      </c>
      <c r="E16" s="5674" t="s">
        <v>2424</v>
      </c>
      <c r="F16" s="5674" t="s">
        <v>2425</v>
      </c>
      <c r="G16" s="5674" t="s">
        <v>28</v>
      </c>
      <c r="H16" s="5674" t="s">
        <v>28</v>
      </c>
      <c r="I16" s="5674" t="s">
        <v>924</v>
      </c>
    </row>
    <row customHeight="1" ht="11.25">
      <c r="A17" s="5674" t="s">
        <v>2369</v>
      </c>
      <c r="B17" s="5674" t="s">
        <v>16</v>
      </c>
      <c r="C17" s="5674" t="s">
        <v>2426</v>
      </c>
      <c r="D17" s="5674" t="s">
        <v>2427</v>
      </c>
      <c r="E17" s="5674" t="s">
        <v>2428</v>
      </c>
      <c r="F17" s="5674" t="s">
        <v>2429</v>
      </c>
      <c r="G17" s="5674" t="s">
        <v>2430</v>
      </c>
      <c r="H17" s="5674" t="s">
        <v>28</v>
      </c>
      <c r="I17" s="5674" t="s">
        <v>924</v>
      </c>
    </row>
    <row customHeight="1" ht="11.25">
      <c r="A18" s="5674" t="s">
        <v>2369</v>
      </c>
      <c r="B18" s="5674" t="s">
        <v>16</v>
      </c>
      <c r="C18" s="5674" t="s">
        <v>2431</v>
      </c>
      <c r="D18" s="5674" t="s">
        <v>2432</v>
      </c>
      <c r="E18" s="5674" t="s">
        <v>2433</v>
      </c>
      <c r="F18" s="5674" t="s">
        <v>2434</v>
      </c>
      <c r="G18" s="5674" t="s">
        <v>2435</v>
      </c>
      <c r="H18" s="5674" t="s">
        <v>28</v>
      </c>
      <c r="I18" s="5674" t="s">
        <v>924</v>
      </c>
    </row>
    <row customHeight="1" ht="11.25">
      <c r="A19" s="5674" t="s">
        <v>2369</v>
      </c>
      <c r="B19" s="5674" t="s">
        <v>16</v>
      </c>
      <c r="C19" s="5674" t="s">
        <v>2436</v>
      </c>
      <c r="D19" s="5674" t="s">
        <v>2437</v>
      </c>
      <c r="E19" s="5674" t="s">
        <v>2438</v>
      </c>
      <c r="F19" s="5674" t="s">
        <v>2401</v>
      </c>
      <c r="G19" s="5674" t="s">
        <v>28</v>
      </c>
      <c r="H19" s="5674" t="s">
        <v>28</v>
      </c>
      <c r="I19" s="5674" t="s">
        <v>924</v>
      </c>
    </row>
    <row customHeight="1" ht="11.25">
      <c r="A20" s="5674" t="s">
        <v>2369</v>
      </c>
      <c r="B20" s="5674" t="s">
        <v>16</v>
      </c>
      <c r="C20" s="5674" t="s">
        <v>2439</v>
      </c>
      <c r="D20" s="5674" t="s">
        <v>2440</v>
      </c>
      <c r="E20" s="5674" t="s">
        <v>2441</v>
      </c>
      <c r="F20" s="5674" t="s">
        <v>2442</v>
      </c>
      <c r="G20" s="5674" t="s">
        <v>28</v>
      </c>
      <c r="H20" s="5674" t="s">
        <v>28</v>
      </c>
      <c r="I20" s="5674" t="s">
        <v>924</v>
      </c>
    </row>
    <row customHeight="1" ht="11.25">
      <c r="A21" s="5674" t="s">
        <v>2369</v>
      </c>
      <c r="B21" s="5674" t="s">
        <v>16</v>
      </c>
      <c r="C21" s="5674" t="s">
        <v>2443</v>
      </c>
      <c r="D21" s="5674" t="s">
        <v>2444</v>
      </c>
      <c r="E21" s="5674" t="s">
        <v>2445</v>
      </c>
      <c r="F21" s="5674" t="s">
        <v>2413</v>
      </c>
      <c r="G21" s="5674" t="s">
        <v>2446</v>
      </c>
      <c r="H21" s="5674" t="s">
        <v>28</v>
      </c>
      <c r="I21" s="5674" t="s">
        <v>924</v>
      </c>
    </row>
    <row customHeight="1" ht="11.25">
      <c r="A22" s="5674" t="s">
        <v>2369</v>
      </c>
      <c r="B22" s="5674" t="s">
        <v>16</v>
      </c>
      <c r="C22" s="5674" t="s">
        <v>2447</v>
      </c>
      <c r="D22" s="5674" t="s">
        <v>2448</v>
      </c>
      <c r="E22" s="5674" t="s">
        <v>2449</v>
      </c>
      <c r="F22" s="5674" t="s">
        <v>2450</v>
      </c>
      <c r="G22" s="5674" t="s">
        <v>28</v>
      </c>
      <c r="H22" s="5674" t="s">
        <v>28</v>
      </c>
      <c r="I22" s="5674" t="s">
        <v>924</v>
      </c>
    </row>
    <row customHeight="1" ht="11.25">
      <c r="A23" s="5674" t="s">
        <v>2369</v>
      </c>
      <c r="B23" s="5674" t="s">
        <v>16</v>
      </c>
      <c r="C23" s="5674" t="s">
        <v>2451</v>
      </c>
      <c r="D23" s="5674" t="s">
        <v>2452</v>
      </c>
      <c r="E23" s="5674" t="s">
        <v>2453</v>
      </c>
      <c r="F23" s="5674" t="s">
        <v>2372</v>
      </c>
      <c r="G23" s="5674" t="s">
        <v>2454</v>
      </c>
      <c r="H23" s="5674" t="s">
        <v>28</v>
      </c>
      <c r="I23" s="5674" t="s">
        <v>924</v>
      </c>
    </row>
    <row customHeight="1" ht="11.25">
      <c r="A24" s="5674" t="s">
        <v>2369</v>
      </c>
      <c r="B24" s="5674" t="s">
        <v>16</v>
      </c>
      <c r="C24" s="5674" t="s">
        <v>2455</v>
      </c>
      <c r="D24" s="5674" t="s">
        <v>2456</v>
      </c>
      <c r="E24" s="5674" t="s">
        <v>2457</v>
      </c>
      <c r="F24" s="5674" t="s">
        <v>2458</v>
      </c>
      <c r="G24" s="5674" t="s">
        <v>28</v>
      </c>
      <c r="H24" s="5674" t="s">
        <v>28</v>
      </c>
      <c r="I24" s="5674" t="s">
        <v>924</v>
      </c>
    </row>
    <row customHeight="1" ht="11.25">
      <c r="A25" s="5674" t="s">
        <v>2369</v>
      </c>
      <c r="B25" s="5674" t="s">
        <v>16</v>
      </c>
      <c r="C25" s="5674" t="s">
        <v>2459</v>
      </c>
      <c r="D25" s="5674" t="s">
        <v>2460</v>
      </c>
      <c r="E25" s="5674" t="s">
        <v>2461</v>
      </c>
      <c r="F25" s="5674" t="s">
        <v>2413</v>
      </c>
      <c r="G25" s="5674" t="s">
        <v>28</v>
      </c>
      <c r="H25" s="5674" t="s">
        <v>28</v>
      </c>
      <c r="I25" s="5674" t="s">
        <v>924</v>
      </c>
    </row>
    <row customHeight="1" ht="11.25">
      <c r="A26" s="5674" t="s">
        <v>2369</v>
      </c>
      <c r="B26" s="5674" t="s">
        <v>16</v>
      </c>
      <c r="C26" s="5674" t="s">
        <v>2462</v>
      </c>
      <c r="D26" s="5674" t="s">
        <v>2463</v>
      </c>
      <c r="E26" s="5674" t="s">
        <v>2464</v>
      </c>
      <c r="F26" s="5674" t="s">
        <v>2372</v>
      </c>
      <c r="G26" s="5674" t="s">
        <v>28</v>
      </c>
      <c r="H26" s="5674" t="s">
        <v>28</v>
      </c>
      <c r="I26" s="5674" t="s">
        <v>924</v>
      </c>
    </row>
    <row customHeight="1" ht="11.25">
      <c r="A27" s="5674" t="s">
        <v>2369</v>
      </c>
      <c r="B27" s="5674" t="s">
        <v>16</v>
      </c>
      <c r="C27" s="5674" t="s">
        <v>2465</v>
      </c>
      <c r="D27" s="5674" t="s">
        <v>2466</v>
      </c>
      <c r="E27" s="5674" t="s">
        <v>2467</v>
      </c>
      <c r="F27" s="5674" t="s">
        <v>2468</v>
      </c>
      <c r="G27" s="5674" t="s">
        <v>28</v>
      </c>
      <c r="H27" s="5674" t="s">
        <v>28</v>
      </c>
      <c r="I27" s="5674" t="s">
        <v>924</v>
      </c>
    </row>
    <row customHeight="1" ht="11.25">
      <c r="A28" s="5674" t="s">
        <v>2369</v>
      </c>
      <c r="B28" s="5674" t="s">
        <v>16</v>
      </c>
      <c r="C28" s="5674" t="s">
        <v>2469</v>
      </c>
      <c r="D28" s="5674" t="s">
        <v>2470</v>
      </c>
      <c r="E28" s="5674" t="s">
        <v>2471</v>
      </c>
      <c r="F28" s="5674" t="s">
        <v>2472</v>
      </c>
      <c r="G28" s="5674" t="s">
        <v>28</v>
      </c>
      <c r="H28" s="5674" t="s">
        <v>28</v>
      </c>
      <c r="I28" s="5674" t="s">
        <v>924</v>
      </c>
    </row>
    <row customHeight="1" ht="11.25">
      <c r="A29" s="5674" t="s">
        <v>2369</v>
      </c>
      <c r="B29" s="5674" t="s">
        <v>16</v>
      </c>
      <c r="C29" s="5674" t="s">
        <v>2473</v>
      </c>
      <c r="D29" s="5674" t="s">
        <v>2474</v>
      </c>
      <c r="E29" s="5674" t="s">
        <v>2471</v>
      </c>
      <c r="F29" s="5674" t="s">
        <v>2475</v>
      </c>
      <c r="G29" s="5674" t="s">
        <v>28</v>
      </c>
      <c r="H29" s="5674" t="s">
        <v>28</v>
      </c>
      <c r="I29" s="5674" t="s">
        <v>924</v>
      </c>
    </row>
    <row customHeight="1" ht="11.25">
      <c r="A30" s="5674" t="s">
        <v>2369</v>
      </c>
      <c r="B30" s="5674" t="s">
        <v>16</v>
      </c>
      <c r="C30" s="5674" t="s">
        <v>2476</v>
      </c>
      <c r="D30" s="5674" t="s">
        <v>2477</v>
      </c>
      <c r="E30" s="5674" t="s">
        <v>2478</v>
      </c>
      <c r="F30" s="5674" t="s">
        <v>2479</v>
      </c>
      <c r="G30" s="5674" t="s">
        <v>28</v>
      </c>
      <c r="H30" s="5674" t="s">
        <v>28</v>
      </c>
      <c r="I30" s="5674" t="s">
        <v>924</v>
      </c>
    </row>
    <row customHeight="1" ht="11.25">
      <c r="A31" s="5674" t="s">
        <v>2369</v>
      </c>
      <c r="B31" s="5674" t="s">
        <v>16</v>
      </c>
      <c r="C31" s="5674" t="s">
        <v>2480</v>
      </c>
      <c r="D31" s="5674" t="s">
        <v>2481</v>
      </c>
      <c r="E31" s="5674" t="s">
        <v>2482</v>
      </c>
      <c r="F31" s="5674" t="s">
        <v>2442</v>
      </c>
      <c r="G31" s="5674" t="s">
        <v>2483</v>
      </c>
      <c r="H31" s="5674" t="s">
        <v>28</v>
      </c>
      <c r="I31" s="5674" t="s">
        <v>924</v>
      </c>
    </row>
    <row customHeight="1" ht="11.25">
      <c r="A32" s="5674" t="s">
        <v>2369</v>
      </c>
      <c r="B32" s="5674" t="s">
        <v>16</v>
      </c>
      <c r="C32" s="5674" t="s">
        <v>2484</v>
      </c>
      <c r="D32" s="5674" t="s">
        <v>2485</v>
      </c>
      <c r="E32" s="5674" t="s">
        <v>2486</v>
      </c>
      <c r="F32" s="5674" t="s">
        <v>2425</v>
      </c>
      <c r="G32" s="5674" t="s">
        <v>28</v>
      </c>
      <c r="H32" s="5674" t="s">
        <v>28</v>
      </c>
      <c r="I32" s="5674" t="s">
        <v>924</v>
      </c>
    </row>
    <row customHeight="1" ht="11.25">
      <c r="A33" s="5674" t="s">
        <v>2369</v>
      </c>
      <c r="B33" s="5674" t="s">
        <v>16</v>
      </c>
      <c r="C33" s="5674" t="s">
        <v>2487</v>
      </c>
      <c r="D33" s="5674" t="s">
        <v>2488</v>
      </c>
      <c r="E33" s="5674" t="s">
        <v>2489</v>
      </c>
      <c r="F33" s="5674" t="s">
        <v>2413</v>
      </c>
      <c r="G33" s="5674" t="s">
        <v>28</v>
      </c>
      <c r="H33" s="5674" t="s">
        <v>28</v>
      </c>
      <c r="I33" s="5674" t="s">
        <v>924</v>
      </c>
    </row>
    <row customHeight="1" ht="11.25">
      <c r="A34" s="5674" t="s">
        <v>2369</v>
      </c>
      <c r="B34" s="5674" t="s">
        <v>16</v>
      </c>
      <c r="C34" s="5674" t="s">
        <v>2490</v>
      </c>
      <c r="D34" s="5674" t="s">
        <v>2491</v>
      </c>
      <c r="E34" s="5674" t="s">
        <v>2492</v>
      </c>
      <c r="F34" s="5674" t="s">
        <v>692</v>
      </c>
      <c r="G34" s="5674" t="s">
        <v>2493</v>
      </c>
      <c r="H34" s="5674" t="s">
        <v>28</v>
      </c>
      <c r="I34" s="5674" t="s">
        <v>924</v>
      </c>
    </row>
    <row customHeight="1" ht="11.25">
      <c r="A35" s="5674" t="s">
        <v>2369</v>
      </c>
      <c r="B35" s="5674" t="s">
        <v>16</v>
      </c>
      <c r="C35" s="5674" t="s">
        <v>2494</v>
      </c>
      <c r="D35" s="5674" t="s">
        <v>2495</v>
      </c>
      <c r="E35" s="5674" t="s">
        <v>2496</v>
      </c>
      <c r="F35" s="5674" t="s">
        <v>2413</v>
      </c>
      <c r="G35" s="5674" t="s">
        <v>28</v>
      </c>
      <c r="H35" s="5674" t="s">
        <v>28</v>
      </c>
      <c r="I35" s="5674" t="s">
        <v>924</v>
      </c>
    </row>
    <row customHeight="1" ht="11.25">
      <c r="A36" s="5674" t="s">
        <v>2369</v>
      </c>
      <c r="B36" s="5674" t="s">
        <v>16</v>
      </c>
      <c r="C36" s="5674" t="s">
        <v>2497</v>
      </c>
      <c r="D36" s="5674" t="s">
        <v>2498</v>
      </c>
      <c r="E36" s="5674" t="s">
        <v>2499</v>
      </c>
      <c r="F36" s="5674" t="s">
        <v>2500</v>
      </c>
      <c r="G36" s="5674" t="s">
        <v>2501</v>
      </c>
      <c r="H36" s="5674" t="s">
        <v>28</v>
      </c>
      <c r="I36" s="5674" t="s">
        <v>924</v>
      </c>
    </row>
    <row customHeight="1" ht="11.25">
      <c r="A37" s="5674" t="s">
        <v>2369</v>
      </c>
      <c r="B37" s="5674" t="s">
        <v>16</v>
      </c>
      <c r="C37" s="5674" t="s">
        <v>2502</v>
      </c>
      <c r="D37" s="5674" t="s">
        <v>2503</v>
      </c>
      <c r="E37" s="5674" t="s">
        <v>2504</v>
      </c>
      <c r="F37" s="5674" t="s">
        <v>2479</v>
      </c>
      <c r="G37" s="5674" t="s">
        <v>28</v>
      </c>
      <c r="H37" s="5674" t="s">
        <v>28</v>
      </c>
      <c r="I37" s="5674" t="s">
        <v>924</v>
      </c>
    </row>
    <row customHeight="1" ht="11.25">
      <c r="A38" s="5674" t="s">
        <v>2369</v>
      </c>
      <c r="B38" s="5674" t="s">
        <v>16</v>
      </c>
      <c r="C38" s="5674" t="s">
        <v>2505</v>
      </c>
      <c r="D38" s="5674" t="s">
        <v>2506</v>
      </c>
      <c r="E38" s="5674" t="s">
        <v>2507</v>
      </c>
      <c r="F38" s="5674" t="s">
        <v>2508</v>
      </c>
      <c r="G38" s="5674" t="s">
        <v>28</v>
      </c>
      <c r="H38" s="5674" t="s">
        <v>28</v>
      </c>
      <c r="I38" s="5674" t="s">
        <v>924</v>
      </c>
    </row>
    <row customHeight="1" ht="11.25">
      <c r="A39" s="5674" t="s">
        <v>2369</v>
      </c>
      <c r="B39" s="5674" t="s">
        <v>16</v>
      </c>
      <c r="C39" s="5674" t="s">
        <v>2509</v>
      </c>
      <c r="D39" s="5674" t="s">
        <v>2510</v>
      </c>
      <c r="E39" s="5674" t="s">
        <v>2511</v>
      </c>
      <c r="F39" s="5674" t="s">
        <v>2479</v>
      </c>
      <c r="G39" s="5674" t="s">
        <v>28</v>
      </c>
      <c r="H39" s="5674" t="s">
        <v>28</v>
      </c>
      <c r="I39" s="5674" t="s">
        <v>924</v>
      </c>
    </row>
    <row customHeight="1" ht="11.25">
      <c r="A40" s="5674" t="s">
        <v>2369</v>
      </c>
      <c r="B40" s="5674" t="s">
        <v>16</v>
      </c>
      <c r="C40" s="5674" t="s">
        <v>2512</v>
      </c>
      <c r="D40" s="5674" t="s">
        <v>2513</v>
      </c>
      <c r="E40" s="5674" t="s">
        <v>2514</v>
      </c>
      <c r="F40" s="5674" t="s">
        <v>2413</v>
      </c>
      <c r="G40" s="5674" t="s">
        <v>28</v>
      </c>
      <c r="H40" s="5674" t="s">
        <v>28</v>
      </c>
      <c r="I40" s="5674" t="s">
        <v>924</v>
      </c>
    </row>
    <row customHeight="1" ht="11.25">
      <c r="A41" s="5674" t="s">
        <v>2369</v>
      </c>
      <c r="B41" s="5674" t="s">
        <v>16</v>
      </c>
      <c r="C41" s="5674" t="s">
        <v>2515</v>
      </c>
      <c r="D41" s="5674" t="s">
        <v>2516</v>
      </c>
      <c r="E41" s="5674" t="s">
        <v>2517</v>
      </c>
      <c r="F41" s="5674" t="s">
        <v>54</v>
      </c>
      <c r="G41" s="5674" t="s">
        <v>28</v>
      </c>
      <c r="H41" s="5674" t="s">
        <v>28</v>
      </c>
      <c r="I41" s="5674" t="s">
        <v>924</v>
      </c>
    </row>
    <row customHeight="1" ht="11.25">
      <c r="A42" s="5674" t="s">
        <v>2369</v>
      </c>
      <c r="B42" s="5674" t="s">
        <v>16</v>
      </c>
      <c r="C42" s="5674" t="s">
        <v>13</v>
      </c>
      <c r="D42" s="5674" t="s">
        <v>49</v>
      </c>
      <c r="E42" s="5674" t="s">
        <v>52</v>
      </c>
      <c r="F42" s="5674" t="s">
        <v>54</v>
      </c>
      <c r="G42" s="5674" t="s">
        <v>28</v>
      </c>
      <c r="H42" s="5674" t="s">
        <v>28</v>
      </c>
      <c r="I42" s="5674" t="s">
        <v>924</v>
      </c>
    </row>
    <row customHeight="1" ht="11.25">
      <c r="A43" s="5674" t="s">
        <v>2369</v>
      </c>
      <c r="B43" s="5674" t="s">
        <v>16</v>
      </c>
      <c r="C43" s="5674" t="s">
        <v>2518</v>
      </c>
      <c r="D43" s="5674" t="s">
        <v>2519</v>
      </c>
      <c r="E43" s="5674" t="s">
        <v>2520</v>
      </c>
      <c r="F43" s="5674" t="s">
        <v>2380</v>
      </c>
      <c r="G43" s="5674" t="s">
        <v>2521</v>
      </c>
      <c r="H43" s="5674" t="s">
        <v>28</v>
      </c>
      <c r="I43" s="5674" t="s">
        <v>924</v>
      </c>
    </row>
    <row customHeight="1" ht="11.25">
      <c r="A44" s="5674" t="s">
        <v>2369</v>
      </c>
      <c r="B44" s="5674" t="s">
        <v>16</v>
      </c>
      <c r="C44" s="5674" t="s">
        <v>2522</v>
      </c>
      <c r="D44" s="5674" t="s">
        <v>2523</v>
      </c>
      <c r="E44" s="5674" t="s">
        <v>2524</v>
      </c>
      <c r="F44" s="5674" t="s">
        <v>2525</v>
      </c>
      <c r="G44" s="5674" t="s">
        <v>28</v>
      </c>
      <c r="H44" s="5674" t="s">
        <v>28</v>
      </c>
      <c r="I44" s="5674" t="s">
        <v>924</v>
      </c>
    </row>
    <row customHeight="1" ht="11.25">
      <c r="A45" s="5674" t="s">
        <v>2369</v>
      </c>
      <c r="B45" s="5674" t="s">
        <v>16</v>
      </c>
      <c r="C45" s="5674" t="s">
        <v>2526</v>
      </c>
      <c r="D45" s="5674" t="s">
        <v>2527</v>
      </c>
      <c r="E45" s="5674" t="s">
        <v>2528</v>
      </c>
      <c r="F45" s="5674" t="s">
        <v>2401</v>
      </c>
      <c r="G45" s="5674" t="s">
        <v>28</v>
      </c>
      <c r="H45" s="5674" t="s">
        <v>28</v>
      </c>
      <c r="I45" s="5674" t="s">
        <v>924</v>
      </c>
    </row>
    <row customHeight="1" ht="11.25">
      <c r="A46" s="5674" t="s">
        <v>2369</v>
      </c>
      <c r="B46" s="5674" t="s">
        <v>16</v>
      </c>
      <c r="C46" s="5674" t="s">
        <v>2529</v>
      </c>
      <c r="D46" s="5674" t="s">
        <v>2530</v>
      </c>
      <c r="E46" s="5674" t="s">
        <v>2531</v>
      </c>
      <c r="F46" s="5674" t="s">
        <v>2532</v>
      </c>
      <c r="G46" s="5674" t="s">
        <v>28</v>
      </c>
      <c r="H46" s="5674" t="s">
        <v>28</v>
      </c>
      <c r="I46" s="5674" t="s">
        <v>924</v>
      </c>
    </row>
    <row customHeight="1" ht="11.25">
      <c r="A47" s="5674" t="s">
        <v>2369</v>
      </c>
      <c r="B47" s="5674" t="s">
        <v>16</v>
      </c>
      <c r="C47" s="5674" t="s">
        <v>2533</v>
      </c>
      <c r="D47" s="5674" t="s">
        <v>2534</v>
      </c>
      <c r="E47" s="5674" t="s">
        <v>2535</v>
      </c>
      <c r="F47" s="5674" t="s">
        <v>2409</v>
      </c>
      <c r="G47" s="5674" t="s">
        <v>28</v>
      </c>
      <c r="H47" s="5674" t="s">
        <v>28</v>
      </c>
      <c r="I47" s="5674" t="s">
        <v>924</v>
      </c>
    </row>
    <row customHeight="1" ht="11.25">
      <c r="A48" s="5674" t="s">
        <v>2369</v>
      </c>
      <c r="B48" s="5674" t="s">
        <v>16</v>
      </c>
      <c r="C48" s="5674" t="s">
        <v>2536</v>
      </c>
      <c r="D48" s="5674" t="s">
        <v>2537</v>
      </c>
      <c r="E48" s="5674" t="s">
        <v>2538</v>
      </c>
      <c r="F48" s="5674" t="s">
        <v>2409</v>
      </c>
      <c r="G48" s="5674" t="s">
        <v>28</v>
      </c>
      <c r="H48" s="5674" t="s">
        <v>28</v>
      </c>
      <c r="I48" s="5674" t="s">
        <v>924</v>
      </c>
    </row>
    <row customHeight="1" ht="11.25">
      <c r="A49" s="5674" t="s">
        <v>2369</v>
      </c>
      <c r="B49" s="5674" t="s">
        <v>16</v>
      </c>
      <c r="C49" s="5674" t="s">
        <v>2539</v>
      </c>
      <c r="D49" s="5674" t="s">
        <v>2540</v>
      </c>
      <c r="E49" s="5674" t="s">
        <v>2541</v>
      </c>
      <c r="F49" s="5674" t="s">
        <v>2542</v>
      </c>
      <c r="G49" s="5674" t="s">
        <v>28</v>
      </c>
      <c r="H49" s="5674" t="s">
        <v>28</v>
      </c>
      <c r="I49" s="5674" t="s">
        <v>924</v>
      </c>
    </row>
    <row customHeight="1" ht="11.25">
      <c r="A50" s="5674" t="s">
        <v>2369</v>
      </c>
      <c r="B50" s="5674" t="s">
        <v>16</v>
      </c>
      <c r="C50" s="5674" t="s">
        <v>2543</v>
      </c>
      <c r="D50" s="5674" t="s">
        <v>2544</v>
      </c>
      <c r="E50" s="5674" t="s">
        <v>2545</v>
      </c>
      <c r="F50" s="5674" t="s">
        <v>2413</v>
      </c>
      <c r="G50" s="5674" t="s">
        <v>28</v>
      </c>
      <c r="H50" s="5674" t="s">
        <v>28</v>
      </c>
      <c r="I50" s="5674" t="s">
        <v>924</v>
      </c>
    </row>
    <row customHeight="1" ht="11.25">
      <c r="A51" s="5674" t="s">
        <v>2369</v>
      </c>
      <c r="B51" s="5674" t="s">
        <v>16</v>
      </c>
      <c r="C51" s="5674" t="s">
        <v>2546</v>
      </c>
      <c r="D51" s="5674" t="s">
        <v>2547</v>
      </c>
      <c r="E51" s="5674" t="s">
        <v>2548</v>
      </c>
      <c r="F51" s="5674" t="s">
        <v>2532</v>
      </c>
      <c r="G51" s="5674" t="s">
        <v>28</v>
      </c>
      <c r="H51" s="5674" t="s">
        <v>28</v>
      </c>
      <c r="I51" s="5674" t="s">
        <v>924</v>
      </c>
    </row>
    <row customHeight="1" ht="11.25">
      <c r="A52" s="5674" t="s">
        <v>2369</v>
      </c>
      <c r="B52" s="5674" t="s">
        <v>16</v>
      </c>
      <c r="C52" s="5674" t="s">
        <v>2549</v>
      </c>
      <c r="D52" s="5674" t="s">
        <v>2550</v>
      </c>
      <c r="E52" s="5674" t="s">
        <v>2551</v>
      </c>
      <c r="F52" s="5674" t="s">
        <v>2552</v>
      </c>
      <c r="G52" s="5674" t="s">
        <v>28</v>
      </c>
      <c r="H52" s="5674" t="s">
        <v>28</v>
      </c>
      <c r="I52" s="5674" t="s">
        <v>924</v>
      </c>
    </row>
    <row customHeight="1" ht="11.25">
      <c r="A53" s="5674" t="s">
        <v>2369</v>
      </c>
      <c r="B53" s="5674" t="s">
        <v>16</v>
      </c>
      <c r="C53" s="5674" t="s">
        <v>2553</v>
      </c>
      <c r="D53" s="5674" t="s">
        <v>2554</v>
      </c>
      <c r="E53" s="5674" t="s">
        <v>2555</v>
      </c>
      <c r="F53" s="5674" t="s">
        <v>54</v>
      </c>
      <c r="G53" s="5674" t="s">
        <v>28</v>
      </c>
      <c r="H53" s="5674" t="s">
        <v>28</v>
      </c>
      <c r="I53" s="5674" t="s">
        <v>924</v>
      </c>
    </row>
    <row customHeight="1" ht="11.25">
      <c r="A54" s="5674" t="s">
        <v>2369</v>
      </c>
      <c r="B54" s="5674" t="s">
        <v>16</v>
      </c>
      <c r="C54" s="5674" t="s">
        <v>2556</v>
      </c>
      <c r="D54" s="5674" t="s">
        <v>2557</v>
      </c>
      <c r="E54" s="5674" t="s">
        <v>2558</v>
      </c>
      <c r="F54" s="5674" t="s">
        <v>2559</v>
      </c>
      <c r="G54" s="5674" t="s">
        <v>28</v>
      </c>
      <c r="H54" s="5674" t="s">
        <v>28</v>
      </c>
      <c r="I54" s="5674" t="s">
        <v>924</v>
      </c>
    </row>
    <row customHeight="1" ht="11.25">
      <c r="A55" s="5674" t="s">
        <v>2369</v>
      </c>
      <c r="B55" s="5674" t="s">
        <v>16</v>
      </c>
      <c r="C55" s="5674" t="s">
        <v>2560</v>
      </c>
      <c r="D55" s="5674" t="s">
        <v>2561</v>
      </c>
      <c r="E55" s="5674" t="s">
        <v>2562</v>
      </c>
      <c r="F55" s="5674" t="s">
        <v>2425</v>
      </c>
      <c r="G55" s="5674" t="s">
        <v>28</v>
      </c>
      <c r="H55" s="5674" t="s">
        <v>28</v>
      </c>
      <c r="I55" s="5674" t="s">
        <v>924</v>
      </c>
    </row>
    <row customHeight="1" ht="11.25">
      <c r="A56" s="5674" t="s">
        <v>2369</v>
      </c>
      <c r="B56" s="5674" t="s">
        <v>16</v>
      </c>
      <c r="C56" s="5674" t="s">
        <v>2563</v>
      </c>
      <c r="D56" s="5674" t="s">
        <v>2564</v>
      </c>
      <c r="E56" s="5674" t="s">
        <v>2565</v>
      </c>
      <c r="F56" s="5674" t="s">
        <v>2566</v>
      </c>
      <c r="G56" s="5674" t="s">
        <v>28</v>
      </c>
      <c r="H56" s="5674" t="s">
        <v>28</v>
      </c>
      <c r="I56" s="5674" t="s">
        <v>924</v>
      </c>
    </row>
    <row customHeight="1" ht="11.25">
      <c r="A57" s="5674" t="s">
        <v>2369</v>
      </c>
      <c r="B57" s="5674" t="s">
        <v>16</v>
      </c>
      <c r="C57" s="5674" t="s">
        <v>2567</v>
      </c>
      <c r="D57" s="5674" t="s">
        <v>2568</v>
      </c>
      <c r="E57" s="5674" t="s">
        <v>2387</v>
      </c>
      <c r="F57" s="5674" t="s">
        <v>2569</v>
      </c>
      <c r="G57" s="5674" t="s">
        <v>28</v>
      </c>
      <c r="H57" s="5674" t="s">
        <v>28</v>
      </c>
      <c r="I57" s="5674" t="s">
        <v>924</v>
      </c>
    </row>
    <row customHeight="1" ht="11.25">
      <c r="A58" s="5674" t="s">
        <v>2369</v>
      </c>
      <c r="B58" s="5674" t="s">
        <v>16</v>
      </c>
      <c r="C58" s="5674" t="s">
        <v>2570</v>
      </c>
      <c r="D58" s="5674" t="s">
        <v>2571</v>
      </c>
      <c r="E58" s="5674" t="s">
        <v>2572</v>
      </c>
      <c r="F58" s="5674" t="s">
        <v>2573</v>
      </c>
      <c r="G58" s="5674" t="s">
        <v>28</v>
      </c>
      <c r="H58" s="5674" t="s">
        <v>28</v>
      </c>
      <c r="I58" s="5674" t="s">
        <v>924</v>
      </c>
    </row>
    <row customHeight="1" ht="11.25">
      <c r="A59" s="5674" t="s">
        <v>2369</v>
      </c>
      <c r="B59" s="5674" t="s">
        <v>16</v>
      </c>
      <c r="C59" s="5674" t="s">
        <v>2574</v>
      </c>
      <c r="D59" s="5674" t="s">
        <v>2575</v>
      </c>
      <c r="E59" s="5674" t="s">
        <v>2576</v>
      </c>
      <c r="F59" s="5674" t="s">
        <v>2573</v>
      </c>
      <c r="G59" s="5674" t="s">
        <v>28</v>
      </c>
      <c r="H59" s="5674" t="s">
        <v>28</v>
      </c>
      <c r="I59" s="5674" t="s">
        <v>924</v>
      </c>
    </row>
    <row customHeight="1" ht="11.25">
      <c r="A60" s="5674" t="s">
        <v>2369</v>
      </c>
      <c r="B60" s="5674" t="s">
        <v>16</v>
      </c>
      <c r="C60" s="5674" t="s">
        <v>2577</v>
      </c>
      <c r="D60" s="5674" t="s">
        <v>2578</v>
      </c>
      <c r="E60" s="5674" t="s">
        <v>2579</v>
      </c>
      <c r="F60" s="5674" t="s">
        <v>2413</v>
      </c>
      <c r="G60" s="5674" t="s">
        <v>28</v>
      </c>
      <c r="H60" s="5674" t="s">
        <v>2580</v>
      </c>
      <c r="I60" s="5674" t="s">
        <v>924</v>
      </c>
    </row>
    <row customHeight="1" ht="11.25">
      <c r="A61" s="5674" t="s">
        <v>2369</v>
      </c>
      <c r="B61" s="5674" t="s">
        <v>16</v>
      </c>
      <c r="C61" s="5674" t="s">
        <v>2581</v>
      </c>
      <c r="D61" s="5674" t="s">
        <v>2582</v>
      </c>
      <c r="E61" s="5674" t="s">
        <v>2471</v>
      </c>
      <c r="F61" s="5674" t="s">
        <v>2583</v>
      </c>
      <c r="G61" s="5674" t="s">
        <v>28</v>
      </c>
      <c r="H61" s="5674" t="s">
        <v>28</v>
      </c>
      <c r="I61" s="5674" t="s">
        <v>924</v>
      </c>
    </row>
    <row customHeight="1" ht="11.25">
      <c r="A62" s="5674" t="s">
        <v>2369</v>
      </c>
      <c r="B62" s="5674" t="s">
        <v>16</v>
      </c>
      <c r="C62" s="5674" t="s">
        <v>2584</v>
      </c>
      <c r="D62" s="5674" t="s">
        <v>2585</v>
      </c>
      <c r="E62" s="5674" t="s">
        <v>2586</v>
      </c>
      <c r="F62" s="5674" t="s">
        <v>2409</v>
      </c>
      <c r="G62" s="5674" t="s">
        <v>28</v>
      </c>
      <c r="H62" s="5674" t="s">
        <v>28</v>
      </c>
      <c r="I62" s="5674" t="s">
        <v>924</v>
      </c>
    </row>
    <row customHeight="1" ht="11.25">
      <c r="A63" s="5674" t="s">
        <v>2369</v>
      </c>
      <c r="B63" s="5674" t="s">
        <v>16</v>
      </c>
      <c r="C63" s="5674" t="s">
        <v>2587</v>
      </c>
      <c r="D63" s="5674" t="s">
        <v>2588</v>
      </c>
      <c r="E63" s="5674" t="s">
        <v>2589</v>
      </c>
      <c r="F63" s="5674" t="s">
        <v>2390</v>
      </c>
      <c r="G63" s="5674" t="s">
        <v>28</v>
      </c>
      <c r="H63" s="5674" t="s">
        <v>28</v>
      </c>
      <c r="I63" s="5674" t="s">
        <v>924</v>
      </c>
    </row>
    <row customHeight="1" ht="11.25">
      <c r="A64" s="5674" t="s">
        <v>2369</v>
      </c>
      <c r="B64" s="5674" t="s">
        <v>16</v>
      </c>
      <c r="C64" s="5674" t="s">
        <v>2590</v>
      </c>
      <c r="D64" s="5674" t="s">
        <v>2591</v>
      </c>
      <c r="E64" s="5674" t="s">
        <v>2592</v>
      </c>
      <c r="F64" s="5674" t="s">
        <v>2425</v>
      </c>
      <c r="G64" s="5674" t="s">
        <v>28</v>
      </c>
      <c r="H64" s="5674" t="s">
        <v>28</v>
      </c>
      <c r="I64" s="5674" t="s">
        <v>924</v>
      </c>
    </row>
    <row customHeight="1" ht="11.25">
      <c r="A65" s="5674" t="s">
        <v>2369</v>
      </c>
      <c r="B65" s="5674" t="s">
        <v>16</v>
      </c>
      <c r="C65" s="5674" t="s">
        <v>2593</v>
      </c>
      <c r="D65" s="5674" t="s">
        <v>2594</v>
      </c>
      <c r="E65" s="5674" t="s">
        <v>2595</v>
      </c>
      <c r="F65" s="5674" t="s">
        <v>2376</v>
      </c>
      <c r="G65" s="5674" t="s">
        <v>28</v>
      </c>
      <c r="H65" s="5674" t="s">
        <v>28</v>
      </c>
      <c r="I65" s="5674" t="s">
        <v>924</v>
      </c>
    </row>
    <row customHeight="1" ht="11.25">
      <c r="A66" s="5674" t="s">
        <v>2369</v>
      </c>
      <c r="B66" s="5674" t="s">
        <v>16</v>
      </c>
      <c r="C66" s="5674" t="s">
        <v>2596</v>
      </c>
      <c r="D66" s="5674" t="s">
        <v>2597</v>
      </c>
      <c r="E66" s="5674" t="s">
        <v>2598</v>
      </c>
      <c r="F66" s="5674" t="s">
        <v>54</v>
      </c>
      <c r="G66" s="5674" t="s">
        <v>28</v>
      </c>
      <c r="H66" s="5674" t="s">
        <v>28</v>
      </c>
      <c r="I66" s="5674" t="s">
        <v>924</v>
      </c>
    </row>
    <row customHeight="1" ht="11.25">
      <c r="A67" s="5674" t="s">
        <v>2369</v>
      </c>
      <c r="B67" s="5674" t="s">
        <v>16</v>
      </c>
      <c r="C67" s="5674" t="s">
        <v>2599</v>
      </c>
      <c r="D67" s="5674" t="s">
        <v>2600</v>
      </c>
      <c r="E67" s="5674" t="s">
        <v>2601</v>
      </c>
      <c r="F67" s="5674" t="s">
        <v>2602</v>
      </c>
      <c r="G67" s="5674" t="s">
        <v>2603</v>
      </c>
      <c r="H67" s="5674" t="s">
        <v>28</v>
      </c>
      <c r="I67" s="5674" t="s">
        <v>924</v>
      </c>
    </row>
    <row customHeight="1" ht="11.25">
      <c r="A68" s="5674" t="s">
        <v>2369</v>
      </c>
      <c r="B68" s="5674" t="s">
        <v>16</v>
      </c>
      <c r="C68" s="5674" t="s">
        <v>2604</v>
      </c>
      <c r="D68" s="5674" t="s">
        <v>2605</v>
      </c>
      <c r="E68" s="5674" t="s">
        <v>2606</v>
      </c>
      <c r="F68" s="5674" t="s">
        <v>2376</v>
      </c>
      <c r="G68" s="5674" t="s">
        <v>2607</v>
      </c>
      <c r="H68" s="5674" t="s">
        <v>28</v>
      </c>
      <c r="I68" s="5674" t="s">
        <v>924</v>
      </c>
    </row>
    <row customHeight="1" ht="11.25">
      <c r="A69" s="5674" t="s">
        <v>2369</v>
      </c>
      <c r="B69" s="5674" t="s">
        <v>16</v>
      </c>
      <c r="C69" s="5674" t="s">
        <v>2608</v>
      </c>
      <c r="D69" s="5674" t="s">
        <v>2609</v>
      </c>
      <c r="E69" s="5674" t="s">
        <v>2610</v>
      </c>
      <c r="F69" s="5674" t="s">
        <v>2376</v>
      </c>
      <c r="G69" s="5674" t="s">
        <v>2611</v>
      </c>
      <c r="H69" s="5674" t="s">
        <v>28</v>
      </c>
      <c r="I69" s="5674" t="s">
        <v>924</v>
      </c>
    </row>
    <row customHeight="1" ht="11.25">
      <c r="A70" s="5674" t="s">
        <v>2369</v>
      </c>
      <c r="B70" s="5674" t="s">
        <v>16</v>
      </c>
      <c r="C70" s="5674" t="s">
        <v>2612</v>
      </c>
      <c r="D70" s="5674" t="s">
        <v>2613</v>
      </c>
      <c r="E70" s="5674" t="s">
        <v>2614</v>
      </c>
      <c r="F70" s="5674" t="s">
        <v>2615</v>
      </c>
      <c r="G70" s="5674" t="s">
        <v>28</v>
      </c>
      <c r="H70" s="5674" t="s">
        <v>28</v>
      </c>
      <c r="I70" s="5674" t="s">
        <v>924</v>
      </c>
    </row>
    <row customHeight="1" ht="11.25">
      <c r="A71" s="5674" t="s">
        <v>2369</v>
      </c>
      <c r="B71" s="5674" t="s">
        <v>16</v>
      </c>
      <c r="C71" s="5674" t="s">
        <v>2616</v>
      </c>
      <c r="D71" s="5674" t="s">
        <v>2617</v>
      </c>
      <c r="E71" s="5674" t="s">
        <v>2618</v>
      </c>
      <c r="F71" s="5674" t="s">
        <v>2602</v>
      </c>
      <c r="G71" s="5674" t="s">
        <v>28</v>
      </c>
      <c r="H71" s="5674" t="s">
        <v>28</v>
      </c>
      <c r="I71" s="5674" t="s">
        <v>924</v>
      </c>
    </row>
    <row customHeight="1" ht="11.25">
      <c r="A72" s="5674" t="s">
        <v>2369</v>
      </c>
      <c r="B72" s="5674" t="s">
        <v>16</v>
      </c>
      <c r="C72" s="5674" t="s">
        <v>2619</v>
      </c>
      <c r="D72" s="5674" t="s">
        <v>2620</v>
      </c>
      <c r="E72" s="5674" t="s">
        <v>2621</v>
      </c>
      <c r="F72" s="5674" t="s">
        <v>2425</v>
      </c>
      <c r="G72" s="5674" t="s">
        <v>28</v>
      </c>
      <c r="H72" s="5674" t="s">
        <v>28</v>
      </c>
      <c r="I72" s="5674" t="s">
        <v>924</v>
      </c>
    </row>
    <row customHeight="1" ht="11.25">
      <c r="A73" s="5674" t="s">
        <v>2369</v>
      </c>
      <c r="B73" s="5674" t="s">
        <v>16</v>
      </c>
      <c r="C73" s="5674" t="s">
        <v>2622</v>
      </c>
      <c r="D73" s="5674" t="s">
        <v>2623</v>
      </c>
      <c r="E73" s="5674" t="s">
        <v>2624</v>
      </c>
      <c r="F73" s="5674" t="s">
        <v>2602</v>
      </c>
      <c r="G73" s="5674" t="s">
        <v>28</v>
      </c>
      <c r="H73" s="5674" t="s">
        <v>28</v>
      </c>
      <c r="I73" s="5674" t="s">
        <v>924</v>
      </c>
    </row>
    <row customHeight="1" ht="11.25">
      <c r="A74" s="5674" t="s">
        <v>2369</v>
      </c>
      <c r="B74" s="5674" t="s">
        <v>16</v>
      </c>
      <c r="C74" s="5674" t="s">
        <v>2625</v>
      </c>
      <c r="D74" s="5674" t="s">
        <v>2626</v>
      </c>
      <c r="E74" s="5674" t="s">
        <v>2627</v>
      </c>
      <c r="F74" s="5674" t="s">
        <v>2508</v>
      </c>
      <c r="G74" s="5674" t="s">
        <v>2628</v>
      </c>
      <c r="H74" s="5674" t="s">
        <v>28</v>
      </c>
      <c r="I74" s="5674" t="s">
        <v>924</v>
      </c>
    </row>
    <row customHeight="1" ht="11.25">
      <c r="A75" s="5674" t="s">
        <v>2369</v>
      </c>
      <c r="B75" s="5674" t="s">
        <v>16</v>
      </c>
      <c r="C75" s="5674" t="s">
        <v>2629</v>
      </c>
      <c r="D75" s="5674" t="s">
        <v>2630</v>
      </c>
      <c r="E75" s="5674" t="s">
        <v>2631</v>
      </c>
      <c r="F75" s="5674" t="s">
        <v>2632</v>
      </c>
      <c r="G75" s="5674" t="s">
        <v>2633</v>
      </c>
      <c r="H75" s="5674" t="s">
        <v>28</v>
      </c>
      <c r="I75" s="5674" t="s">
        <v>924</v>
      </c>
    </row>
    <row customHeight="1" ht="11.25">
      <c r="A76" s="5674" t="s">
        <v>2369</v>
      </c>
      <c r="B76" s="5674" t="s">
        <v>16</v>
      </c>
      <c r="C76" s="5674" t="s">
        <v>2634</v>
      </c>
      <c r="D76" s="5674" t="s">
        <v>2635</v>
      </c>
      <c r="E76" s="5674" t="s">
        <v>2636</v>
      </c>
      <c r="F76" s="5674" t="s">
        <v>2602</v>
      </c>
      <c r="G76" s="5674" t="s">
        <v>28</v>
      </c>
      <c r="H76" s="5674" t="s">
        <v>28</v>
      </c>
      <c r="I76" s="5674" t="s">
        <v>924</v>
      </c>
    </row>
    <row customHeight="1" ht="11.25">
      <c r="A77" s="5674" t="s">
        <v>2369</v>
      </c>
      <c r="B77" s="5674" t="s">
        <v>16</v>
      </c>
      <c r="C77" s="5674" t="s">
        <v>2637</v>
      </c>
      <c r="D77" s="5674" t="s">
        <v>2638</v>
      </c>
      <c r="E77" s="5674" t="s">
        <v>2639</v>
      </c>
      <c r="F77" s="5674" t="s">
        <v>2602</v>
      </c>
      <c r="G77" s="5674" t="s">
        <v>28</v>
      </c>
      <c r="H77" s="5674" t="s">
        <v>28</v>
      </c>
      <c r="I77" s="5674" t="s">
        <v>924</v>
      </c>
    </row>
    <row customHeight="1" ht="11.25">
      <c r="A78" s="5674" t="s">
        <v>2369</v>
      </c>
      <c r="B78" s="5674" t="s">
        <v>16</v>
      </c>
      <c r="C78" s="5674" t="s">
        <v>2640</v>
      </c>
      <c r="D78" s="5674" t="s">
        <v>2641</v>
      </c>
      <c r="E78" s="5674" t="s">
        <v>2642</v>
      </c>
      <c r="F78" s="5674" t="s">
        <v>2643</v>
      </c>
      <c r="G78" s="5674" t="s">
        <v>28</v>
      </c>
      <c r="H78" s="5674" t="s">
        <v>28</v>
      </c>
      <c r="I78" s="5674" t="s">
        <v>924</v>
      </c>
    </row>
    <row customHeight="1" ht="11.25">
      <c r="A79" s="5674" t="s">
        <v>2369</v>
      </c>
      <c r="B79" s="5674" t="s">
        <v>16</v>
      </c>
      <c r="C79" s="5674" t="s">
        <v>2644</v>
      </c>
      <c r="D79" s="5674" t="s">
        <v>2645</v>
      </c>
      <c r="E79" s="5674" t="s">
        <v>2646</v>
      </c>
      <c r="F79" s="5674" t="s">
        <v>2372</v>
      </c>
      <c r="G79" s="5674" t="s">
        <v>28</v>
      </c>
      <c r="H79" s="5674" t="s">
        <v>28</v>
      </c>
      <c r="I79" s="5674" t="s">
        <v>924</v>
      </c>
    </row>
    <row customHeight="1" ht="11.25">
      <c r="A80" s="5674" t="s">
        <v>2369</v>
      </c>
      <c r="B80" s="5674" t="s">
        <v>16</v>
      </c>
      <c r="C80" s="5674" t="s">
        <v>2647</v>
      </c>
      <c r="D80" s="5674" t="s">
        <v>2648</v>
      </c>
      <c r="E80" s="5674" t="s">
        <v>2649</v>
      </c>
      <c r="F80" s="5674" t="s">
        <v>2413</v>
      </c>
      <c r="G80" s="5674" t="s">
        <v>28</v>
      </c>
      <c r="H80" s="5674" t="s">
        <v>28</v>
      </c>
      <c r="I80" s="5674" t="s">
        <v>924</v>
      </c>
    </row>
    <row customHeight="1" ht="11.25">
      <c r="A81" s="5674" t="s">
        <v>2369</v>
      </c>
      <c r="B81" s="5674" t="s">
        <v>16</v>
      </c>
      <c r="C81" s="5674" t="s">
        <v>2650</v>
      </c>
      <c r="D81" s="5674" t="s">
        <v>2651</v>
      </c>
      <c r="E81" s="5674" t="s">
        <v>2652</v>
      </c>
      <c r="F81" s="5674" t="s">
        <v>2376</v>
      </c>
      <c r="G81" s="5674" t="s">
        <v>28</v>
      </c>
      <c r="H81" s="5674" t="s">
        <v>28</v>
      </c>
      <c r="I81" s="5674" t="s">
        <v>924</v>
      </c>
    </row>
    <row customHeight="1" ht="11.25">
      <c r="A82" s="5674" t="s">
        <v>2369</v>
      </c>
      <c r="B82" s="5674" t="s">
        <v>16</v>
      </c>
      <c r="C82" s="5674" t="s">
        <v>2653</v>
      </c>
      <c r="D82" s="5674" t="s">
        <v>2654</v>
      </c>
      <c r="E82" s="5674" t="s">
        <v>2655</v>
      </c>
      <c r="F82" s="5674" t="s">
        <v>2656</v>
      </c>
      <c r="G82" s="5674" t="s">
        <v>2657</v>
      </c>
      <c r="H82" s="5674" t="s">
        <v>28</v>
      </c>
      <c r="I82" s="5674" t="s">
        <v>924</v>
      </c>
    </row>
    <row customHeight="1" ht="11.25">
      <c r="A83" s="5674" t="s">
        <v>2369</v>
      </c>
      <c r="B83" s="5674" t="s">
        <v>16</v>
      </c>
      <c r="C83" s="5674" t="s">
        <v>2658</v>
      </c>
      <c r="D83" s="5674" t="s">
        <v>2659</v>
      </c>
      <c r="E83" s="5674" t="s">
        <v>2660</v>
      </c>
      <c r="F83" s="5674" t="s">
        <v>2401</v>
      </c>
      <c r="G83" s="5674" t="s">
        <v>2661</v>
      </c>
      <c r="H83" s="5674" t="s">
        <v>28</v>
      </c>
      <c r="I83" s="5674" t="s">
        <v>924</v>
      </c>
    </row>
    <row customHeight="1" ht="11.25">
      <c r="A84" s="5674" t="s">
        <v>2369</v>
      </c>
      <c r="B84" s="5674" t="s">
        <v>16</v>
      </c>
      <c r="C84" s="5674" t="s">
        <v>2662</v>
      </c>
      <c r="D84" s="5674" t="s">
        <v>2663</v>
      </c>
      <c r="E84" s="5674" t="s">
        <v>2664</v>
      </c>
      <c r="F84" s="5674" t="s">
        <v>2643</v>
      </c>
      <c r="G84" s="5674" t="s">
        <v>28</v>
      </c>
      <c r="H84" s="5674" t="s">
        <v>28</v>
      </c>
      <c r="I84" s="5674" t="s">
        <v>924</v>
      </c>
    </row>
    <row customHeight="1" ht="11.25">
      <c r="A85" s="5674" t="s">
        <v>2369</v>
      </c>
      <c r="B85" s="5674" t="s">
        <v>16</v>
      </c>
      <c r="C85" s="5674" t="s">
        <v>2665</v>
      </c>
      <c r="D85" s="5674" t="s">
        <v>2666</v>
      </c>
      <c r="E85" s="5674" t="s">
        <v>2667</v>
      </c>
      <c r="F85" s="5674" t="s">
        <v>2573</v>
      </c>
      <c r="G85" s="5674" t="s">
        <v>2668</v>
      </c>
      <c r="H85" s="5674" t="s">
        <v>28</v>
      </c>
      <c r="I85" s="5674" t="s">
        <v>924</v>
      </c>
    </row>
    <row customHeight="1" ht="11.25">
      <c r="A86" s="5674" t="s">
        <v>2369</v>
      </c>
      <c r="B86" s="5674" t="s">
        <v>16</v>
      </c>
      <c r="C86" s="5674" t="s">
        <v>2669</v>
      </c>
      <c r="D86" s="5674" t="s">
        <v>2670</v>
      </c>
      <c r="E86" s="5674" t="s">
        <v>2671</v>
      </c>
      <c r="F86" s="5674" t="s">
        <v>2434</v>
      </c>
      <c r="G86" s="5674" t="s">
        <v>28</v>
      </c>
      <c r="H86" s="5674" t="s">
        <v>28</v>
      </c>
      <c r="I86" s="5674" t="s">
        <v>924</v>
      </c>
    </row>
    <row customHeight="1" ht="11.25">
      <c r="A87" s="5674" t="s">
        <v>2369</v>
      </c>
      <c r="B87" s="5674" t="s">
        <v>16</v>
      </c>
      <c r="C87" s="5674" t="s">
        <v>2672</v>
      </c>
      <c r="D87" s="5674" t="s">
        <v>2673</v>
      </c>
      <c r="E87" s="5674" t="s">
        <v>2674</v>
      </c>
      <c r="F87" s="5674" t="s">
        <v>2413</v>
      </c>
      <c r="G87" s="5674" t="s">
        <v>28</v>
      </c>
      <c r="H87" s="5674" t="s">
        <v>28</v>
      </c>
      <c r="I87" s="5674" t="s">
        <v>924</v>
      </c>
    </row>
    <row customHeight="1" ht="11.25">
      <c r="A88" s="5674" t="s">
        <v>2369</v>
      </c>
      <c r="B88" s="5674" t="s">
        <v>16</v>
      </c>
      <c r="C88" s="5674" t="s">
        <v>2675</v>
      </c>
      <c r="D88" s="5674" t="s">
        <v>2676</v>
      </c>
      <c r="E88" s="5674" t="s">
        <v>2677</v>
      </c>
      <c r="F88" s="5674" t="s">
        <v>2552</v>
      </c>
      <c r="G88" s="5674" t="s">
        <v>28</v>
      </c>
      <c r="H88" s="5674" t="s">
        <v>28</v>
      </c>
      <c r="I88" s="5674" t="s">
        <v>924</v>
      </c>
    </row>
    <row customHeight="1" ht="11.25">
      <c r="A89" s="5674" t="s">
        <v>2369</v>
      </c>
      <c r="B89" s="5674" t="s">
        <v>16</v>
      </c>
      <c r="C89" s="5674" t="s">
        <v>2678</v>
      </c>
      <c r="D89" s="5674" t="s">
        <v>2679</v>
      </c>
      <c r="E89" s="5674" t="s">
        <v>2680</v>
      </c>
      <c r="F89" s="5674" t="s">
        <v>2376</v>
      </c>
      <c r="G89" s="5674" t="s">
        <v>28</v>
      </c>
      <c r="H89" s="5674" t="s">
        <v>28</v>
      </c>
      <c r="I89" s="5674" t="s">
        <v>924</v>
      </c>
    </row>
    <row customHeight="1" ht="11.25">
      <c r="A90" s="5674" t="s">
        <v>2369</v>
      </c>
      <c r="B90" s="5674" t="s">
        <v>16</v>
      </c>
      <c r="C90" s="5674" t="s">
        <v>2681</v>
      </c>
      <c r="D90" s="5674" t="s">
        <v>2682</v>
      </c>
      <c r="E90" s="5674" t="s">
        <v>2683</v>
      </c>
      <c r="F90" s="5674" t="s">
        <v>2376</v>
      </c>
      <c r="G90" s="5674" t="s">
        <v>28</v>
      </c>
      <c r="H90" s="5674" t="s">
        <v>28</v>
      </c>
      <c r="I90" s="5674" t="s">
        <v>924</v>
      </c>
    </row>
    <row customHeight="1" ht="11.25">
      <c r="A91" s="5674" t="s">
        <v>2369</v>
      </c>
      <c r="B91" s="5674" t="s">
        <v>16</v>
      </c>
      <c r="C91" s="5674" t="s">
        <v>2684</v>
      </c>
      <c r="D91" s="5674" t="s">
        <v>2685</v>
      </c>
      <c r="E91" s="5674" t="s">
        <v>2686</v>
      </c>
      <c r="F91" s="5674" t="s">
        <v>2552</v>
      </c>
      <c r="G91" s="5674" t="s">
        <v>2435</v>
      </c>
      <c r="H91" s="5674" t="s">
        <v>28</v>
      </c>
      <c r="I91" s="5674" t="s">
        <v>924</v>
      </c>
    </row>
    <row customHeight="1" ht="11.25">
      <c r="A92" s="5674" t="s">
        <v>2369</v>
      </c>
      <c r="B92" s="5674" t="s">
        <v>16</v>
      </c>
      <c r="C92" s="5674" t="s">
        <v>2687</v>
      </c>
      <c r="D92" s="5674" t="s">
        <v>2688</v>
      </c>
      <c r="E92" s="5674" t="s">
        <v>2689</v>
      </c>
      <c r="F92" s="5674" t="s">
        <v>2690</v>
      </c>
      <c r="G92" s="5674" t="s">
        <v>28</v>
      </c>
      <c r="H92" s="5674" t="s">
        <v>28</v>
      </c>
      <c r="I92" s="5674" t="s">
        <v>924</v>
      </c>
    </row>
    <row customHeight="1" ht="11.25">
      <c r="A93" s="5674" t="s">
        <v>2369</v>
      </c>
      <c r="B93" s="5674" t="s">
        <v>16</v>
      </c>
      <c r="C93" s="5674" t="s">
        <v>2691</v>
      </c>
      <c r="D93" s="5674" t="s">
        <v>2692</v>
      </c>
      <c r="E93" s="5674" t="s">
        <v>2693</v>
      </c>
      <c r="F93" s="5674" t="s">
        <v>2442</v>
      </c>
      <c r="G93" s="5674" t="s">
        <v>28</v>
      </c>
      <c r="H93" s="5674" t="s">
        <v>28</v>
      </c>
      <c r="I93" s="5674" t="s">
        <v>924</v>
      </c>
    </row>
    <row customHeight="1" ht="11.25">
      <c r="A94" s="5674" t="s">
        <v>2369</v>
      </c>
      <c r="B94" s="5674" t="s">
        <v>16</v>
      </c>
      <c r="C94" s="5674" t="s">
        <v>2694</v>
      </c>
      <c r="D94" s="5674" t="s">
        <v>2695</v>
      </c>
      <c r="E94" s="5674" t="s">
        <v>2696</v>
      </c>
      <c r="F94" s="5674" t="s">
        <v>2697</v>
      </c>
      <c r="G94" s="5674" t="s">
        <v>28</v>
      </c>
      <c r="H94" s="5674" t="s">
        <v>28</v>
      </c>
      <c r="I94" s="5674" t="s">
        <v>924</v>
      </c>
    </row>
    <row customHeight="1" ht="11.25">
      <c r="A95" s="5674" t="s">
        <v>2369</v>
      </c>
      <c r="B95" s="5674" t="s">
        <v>16</v>
      </c>
      <c r="C95" s="5674" t="s">
        <v>2698</v>
      </c>
      <c r="D95" s="5674" t="s">
        <v>2699</v>
      </c>
      <c r="E95" s="5674" t="s">
        <v>2700</v>
      </c>
      <c r="F95" s="5674" t="s">
        <v>2425</v>
      </c>
      <c r="G95" s="5674" t="s">
        <v>28</v>
      </c>
      <c r="H95" s="5674" t="s">
        <v>28</v>
      </c>
      <c r="I95" s="5674" t="s">
        <v>924</v>
      </c>
    </row>
    <row customHeight="1" ht="11.25">
      <c r="A96" s="5674" t="s">
        <v>2369</v>
      </c>
      <c r="B96" s="5674" t="s">
        <v>16</v>
      </c>
      <c r="C96" s="5674" t="s">
        <v>2701</v>
      </c>
      <c r="D96" s="5674" t="s">
        <v>2702</v>
      </c>
      <c r="E96" s="5674" t="s">
        <v>2703</v>
      </c>
      <c r="F96" s="5674" t="s">
        <v>2376</v>
      </c>
      <c r="G96" s="5674" t="s">
        <v>28</v>
      </c>
      <c r="H96" s="5674" t="s">
        <v>28</v>
      </c>
      <c r="I96" s="5674" t="s">
        <v>924</v>
      </c>
    </row>
    <row customHeight="1" ht="11.25">
      <c r="A97" s="5674" t="s">
        <v>2369</v>
      </c>
      <c r="B97" s="5674" t="s">
        <v>16</v>
      </c>
      <c r="C97" s="5674" t="s">
        <v>2704</v>
      </c>
      <c r="D97" s="5674" t="s">
        <v>2705</v>
      </c>
      <c r="E97" s="5674" t="s">
        <v>2706</v>
      </c>
      <c r="F97" s="5674" t="s">
        <v>2442</v>
      </c>
      <c r="G97" s="5674" t="s">
        <v>2707</v>
      </c>
      <c r="H97" s="5674" t="s">
        <v>28</v>
      </c>
      <c r="I97" s="5674" t="s">
        <v>924</v>
      </c>
    </row>
    <row customHeight="1" ht="11.25">
      <c r="A98" s="5674" t="s">
        <v>2369</v>
      </c>
      <c r="B98" s="5674" t="s">
        <v>16</v>
      </c>
      <c r="C98" s="5674" t="s">
        <v>2708</v>
      </c>
      <c r="D98" s="5674" t="s">
        <v>2709</v>
      </c>
      <c r="E98" s="5674" t="s">
        <v>2710</v>
      </c>
      <c r="F98" s="5674" t="s">
        <v>2711</v>
      </c>
      <c r="G98" s="5674" t="s">
        <v>28</v>
      </c>
      <c r="H98" s="5674" t="s">
        <v>28</v>
      </c>
      <c r="I98" s="5674" t="s">
        <v>924</v>
      </c>
    </row>
    <row customHeight="1" ht="11.25">
      <c r="A99" s="5674" t="s">
        <v>2369</v>
      </c>
      <c r="B99" s="5674" t="s">
        <v>16</v>
      </c>
      <c r="C99" s="5674" t="s">
        <v>2712</v>
      </c>
      <c r="D99" s="5674" t="s">
        <v>2713</v>
      </c>
      <c r="E99" s="5674" t="s">
        <v>2714</v>
      </c>
      <c r="F99" s="5674" t="s">
        <v>2372</v>
      </c>
      <c r="G99" s="5674" t="s">
        <v>28</v>
      </c>
      <c r="H99" s="5674" t="s">
        <v>28</v>
      </c>
      <c r="I99" s="5674" t="s">
        <v>924</v>
      </c>
    </row>
    <row customHeight="1" ht="11.25">
      <c r="A100" s="5674" t="s">
        <v>2369</v>
      </c>
      <c r="B100" s="5674" t="s">
        <v>16</v>
      </c>
      <c r="C100" s="5674" t="s">
        <v>2715</v>
      </c>
      <c r="D100" s="5674" t="s">
        <v>2716</v>
      </c>
      <c r="E100" s="5674" t="s">
        <v>2717</v>
      </c>
      <c r="F100" s="5674" t="s">
        <v>2384</v>
      </c>
      <c r="G100" s="5674" t="s">
        <v>28</v>
      </c>
      <c r="H100" s="5674" t="s">
        <v>28</v>
      </c>
      <c r="I100" s="5674" t="s">
        <v>924</v>
      </c>
    </row>
    <row customHeight="1" ht="11.25">
      <c r="A101" s="5674" t="s">
        <v>2369</v>
      </c>
      <c r="B101" s="5674" t="s">
        <v>16</v>
      </c>
      <c r="C101" s="5674" t="s">
        <v>2718</v>
      </c>
      <c r="D101" s="5674" t="s">
        <v>2719</v>
      </c>
      <c r="E101" s="5674" t="s">
        <v>2720</v>
      </c>
      <c r="F101" s="5674" t="s">
        <v>2376</v>
      </c>
      <c r="G101" s="5674" t="s">
        <v>28</v>
      </c>
      <c r="H101" s="5674" t="s">
        <v>28</v>
      </c>
      <c r="I101" s="5674" t="s">
        <v>924</v>
      </c>
    </row>
    <row customHeight="1" ht="11.25">
      <c r="A102" s="5674" t="s">
        <v>2369</v>
      </c>
      <c r="B102" s="5674" t="s">
        <v>16</v>
      </c>
      <c r="C102" s="5674" t="s">
        <v>2721</v>
      </c>
      <c r="D102" s="5674" t="s">
        <v>2722</v>
      </c>
      <c r="E102" s="5674" t="s">
        <v>2723</v>
      </c>
      <c r="F102" s="5674" t="s">
        <v>2724</v>
      </c>
      <c r="G102" s="5674" t="s">
        <v>2725</v>
      </c>
      <c r="H102" s="5674" t="s">
        <v>28</v>
      </c>
      <c r="I102" s="5674" t="s">
        <v>924</v>
      </c>
    </row>
    <row customHeight="1" ht="11.25">
      <c r="A103" s="5674" t="s">
        <v>2369</v>
      </c>
      <c r="B103" s="5674" t="s">
        <v>16</v>
      </c>
      <c r="C103" s="5674" t="s">
        <v>2726</v>
      </c>
      <c r="D103" s="5674" t="s">
        <v>2727</v>
      </c>
      <c r="E103" s="5674" t="s">
        <v>2728</v>
      </c>
      <c r="F103" s="5674" t="s">
        <v>2697</v>
      </c>
      <c r="G103" s="5674" t="s">
        <v>2729</v>
      </c>
      <c r="H103" s="5674" t="s">
        <v>28</v>
      </c>
      <c r="I103" s="5674" t="s">
        <v>924</v>
      </c>
    </row>
    <row customHeight="1" ht="11.25">
      <c r="A104" s="5674" t="s">
        <v>2369</v>
      </c>
      <c r="B104" s="5674" t="s">
        <v>16</v>
      </c>
      <c r="C104" s="5674" t="s">
        <v>2730</v>
      </c>
      <c r="D104" s="5674" t="s">
        <v>2731</v>
      </c>
      <c r="E104" s="5674" t="s">
        <v>2732</v>
      </c>
      <c r="F104" s="5674" t="s">
        <v>2425</v>
      </c>
      <c r="G104" s="5674" t="s">
        <v>2733</v>
      </c>
      <c r="H104" s="5674" t="s">
        <v>28</v>
      </c>
      <c r="I104" s="5674" t="s">
        <v>924</v>
      </c>
    </row>
    <row customHeight="1" ht="11.25">
      <c r="A105" s="5674" t="s">
        <v>2369</v>
      </c>
      <c r="B105" s="5674" t="s">
        <v>16</v>
      </c>
      <c r="C105" s="5674" t="s">
        <v>2734</v>
      </c>
      <c r="D105" s="5674" t="s">
        <v>2735</v>
      </c>
      <c r="E105" s="5674" t="s">
        <v>2736</v>
      </c>
      <c r="F105" s="5674" t="s">
        <v>2737</v>
      </c>
      <c r="G105" s="5674" t="s">
        <v>28</v>
      </c>
      <c r="H105" s="5674" t="s">
        <v>28</v>
      </c>
      <c r="I105" s="5674" t="s">
        <v>924</v>
      </c>
    </row>
    <row customHeight="1" ht="11.25">
      <c r="A106" s="5674" t="s">
        <v>2369</v>
      </c>
      <c r="B106" s="5674" t="s">
        <v>16</v>
      </c>
      <c r="C106" s="5674" t="s">
        <v>2738</v>
      </c>
      <c r="D106" s="5674" t="s">
        <v>2739</v>
      </c>
      <c r="E106" s="5674" t="s">
        <v>2740</v>
      </c>
      <c r="F106" s="5674" t="s">
        <v>2372</v>
      </c>
      <c r="G106" s="5674" t="s">
        <v>28</v>
      </c>
      <c r="H106" s="5674" t="s">
        <v>28</v>
      </c>
      <c r="I106" s="5674" t="s">
        <v>924</v>
      </c>
    </row>
    <row customHeight="1" ht="11.25">
      <c r="A107" s="5674" t="s">
        <v>2369</v>
      </c>
      <c r="B107" s="5674" t="s">
        <v>16</v>
      </c>
      <c r="C107" s="5674" t="s">
        <v>2741</v>
      </c>
      <c r="D107" s="5674" t="s">
        <v>2742</v>
      </c>
      <c r="E107" s="5674" t="s">
        <v>2471</v>
      </c>
      <c r="F107" s="5674" t="s">
        <v>2743</v>
      </c>
      <c r="G107" s="5674" t="s">
        <v>28</v>
      </c>
      <c r="H107" s="5674" t="s">
        <v>28</v>
      </c>
      <c r="I107" s="5674" t="s">
        <v>924</v>
      </c>
    </row>
    <row customHeight="1" ht="11.25">
      <c r="A108" s="5674" t="s">
        <v>2369</v>
      </c>
      <c r="B108" s="5674" t="s">
        <v>16</v>
      </c>
      <c r="C108" s="5674" t="s">
        <v>2744</v>
      </c>
      <c r="D108" s="5674" t="s">
        <v>2745</v>
      </c>
      <c r="E108" s="5674" t="s">
        <v>2746</v>
      </c>
      <c r="F108" s="5674" t="s">
        <v>2573</v>
      </c>
      <c r="G108" s="5674" t="s">
        <v>28</v>
      </c>
      <c r="H108" s="5674" t="s">
        <v>28</v>
      </c>
      <c r="I108" s="5674" t="s">
        <v>924</v>
      </c>
    </row>
    <row customHeight="1" ht="11.25">
      <c r="A109" s="5674" t="s">
        <v>2369</v>
      </c>
      <c r="B109" s="5674" t="s">
        <v>16</v>
      </c>
      <c r="C109" s="5674" t="s">
        <v>2747</v>
      </c>
      <c r="D109" s="5674" t="s">
        <v>2748</v>
      </c>
      <c r="E109" s="5674" t="s">
        <v>2749</v>
      </c>
      <c r="F109" s="5674" t="s">
        <v>2750</v>
      </c>
      <c r="G109" s="5674" t="s">
        <v>2751</v>
      </c>
      <c r="H109" s="5674" t="s">
        <v>28</v>
      </c>
      <c r="I109" s="5674" t="s">
        <v>924</v>
      </c>
    </row>
    <row customHeight="1" ht="11.25">
      <c r="A110" s="5674" t="s">
        <v>2369</v>
      </c>
      <c r="B110" s="5674" t="s">
        <v>16</v>
      </c>
      <c r="C110" s="5674" t="s">
        <v>2752</v>
      </c>
      <c r="D110" s="5674" t="s">
        <v>2753</v>
      </c>
      <c r="E110" s="5674" t="s">
        <v>2754</v>
      </c>
      <c r="F110" s="5674" t="s">
        <v>2573</v>
      </c>
      <c r="G110" s="5674" t="s">
        <v>28</v>
      </c>
      <c r="H110" s="5674" t="s">
        <v>28</v>
      </c>
      <c r="I110" s="5674" t="s">
        <v>924</v>
      </c>
    </row>
    <row customHeight="1" ht="11.25">
      <c r="A111" s="5674" t="s">
        <v>2369</v>
      </c>
      <c r="B111" s="5674" t="s">
        <v>16</v>
      </c>
      <c r="C111" s="5674" t="s">
        <v>2755</v>
      </c>
      <c r="D111" s="5674" t="s">
        <v>2756</v>
      </c>
      <c r="E111" s="5674" t="s">
        <v>2757</v>
      </c>
      <c r="F111" s="5674" t="s">
        <v>54</v>
      </c>
      <c r="G111" s="5674" t="s">
        <v>28</v>
      </c>
      <c r="H111" s="5674" t="s">
        <v>28</v>
      </c>
      <c r="I111" s="5674" t="s">
        <v>924</v>
      </c>
    </row>
    <row customHeight="1" ht="11.25">
      <c r="A112" s="5674" t="s">
        <v>2369</v>
      </c>
      <c r="B112" s="5674" t="s">
        <v>16</v>
      </c>
      <c r="C112" s="5674" t="s">
        <v>2758</v>
      </c>
      <c r="D112" s="5674" t="s">
        <v>2759</v>
      </c>
      <c r="E112" s="5674" t="s">
        <v>2760</v>
      </c>
      <c r="F112" s="5674" t="s">
        <v>2508</v>
      </c>
      <c r="G112" s="5674" t="s">
        <v>28</v>
      </c>
      <c r="H112" s="5674" t="s">
        <v>28</v>
      </c>
      <c r="I112" s="5674" t="s">
        <v>924</v>
      </c>
    </row>
    <row customHeight="1" ht="11.25">
      <c r="A113" s="5674" t="s">
        <v>2369</v>
      </c>
      <c r="B113" s="5674" t="s">
        <v>16</v>
      </c>
      <c r="C113" s="5674" t="s">
        <v>2761</v>
      </c>
      <c r="D113" s="5674" t="s">
        <v>2762</v>
      </c>
      <c r="E113" s="5674" t="s">
        <v>2763</v>
      </c>
      <c r="F113" s="5674" t="s">
        <v>2380</v>
      </c>
      <c r="G113" s="5674" t="s">
        <v>28</v>
      </c>
      <c r="H113" s="5674" t="s">
        <v>28</v>
      </c>
      <c r="I113" s="5674" t="s">
        <v>924</v>
      </c>
    </row>
    <row customHeight="1" ht="11.25">
      <c r="A114" s="5674" t="s">
        <v>2369</v>
      </c>
      <c r="B114" s="5674" t="s">
        <v>16</v>
      </c>
      <c r="C114" s="5674" t="s">
        <v>2764</v>
      </c>
      <c r="D114" s="5674" t="s">
        <v>2765</v>
      </c>
      <c r="E114" s="5674" t="s">
        <v>2766</v>
      </c>
      <c r="F114" s="5674" t="s">
        <v>2767</v>
      </c>
      <c r="G114" s="5674" t="s">
        <v>28</v>
      </c>
      <c r="H114" s="5674" t="s">
        <v>28</v>
      </c>
      <c r="I114" s="5674" t="s">
        <v>924</v>
      </c>
    </row>
    <row customHeight="1" ht="11.25">
      <c r="A115" s="5674" t="s">
        <v>2369</v>
      </c>
      <c r="B115" s="5674" t="s">
        <v>16</v>
      </c>
      <c r="C115" s="5674" t="s">
        <v>2768</v>
      </c>
      <c r="D115" s="5674" t="s">
        <v>2769</v>
      </c>
      <c r="E115" s="5674" t="s">
        <v>2770</v>
      </c>
      <c r="F115" s="5674" t="s">
        <v>2434</v>
      </c>
      <c r="G115" s="5674" t="s">
        <v>28</v>
      </c>
      <c r="H115" s="5674" t="s">
        <v>28</v>
      </c>
      <c r="I115" s="5674" t="s">
        <v>924</v>
      </c>
    </row>
    <row customHeight="1" ht="11.25">
      <c r="A116" s="5674" t="s">
        <v>2369</v>
      </c>
      <c r="B116" s="5674" t="s">
        <v>16</v>
      </c>
      <c r="C116" s="5674" t="s">
        <v>2771</v>
      </c>
      <c r="D116" s="5674" t="s">
        <v>2772</v>
      </c>
      <c r="E116" s="5674" t="s">
        <v>2773</v>
      </c>
      <c r="F116" s="5674" t="s">
        <v>2413</v>
      </c>
      <c r="G116" s="5674" t="s">
        <v>28</v>
      </c>
      <c r="H116" s="5674" t="s">
        <v>28</v>
      </c>
      <c r="I116" s="5674" t="s">
        <v>924</v>
      </c>
    </row>
    <row customHeight="1" ht="11.25">
      <c r="A117" s="5674" t="s">
        <v>2369</v>
      </c>
      <c r="B117" s="5674" t="s">
        <v>16</v>
      </c>
      <c r="C117" s="5674" t="s">
        <v>2774</v>
      </c>
      <c r="D117" s="5674" t="s">
        <v>2775</v>
      </c>
      <c r="E117" s="5674" t="s">
        <v>2776</v>
      </c>
      <c r="F117" s="5674" t="s">
        <v>54</v>
      </c>
      <c r="G117" s="5674" t="s">
        <v>28</v>
      </c>
      <c r="H117" s="5674" t="s">
        <v>28</v>
      </c>
      <c r="I117" s="5674" t="s">
        <v>924</v>
      </c>
    </row>
    <row customHeight="1" ht="11.25">
      <c r="A118" s="5674" t="s">
        <v>2369</v>
      </c>
      <c r="B118" s="5674" t="s">
        <v>16</v>
      </c>
      <c r="C118" s="5674" t="s">
        <v>2777</v>
      </c>
      <c r="D118" s="5674" t="s">
        <v>2778</v>
      </c>
      <c r="E118" s="5674" t="s">
        <v>2779</v>
      </c>
      <c r="F118" s="5674" t="s">
        <v>2413</v>
      </c>
      <c r="G118" s="5674" t="s">
        <v>28</v>
      </c>
      <c r="H118" s="5674" t="s">
        <v>28</v>
      </c>
      <c r="I118" s="5674" t="s">
        <v>924</v>
      </c>
    </row>
    <row customHeight="1" ht="11.25">
      <c r="A119" s="5674" t="s">
        <v>2369</v>
      </c>
      <c r="B119" s="5674" t="s">
        <v>16</v>
      </c>
      <c r="C119" s="5674" t="s">
        <v>2780</v>
      </c>
      <c r="D119" s="5674" t="s">
        <v>2781</v>
      </c>
      <c r="E119" s="5674" t="s">
        <v>2782</v>
      </c>
      <c r="F119" s="5674" t="s">
        <v>2413</v>
      </c>
      <c r="G119" s="5674" t="s">
        <v>28</v>
      </c>
      <c r="H119" s="5674" t="s">
        <v>28</v>
      </c>
      <c r="I119" s="5674" t="s">
        <v>924</v>
      </c>
    </row>
    <row customHeight="1" ht="11.25">
      <c r="A120" s="5674" t="s">
        <v>2369</v>
      </c>
      <c r="B120" s="5674" t="s">
        <v>16</v>
      </c>
      <c r="C120" s="5674" t="s">
        <v>2783</v>
      </c>
      <c r="D120" s="5674" t="s">
        <v>2784</v>
      </c>
      <c r="E120" s="5674" t="s">
        <v>2785</v>
      </c>
      <c r="F120" s="5674" t="s">
        <v>2573</v>
      </c>
      <c r="G120" s="5674" t="s">
        <v>28</v>
      </c>
      <c r="H120" s="5674" t="s">
        <v>28</v>
      </c>
      <c r="I120" s="5674" t="s">
        <v>924</v>
      </c>
    </row>
    <row customHeight="1" ht="11.25">
      <c r="A121" s="5674" t="s">
        <v>2369</v>
      </c>
      <c r="B121" s="5674" t="s">
        <v>16</v>
      </c>
      <c r="C121" s="5674" t="s">
        <v>2786</v>
      </c>
      <c r="D121" s="5674" t="s">
        <v>2787</v>
      </c>
      <c r="E121" s="5674" t="s">
        <v>2788</v>
      </c>
      <c r="F121" s="5674" t="s">
        <v>2789</v>
      </c>
      <c r="G121" s="5674" t="s">
        <v>28</v>
      </c>
      <c r="H121" s="5674" t="s">
        <v>28</v>
      </c>
      <c r="I121" s="5674" t="s">
        <v>924</v>
      </c>
    </row>
    <row customHeight="1" ht="11.25">
      <c r="A122" s="5674" t="s">
        <v>2369</v>
      </c>
      <c r="B122" s="5674" t="s">
        <v>16</v>
      </c>
      <c r="C122" s="5674" t="s">
        <v>2790</v>
      </c>
      <c r="D122" s="5674" t="s">
        <v>2791</v>
      </c>
      <c r="E122" s="5674" t="s">
        <v>2792</v>
      </c>
      <c r="F122" s="5674" t="s">
        <v>2793</v>
      </c>
      <c r="G122" s="5674" t="s">
        <v>28</v>
      </c>
      <c r="H122" s="5674" t="s">
        <v>28</v>
      </c>
      <c r="I122" s="5674" t="s">
        <v>924</v>
      </c>
    </row>
    <row customHeight="1" ht="11.25">
      <c r="A123" s="5674" t="s">
        <v>2369</v>
      </c>
      <c r="B123" s="5674" t="s">
        <v>16</v>
      </c>
      <c r="C123" s="5674" t="s">
        <v>2794</v>
      </c>
      <c r="D123" s="5674" t="s">
        <v>2795</v>
      </c>
      <c r="E123" s="5674" t="s">
        <v>2796</v>
      </c>
      <c r="F123" s="5674" t="s">
        <v>2401</v>
      </c>
      <c r="G123" s="5674" t="s">
        <v>28</v>
      </c>
      <c r="H123" s="5674" t="s">
        <v>28</v>
      </c>
      <c r="I123" s="5674" t="s">
        <v>924</v>
      </c>
    </row>
    <row customHeight="1" ht="11.25">
      <c r="A124" s="5674" t="s">
        <v>2369</v>
      </c>
      <c r="B124" s="5674" t="s">
        <v>16</v>
      </c>
      <c r="C124" s="5674" t="s">
        <v>2797</v>
      </c>
      <c r="D124" s="5674" t="s">
        <v>2798</v>
      </c>
      <c r="E124" s="5674" t="s">
        <v>2799</v>
      </c>
      <c r="F124" s="5674" t="s">
        <v>2405</v>
      </c>
      <c r="G124" s="5674" t="s">
        <v>28</v>
      </c>
      <c r="H124" s="5674" t="s">
        <v>28</v>
      </c>
      <c r="I124" s="5674" t="s">
        <v>924</v>
      </c>
    </row>
    <row customHeight="1" ht="11.25">
      <c r="A125" s="5674" t="s">
        <v>2369</v>
      </c>
      <c r="B125" s="5674" t="s">
        <v>16</v>
      </c>
      <c r="C125" s="5674" t="s">
        <v>28</v>
      </c>
      <c r="D125" s="5674" t="s">
        <v>2370</v>
      </c>
      <c r="E125" s="5674" t="s">
        <v>2371</v>
      </c>
      <c r="F125" s="5674" t="s">
        <v>2372</v>
      </c>
      <c r="G125" s="5674" t="s">
        <v>28</v>
      </c>
      <c r="H125" s="5674" t="s">
        <v>28</v>
      </c>
      <c r="I125" s="5674" t="s">
        <v>1010</v>
      </c>
    </row>
    <row customHeight="1" ht="11.25">
      <c r="A126" s="5674" t="s">
        <v>2369</v>
      </c>
      <c r="B126" s="5674" t="s">
        <v>16</v>
      </c>
      <c r="C126" s="5674" t="s">
        <v>2381</v>
      </c>
      <c r="D126" s="5674" t="s">
        <v>2382</v>
      </c>
      <c r="E126" s="5674" t="s">
        <v>2383</v>
      </c>
      <c r="F126" s="5674" t="s">
        <v>2384</v>
      </c>
      <c r="G126" s="5674" t="s">
        <v>28</v>
      </c>
      <c r="H126" s="5674" t="s">
        <v>28</v>
      </c>
      <c r="I126" s="5674" t="s">
        <v>1010</v>
      </c>
    </row>
    <row customHeight="1" ht="11.25">
      <c r="A127" s="5674" t="s">
        <v>2369</v>
      </c>
      <c r="B127" s="5674" t="s">
        <v>16</v>
      </c>
      <c r="C127" s="5674" t="s">
        <v>2385</v>
      </c>
      <c r="D127" s="5674" t="s">
        <v>2386</v>
      </c>
      <c r="E127" s="5674" t="s">
        <v>2387</v>
      </c>
      <c r="F127" s="5674" t="s">
        <v>2388</v>
      </c>
      <c r="G127" s="5674" t="s">
        <v>28</v>
      </c>
      <c r="H127" s="5674" t="s">
        <v>28</v>
      </c>
      <c r="I127" s="5674" t="s">
        <v>1010</v>
      </c>
    </row>
    <row customHeight="1" ht="11.25">
      <c r="A128" s="5674" t="s">
        <v>2369</v>
      </c>
      <c r="B128" s="5674" t="s">
        <v>16</v>
      </c>
      <c r="C128" s="5674" t="s">
        <v>2392</v>
      </c>
      <c r="D128" s="5674" t="s">
        <v>2393</v>
      </c>
      <c r="E128" s="5674" t="s">
        <v>2387</v>
      </c>
      <c r="F128" s="5674" t="s">
        <v>2394</v>
      </c>
      <c r="G128" s="5674" t="s">
        <v>28</v>
      </c>
      <c r="H128" s="5674" t="s">
        <v>28</v>
      </c>
      <c r="I128" s="5674" t="s">
        <v>1010</v>
      </c>
    </row>
    <row customHeight="1" ht="11.25">
      <c r="A129" s="5674" t="s">
        <v>2369</v>
      </c>
      <c r="B129" s="5674" t="s">
        <v>16</v>
      </c>
      <c r="C129" s="5674" t="s">
        <v>2395</v>
      </c>
      <c r="D129" s="5674" t="s">
        <v>2396</v>
      </c>
      <c r="E129" s="5674" t="s">
        <v>2387</v>
      </c>
      <c r="F129" s="5674" t="s">
        <v>2397</v>
      </c>
      <c r="G129" s="5674" t="s">
        <v>28</v>
      </c>
      <c r="H129" s="5674" t="s">
        <v>28</v>
      </c>
      <c r="I129" s="5674" t="s">
        <v>1010</v>
      </c>
    </row>
    <row customHeight="1" ht="11.25">
      <c r="A130" s="5674" t="s">
        <v>2369</v>
      </c>
      <c r="B130" s="5674" t="s">
        <v>16</v>
      </c>
      <c r="C130" s="5674" t="s">
        <v>2402</v>
      </c>
      <c r="D130" s="5674" t="s">
        <v>2403</v>
      </c>
      <c r="E130" s="5674" t="s">
        <v>2404</v>
      </c>
      <c r="F130" s="5674" t="s">
        <v>2405</v>
      </c>
      <c r="G130" s="5674" t="s">
        <v>28</v>
      </c>
      <c r="H130" s="5674" t="s">
        <v>28</v>
      </c>
      <c r="I130" s="5674" t="s">
        <v>1010</v>
      </c>
    </row>
    <row customHeight="1" ht="11.25">
      <c r="A131" s="5674" t="s">
        <v>2369</v>
      </c>
      <c r="B131" s="5674" t="s">
        <v>16</v>
      </c>
      <c r="C131" s="5674" t="s">
        <v>2414</v>
      </c>
      <c r="D131" s="5674" t="s">
        <v>2415</v>
      </c>
      <c r="E131" s="5674" t="s">
        <v>2416</v>
      </c>
      <c r="F131" s="5674" t="s">
        <v>2417</v>
      </c>
      <c r="G131" s="5674" t="s">
        <v>2418</v>
      </c>
      <c r="H131" s="5674" t="s">
        <v>28</v>
      </c>
      <c r="I131" s="5674" t="s">
        <v>1010</v>
      </c>
    </row>
    <row customHeight="1" ht="11.25">
      <c r="A132" s="5674" t="s">
        <v>2369</v>
      </c>
      <c r="B132" s="5674" t="s">
        <v>16</v>
      </c>
      <c r="C132" s="5674" t="s">
        <v>2431</v>
      </c>
      <c r="D132" s="5674" t="s">
        <v>2432</v>
      </c>
      <c r="E132" s="5674" t="s">
        <v>2433</v>
      </c>
      <c r="F132" s="5674" t="s">
        <v>2434</v>
      </c>
      <c r="G132" s="5674" t="s">
        <v>2435</v>
      </c>
      <c r="H132" s="5674" t="s">
        <v>28</v>
      </c>
      <c r="I132" s="5674" t="s">
        <v>1010</v>
      </c>
    </row>
    <row customHeight="1" ht="11.25">
      <c r="A133" s="5674" t="s">
        <v>2369</v>
      </c>
      <c r="B133" s="5674" t="s">
        <v>16</v>
      </c>
      <c r="C133" s="5674" t="s">
        <v>2436</v>
      </c>
      <c r="D133" s="5674" t="s">
        <v>2437</v>
      </c>
      <c r="E133" s="5674" t="s">
        <v>2438</v>
      </c>
      <c r="F133" s="5674" t="s">
        <v>2401</v>
      </c>
      <c r="G133" s="5674" t="s">
        <v>28</v>
      </c>
      <c r="H133" s="5674" t="s">
        <v>28</v>
      </c>
      <c r="I133" s="5674" t="s">
        <v>1010</v>
      </c>
    </row>
    <row customHeight="1" ht="11.25">
      <c r="A134" s="5674" t="s">
        <v>2369</v>
      </c>
      <c r="B134" s="5674" t="s">
        <v>16</v>
      </c>
      <c r="C134" s="5674" t="s">
        <v>2443</v>
      </c>
      <c r="D134" s="5674" t="s">
        <v>2444</v>
      </c>
      <c r="E134" s="5674" t="s">
        <v>2445</v>
      </c>
      <c r="F134" s="5674" t="s">
        <v>2413</v>
      </c>
      <c r="G134" s="5674" t="s">
        <v>2446</v>
      </c>
      <c r="H134" s="5674" t="s">
        <v>28</v>
      </c>
      <c r="I134" s="5674" t="s">
        <v>1010</v>
      </c>
    </row>
    <row customHeight="1" ht="11.25">
      <c r="A135" s="5674" t="s">
        <v>2369</v>
      </c>
      <c r="B135" s="5674" t="s">
        <v>16</v>
      </c>
      <c r="C135" s="5674" t="s">
        <v>2455</v>
      </c>
      <c r="D135" s="5674" t="s">
        <v>2456</v>
      </c>
      <c r="E135" s="5674" t="s">
        <v>2457</v>
      </c>
      <c r="F135" s="5674" t="s">
        <v>2458</v>
      </c>
      <c r="G135" s="5674" t="s">
        <v>28</v>
      </c>
      <c r="H135" s="5674" t="s">
        <v>28</v>
      </c>
      <c r="I135" s="5674" t="s">
        <v>1010</v>
      </c>
    </row>
    <row customHeight="1" ht="11.25">
      <c r="A136" s="5674" t="s">
        <v>2369</v>
      </c>
      <c r="B136" s="5674" t="s">
        <v>16</v>
      </c>
      <c r="C136" s="5674" t="s">
        <v>2473</v>
      </c>
      <c r="D136" s="5674" t="s">
        <v>2474</v>
      </c>
      <c r="E136" s="5674" t="s">
        <v>2471</v>
      </c>
      <c r="F136" s="5674" t="s">
        <v>2475</v>
      </c>
      <c r="G136" s="5674" t="s">
        <v>28</v>
      </c>
      <c r="H136" s="5674" t="s">
        <v>28</v>
      </c>
      <c r="I136" s="5674" t="s">
        <v>1010</v>
      </c>
    </row>
    <row customHeight="1" ht="11.25">
      <c r="A137" s="5674" t="s">
        <v>2369</v>
      </c>
      <c r="B137" s="5674" t="s">
        <v>16</v>
      </c>
      <c r="C137" s="5674" t="s">
        <v>2800</v>
      </c>
      <c r="D137" s="5674" t="s">
        <v>49</v>
      </c>
      <c r="E137" s="5674" t="s">
        <v>52</v>
      </c>
      <c r="F137" s="5674" t="s">
        <v>2801</v>
      </c>
      <c r="G137" s="5674" t="s">
        <v>28</v>
      </c>
      <c r="H137" s="5674" t="s">
        <v>28</v>
      </c>
      <c r="I137" s="5674" t="s">
        <v>1010</v>
      </c>
    </row>
    <row customHeight="1" ht="11.25">
      <c r="A138" s="5674" t="s">
        <v>2369</v>
      </c>
      <c r="B138" s="5674" t="s">
        <v>16</v>
      </c>
      <c r="C138" s="5674" t="s">
        <v>2802</v>
      </c>
      <c r="D138" s="5674" t="s">
        <v>49</v>
      </c>
      <c r="E138" s="5674" t="s">
        <v>52</v>
      </c>
      <c r="F138" s="5674" t="s">
        <v>2803</v>
      </c>
      <c r="G138" s="5674" t="s">
        <v>28</v>
      </c>
      <c r="H138" s="5674" t="s">
        <v>28</v>
      </c>
      <c r="I138" s="5674" t="s">
        <v>1010</v>
      </c>
    </row>
    <row customHeight="1" ht="11.25">
      <c r="A139" s="5674" t="s">
        <v>2369</v>
      </c>
      <c r="B139" s="5674" t="s">
        <v>16</v>
      </c>
      <c r="C139" s="5674" t="s">
        <v>2804</v>
      </c>
      <c r="D139" s="5674" t="s">
        <v>49</v>
      </c>
      <c r="E139" s="5674" t="s">
        <v>52</v>
      </c>
      <c r="F139" s="5674" t="s">
        <v>2805</v>
      </c>
      <c r="G139" s="5674" t="s">
        <v>28</v>
      </c>
      <c r="H139" s="5674" t="s">
        <v>28</v>
      </c>
      <c r="I139" s="5674" t="s">
        <v>1010</v>
      </c>
    </row>
    <row customHeight="1" ht="11.25">
      <c r="A140" s="5674" t="s">
        <v>2369</v>
      </c>
      <c r="B140" s="5674" t="s">
        <v>16</v>
      </c>
      <c r="C140" s="5674" t="s">
        <v>2806</v>
      </c>
      <c r="D140" s="5674" t="s">
        <v>49</v>
      </c>
      <c r="E140" s="5674" t="s">
        <v>52</v>
      </c>
      <c r="F140" s="5674" t="s">
        <v>2807</v>
      </c>
      <c r="G140" s="5674" t="s">
        <v>28</v>
      </c>
      <c r="H140" s="5674" t="s">
        <v>28</v>
      </c>
      <c r="I140" s="5674" t="s">
        <v>1010</v>
      </c>
    </row>
    <row customHeight="1" ht="11.25">
      <c r="A141" s="5674" t="s">
        <v>2369</v>
      </c>
      <c r="B141" s="5674" t="s">
        <v>16</v>
      </c>
      <c r="C141" s="5674" t="s">
        <v>2808</v>
      </c>
      <c r="D141" s="5674" t="s">
        <v>49</v>
      </c>
      <c r="E141" s="5674" t="s">
        <v>52</v>
      </c>
      <c r="F141" s="5674" t="s">
        <v>2809</v>
      </c>
      <c r="G141" s="5674" t="s">
        <v>28</v>
      </c>
      <c r="H141" s="5674" t="s">
        <v>28</v>
      </c>
      <c r="I141" s="5674" t="s">
        <v>1010</v>
      </c>
    </row>
    <row customHeight="1" ht="11.25">
      <c r="A142" s="5674" t="s">
        <v>2369</v>
      </c>
      <c r="B142" s="5674" t="s">
        <v>16</v>
      </c>
      <c r="C142" s="5674" t="s">
        <v>2810</v>
      </c>
      <c r="D142" s="5674" t="s">
        <v>49</v>
      </c>
      <c r="E142" s="5674" t="s">
        <v>52</v>
      </c>
      <c r="F142" s="5674" t="s">
        <v>2811</v>
      </c>
      <c r="G142" s="5674" t="s">
        <v>28</v>
      </c>
      <c r="H142" s="5674" t="s">
        <v>28</v>
      </c>
      <c r="I142" s="5674" t="s">
        <v>1010</v>
      </c>
    </row>
    <row customHeight="1" ht="11.25">
      <c r="A143" s="5674" t="s">
        <v>2369</v>
      </c>
      <c r="B143" s="5674" t="s">
        <v>16</v>
      </c>
      <c r="C143" s="5674" t="s">
        <v>2812</v>
      </c>
      <c r="D143" s="5674" t="s">
        <v>49</v>
      </c>
      <c r="E143" s="5674" t="s">
        <v>52</v>
      </c>
      <c r="F143" s="5674" t="s">
        <v>2813</v>
      </c>
      <c r="G143" s="5674" t="s">
        <v>28</v>
      </c>
      <c r="H143" s="5674" t="s">
        <v>28</v>
      </c>
      <c r="I143" s="5674" t="s">
        <v>1010</v>
      </c>
    </row>
    <row customHeight="1" ht="11.25">
      <c r="A144" s="5674" t="s">
        <v>2369</v>
      </c>
      <c r="B144" s="5674" t="s">
        <v>16</v>
      </c>
      <c r="C144" s="5674" t="s">
        <v>2814</v>
      </c>
      <c r="D144" s="5674" t="s">
        <v>49</v>
      </c>
      <c r="E144" s="5674" t="s">
        <v>52</v>
      </c>
      <c r="F144" s="5674" t="s">
        <v>2815</v>
      </c>
      <c r="G144" s="5674" t="s">
        <v>28</v>
      </c>
      <c r="H144" s="5674" t="s">
        <v>28</v>
      </c>
      <c r="I144" s="5674" t="s">
        <v>1010</v>
      </c>
    </row>
    <row customHeight="1" ht="11.25">
      <c r="A145" s="5674" t="s">
        <v>2369</v>
      </c>
      <c r="B145" s="5674" t="s">
        <v>16</v>
      </c>
      <c r="C145" s="5674" t="s">
        <v>13</v>
      </c>
      <c r="D145" s="5674" t="s">
        <v>49</v>
      </c>
      <c r="E145" s="5674" t="s">
        <v>52</v>
      </c>
      <c r="F145" s="5674" t="s">
        <v>54</v>
      </c>
      <c r="G145" s="5674" t="s">
        <v>28</v>
      </c>
      <c r="H145" s="5674" t="s">
        <v>28</v>
      </c>
      <c r="I145" s="5674" t="s">
        <v>1010</v>
      </c>
    </row>
    <row customHeight="1" ht="11.25">
      <c r="A146" s="5674" t="s">
        <v>2369</v>
      </c>
      <c r="B146" s="5674" t="s">
        <v>16</v>
      </c>
      <c r="C146" s="5674" t="s">
        <v>2816</v>
      </c>
      <c r="D146" s="5674" t="s">
        <v>2817</v>
      </c>
      <c r="E146" s="5674" t="s">
        <v>52</v>
      </c>
      <c r="F146" s="5674" t="s">
        <v>2818</v>
      </c>
      <c r="G146" s="5674" t="s">
        <v>28</v>
      </c>
      <c r="H146" s="5674" t="s">
        <v>28</v>
      </c>
      <c r="I146" s="5674" t="s">
        <v>1010</v>
      </c>
    </row>
    <row customHeight="1" ht="11.25">
      <c r="A147" s="5674" t="s">
        <v>2369</v>
      </c>
      <c r="B147" s="5674" t="s">
        <v>16</v>
      </c>
      <c r="C147" s="5674" t="s">
        <v>2526</v>
      </c>
      <c r="D147" s="5674" t="s">
        <v>2527</v>
      </c>
      <c r="E147" s="5674" t="s">
        <v>2528</v>
      </c>
      <c r="F147" s="5674" t="s">
        <v>2401</v>
      </c>
      <c r="G147" s="5674" t="s">
        <v>28</v>
      </c>
      <c r="H147" s="5674" t="s">
        <v>28</v>
      </c>
      <c r="I147" s="5674" t="s">
        <v>1010</v>
      </c>
    </row>
    <row customHeight="1" ht="11.25">
      <c r="A148" s="5674" t="s">
        <v>2369</v>
      </c>
      <c r="B148" s="5674" t="s">
        <v>16</v>
      </c>
      <c r="C148" s="5674" t="s">
        <v>2533</v>
      </c>
      <c r="D148" s="5674" t="s">
        <v>2534</v>
      </c>
      <c r="E148" s="5674" t="s">
        <v>2535</v>
      </c>
      <c r="F148" s="5674" t="s">
        <v>2409</v>
      </c>
      <c r="G148" s="5674" t="s">
        <v>28</v>
      </c>
      <c r="H148" s="5674" t="s">
        <v>28</v>
      </c>
      <c r="I148" s="5674" t="s">
        <v>1010</v>
      </c>
    </row>
    <row customHeight="1" ht="11.25">
      <c r="A149" s="5674" t="s">
        <v>2369</v>
      </c>
      <c r="B149" s="5674" t="s">
        <v>16</v>
      </c>
      <c r="C149" s="5674" t="s">
        <v>2553</v>
      </c>
      <c r="D149" s="5674" t="s">
        <v>2554</v>
      </c>
      <c r="E149" s="5674" t="s">
        <v>2555</v>
      </c>
      <c r="F149" s="5674" t="s">
        <v>54</v>
      </c>
      <c r="G149" s="5674" t="s">
        <v>28</v>
      </c>
      <c r="H149" s="5674" t="s">
        <v>28</v>
      </c>
      <c r="I149" s="5674" t="s">
        <v>1010</v>
      </c>
    </row>
    <row customHeight="1" ht="11.25">
      <c r="A150" s="5674" t="s">
        <v>2369</v>
      </c>
      <c r="B150" s="5674" t="s">
        <v>16</v>
      </c>
      <c r="C150" s="5674" t="s">
        <v>2577</v>
      </c>
      <c r="D150" s="5674" t="s">
        <v>2578</v>
      </c>
      <c r="E150" s="5674" t="s">
        <v>2579</v>
      </c>
      <c r="F150" s="5674" t="s">
        <v>2413</v>
      </c>
      <c r="G150" s="5674" t="s">
        <v>28</v>
      </c>
      <c r="H150" s="5674" t="s">
        <v>2580</v>
      </c>
      <c r="I150" s="5674" t="s">
        <v>1010</v>
      </c>
    </row>
    <row customHeight="1" ht="11.25">
      <c r="A151" s="5674" t="s">
        <v>2369</v>
      </c>
      <c r="B151" s="5674" t="s">
        <v>16</v>
      </c>
      <c r="C151" s="5674" t="s">
        <v>2581</v>
      </c>
      <c r="D151" s="5674" t="s">
        <v>2582</v>
      </c>
      <c r="E151" s="5674" t="s">
        <v>2471</v>
      </c>
      <c r="F151" s="5674" t="s">
        <v>2583</v>
      </c>
      <c r="G151" s="5674" t="s">
        <v>28</v>
      </c>
      <c r="H151" s="5674" t="s">
        <v>28</v>
      </c>
      <c r="I151" s="5674" t="s">
        <v>1010</v>
      </c>
    </row>
    <row customHeight="1" ht="11.25">
      <c r="A152" s="5674" t="s">
        <v>2369</v>
      </c>
      <c r="B152" s="5674" t="s">
        <v>16</v>
      </c>
      <c r="C152" s="5674" t="s">
        <v>2629</v>
      </c>
      <c r="D152" s="5674" t="s">
        <v>2630</v>
      </c>
      <c r="E152" s="5674" t="s">
        <v>2631</v>
      </c>
      <c r="F152" s="5674" t="s">
        <v>2632</v>
      </c>
      <c r="G152" s="5674" t="s">
        <v>2633</v>
      </c>
      <c r="H152" s="5674" t="s">
        <v>28</v>
      </c>
      <c r="I152" s="5674" t="s">
        <v>1010</v>
      </c>
    </row>
    <row customHeight="1" ht="11.25">
      <c r="A153" s="5674" t="s">
        <v>2369</v>
      </c>
      <c r="B153" s="5674" t="s">
        <v>16</v>
      </c>
      <c r="C153" s="5674" t="s">
        <v>2640</v>
      </c>
      <c r="D153" s="5674" t="s">
        <v>2641</v>
      </c>
      <c r="E153" s="5674" t="s">
        <v>2642</v>
      </c>
      <c r="F153" s="5674" t="s">
        <v>2643</v>
      </c>
      <c r="G153" s="5674" t="s">
        <v>28</v>
      </c>
      <c r="H153" s="5674" t="s">
        <v>28</v>
      </c>
      <c r="I153" s="5674" t="s">
        <v>1010</v>
      </c>
    </row>
    <row customHeight="1" ht="11.25">
      <c r="A154" s="5674" t="s">
        <v>2369</v>
      </c>
      <c r="B154" s="5674" t="s">
        <v>16</v>
      </c>
      <c r="C154" s="5674" t="s">
        <v>2687</v>
      </c>
      <c r="D154" s="5674" t="s">
        <v>2688</v>
      </c>
      <c r="E154" s="5674" t="s">
        <v>2689</v>
      </c>
      <c r="F154" s="5674" t="s">
        <v>2690</v>
      </c>
      <c r="G154" s="5674" t="s">
        <v>28</v>
      </c>
      <c r="H154" s="5674" t="s">
        <v>28</v>
      </c>
      <c r="I154" s="5674" t="s">
        <v>1010</v>
      </c>
    </row>
    <row customHeight="1" ht="11.25">
      <c r="A155" s="5674" t="s">
        <v>2369</v>
      </c>
      <c r="B155" s="5674" t="s">
        <v>16</v>
      </c>
      <c r="C155" s="5674" t="s">
        <v>2738</v>
      </c>
      <c r="D155" s="5674" t="s">
        <v>2739</v>
      </c>
      <c r="E155" s="5674" t="s">
        <v>2740</v>
      </c>
      <c r="F155" s="5674" t="s">
        <v>2372</v>
      </c>
      <c r="G155" s="5674" t="s">
        <v>28</v>
      </c>
      <c r="H155" s="5674" t="s">
        <v>28</v>
      </c>
      <c r="I155" s="5674" t="s">
        <v>1010</v>
      </c>
    </row>
    <row customHeight="1" ht="11.25">
      <c r="A156" s="5674" t="s">
        <v>2369</v>
      </c>
      <c r="B156" s="5674" t="s">
        <v>16</v>
      </c>
      <c r="C156" s="5674" t="s">
        <v>2744</v>
      </c>
      <c r="D156" s="5674" t="s">
        <v>2745</v>
      </c>
      <c r="E156" s="5674" t="s">
        <v>2746</v>
      </c>
      <c r="F156" s="5674" t="s">
        <v>2573</v>
      </c>
      <c r="G156" s="5674" t="s">
        <v>28</v>
      </c>
      <c r="H156" s="5674" t="s">
        <v>28</v>
      </c>
      <c r="I156" s="5674" t="s">
        <v>1010</v>
      </c>
    </row>
    <row customHeight="1" ht="11.25">
      <c r="A157" s="5674" t="s">
        <v>2369</v>
      </c>
      <c r="B157" s="5674" t="s">
        <v>16</v>
      </c>
      <c r="C157" s="5674" t="s">
        <v>2747</v>
      </c>
      <c r="D157" s="5674" t="s">
        <v>2748</v>
      </c>
      <c r="E157" s="5674" t="s">
        <v>2749</v>
      </c>
      <c r="F157" s="5674" t="s">
        <v>2750</v>
      </c>
      <c r="G157" s="5674" t="s">
        <v>2751</v>
      </c>
      <c r="H157" s="5674" t="s">
        <v>28</v>
      </c>
      <c r="I157" s="5674" t="s">
        <v>1010</v>
      </c>
    </row>
    <row customHeight="1" ht="11.25">
      <c r="A158" s="5674" t="s">
        <v>2369</v>
      </c>
      <c r="B158" s="5674" t="s">
        <v>16</v>
      </c>
      <c r="C158" s="5674" t="s">
        <v>2783</v>
      </c>
      <c r="D158" s="5674" t="s">
        <v>2784</v>
      </c>
      <c r="E158" s="5674" t="s">
        <v>2785</v>
      </c>
      <c r="F158" s="5674" t="s">
        <v>2573</v>
      </c>
      <c r="G158" s="5674" t="s">
        <v>28</v>
      </c>
      <c r="H158" s="5674" t="s">
        <v>28</v>
      </c>
      <c r="I158" s="5674" t="s">
        <v>1010</v>
      </c>
    </row>
    <row customHeight="1" ht="11.25">
      <c r="A159" s="5674" t="s">
        <v>2369</v>
      </c>
      <c r="B159" s="5674" t="s">
        <v>16</v>
      </c>
      <c r="C159" s="5674" t="s">
        <v>2794</v>
      </c>
      <c r="D159" s="5674" t="s">
        <v>2795</v>
      </c>
      <c r="E159" s="5674" t="s">
        <v>2796</v>
      </c>
      <c r="F159" s="5674" t="s">
        <v>2401</v>
      </c>
      <c r="G159" s="5674" t="s">
        <v>28</v>
      </c>
      <c r="H159" s="5674" t="s">
        <v>28</v>
      </c>
      <c r="I159" s="5674" t="s">
        <v>1010</v>
      </c>
    </row>
    <row customHeight="1" ht="11.25">
      <c r="A160" s="5674" t="s">
        <v>2369</v>
      </c>
      <c r="B160" s="5674" t="s">
        <v>16</v>
      </c>
      <c r="C160" s="5674" t="s">
        <v>28</v>
      </c>
      <c r="D160" s="5674" t="s">
        <v>2370</v>
      </c>
      <c r="E160" s="5674" t="s">
        <v>2371</v>
      </c>
      <c r="F160" s="5674" t="s">
        <v>2372</v>
      </c>
      <c r="G160" s="5674" t="s">
        <v>28</v>
      </c>
      <c r="H160" s="5674" t="s">
        <v>28</v>
      </c>
      <c r="I160" s="5674" t="s">
        <v>970</v>
      </c>
    </row>
    <row customHeight="1" ht="11.25">
      <c r="A161" s="5674" t="s">
        <v>2369</v>
      </c>
      <c r="B161" s="5674" t="s">
        <v>16</v>
      </c>
      <c r="C161" s="5674" t="s">
        <v>2373</v>
      </c>
      <c r="D161" s="5674" t="s">
        <v>2374</v>
      </c>
      <c r="E161" s="5674" t="s">
        <v>2375</v>
      </c>
      <c r="F161" s="5674" t="s">
        <v>2376</v>
      </c>
      <c r="G161" s="5674" t="s">
        <v>28</v>
      </c>
      <c r="H161" s="5674" t="s">
        <v>28</v>
      </c>
      <c r="I161" s="5674" t="s">
        <v>970</v>
      </c>
    </row>
    <row customHeight="1" ht="11.25">
      <c r="A162" s="5674" t="s">
        <v>2369</v>
      </c>
      <c r="B162" s="5674" t="s">
        <v>16</v>
      </c>
      <c r="C162" s="5674" t="s">
        <v>2381</v>
      </c>
      <c r="D162" s="5674" t="s">
        <v>2382</v>
      </c>
      <c r="E162" s="5674" t="s">
        <v>2383</v>
      </c>
      <c r="F162" s="5674" t="s">
        <v>2384</v>
      </c>
      <c r="G162" s="5674" t="s">
        <v>28</v>
      </c>
      <c r="H162" s="5674" t="s">
        <v>28</v>
      </c>
      <c r="I162" s="5674" t="s">
        <v>970</v>
      </c>
    </row>
    <row customHeight="1" ht="11.25">
      <c r="A163" s="5674" t="s">
        <v>2369</v>
      </c>
      <c r="B163" s="5674" t="s">
        <v>16</v>
      </c>
      <c r="C163" s="5674" t="s">
        <v>2385</v>
      </c>
      <c r="D163" s="5674" t="s">
        <v>2386</v>
      </c>
      <c r="E163" s="5674" t="s">
        <v>2387</v>
      </c>
      <c r="F163" s="5674" t="s">
        <v>2388</v>
      </c>
      <c r="G163" s="5674" t="s">
        <v>28</v>
      </c>
      <c r="H163" s="5674" t="s">
        <v>28</v>
      </c>
      <c r="I163" s="5674" t="s">
        <v>970</v>
      </c>
    </row>
    <row customHeight="1" ht="11.25">
      <c r="A164" s="5674" t="s">
        <v>2369</v>
      </c>
      <c r="B164" s="5674" t="s">
        <v>16</v>
      </c>
      <c r="C164" s="5674" t="s">
        <v>2389</v>
      </c>
      <c r="D164" s="5674" t="s">
        <v>2386</v>
      </c>
      <c r="E164" s="5674" t="s">
        <v>2387</v>
      </c>
      <c r="F164" s="5674" t="s">
        <v>2390</v>
      </c>
      <c r="G164" s="5674" t="s">
        <v>2391</v>
      </c>
      <c r="H164" s="5674" t="s">
        <v>28</v>
      </c>
      <c r="I164" s="5674" t="s">
        <v>970</v>
      </c>
    </row>
    <row customHeight="1" ht="11.25">
      <c r="A165" s="5674" t="s">
        <v>2369</v>
      </c>
      <c r="B165" s="5674" t="s">
        <v>16</v>
      </c>
      <c r="C165" s="5674" t="s">
        <v>2395</v>
      </c>
      <c r="D165" s="5674" t="s">
        <v>2396</v>
      </c>
      <c r="E165" s="5674" t="s">
        <v>2387</v>
      </c>
      <c r="F165" s="5674" t="s">
        <v>2397</v>
      </c>
      <c r="G165" s="5674" t="s">
        <v>28</v>
      </c>
      <c r="H165" s="5674" t="s">
        <v>28</v>
      </c>
      <c r="I165" s="5674" t="s">
        <v>970</v>
      </c>
    </row>
    <row customHeight="1" ht="11.25">
      <c r="A166" s="5674" t="s">
        <v>2369</v>
      </c>
      <c r="B166" s="5674" t="s">
        <v>16</v>
      </c>
      <c r="C166" s="5674" t="s">
        <v>2398</v>
      </c>
      <c r="D166" s="5674" t="s">
        <v>2399</v>
      </c>
      <c r="E166" s="5674" t="s">
        <v>2400</v>
      </c>
      <c r="F166" s="5674" t="s">
        <v>2401</v>
      </c>
      <c r="G166" s="5674" t="s">
        <v>28</v>
      </c>
      <c r="H166" s="5674" t="s">
        <v>28</v>
      </c>
      <c r="I166" s="5674" t="s">
        <v>970</v>
      </c>
    </row>
    <row customHeight="1" ht="11.25">
      <c r="A167" s="5674" t="s">
        <v>2369</v>
      </c>
      <c r="B167" s="5674" t="s">
        <v>16</v>
      </c>
      <c r="C167" s="5674" t="s">
        <v>2410</v>
      </c>
      <c r="D167" s="5674" t="s">
        <v>2411</v>
      </c>
      <c r="E167" s="5674" t="s">
        <v>2412</v>
      </c>
      <c r="F167" s="5674" t="s">
        <v>2413</v>
      </c>
      <c r="G167" s="5674" t="s">
        <v>28</v>
      </c>
      <c r="H167" s="5674" t="s">
        <v>28</v>
      </c>
      <c r="I167" s="5674" t="s">
        <v>970</v>
      </c>
    </row>
    <row customHeight="1" ht="11.25">
      <c r="A168" s="5674" t="s">
        <v>2369</v>
      </c>
      <c r="B168" s="5674" t="s">
        <v>16</v>
      </c>
      <c r="C168" s="5674" t="s">
        <v>2819</v>
      </c>
      <c r="D168" s="5674" t="s">
        <v>2820</v>
      </c>
      <c r="E168" s="5674" t="s">
        <v>2821</v>
      </c>
      <c r="F168" s="5674" t="s">
        <v>2615</v>
      </c>
      <c r="G168" s="5674" t="s">
        <v>2822</v>
      </c>
      <c r="H168" s="5674" t="s">
        <v>28</v>
      </c>
      <c r="I168" s="5674" t="s">
        <v>970</v>
      </c>
    </row>
    <row customHeight="1" ht="11.25">
      <c r="A169" s="5674" t="s">
        <v>2369</v>
      </c>
      <c r="B169" s="5674" t="s">
        <v>16</v>
      </c>
      <c r="C169" s="5674" t="s">
        <v>2419</v>
      </c>
      <c r="D169" s="5674" t="s">
        <v>2420</v>
      </c>
      <c r="E169" s="5674" t="s">
        <v>2421</v>
      </c>
      <c r="F169" s="5674" t="s">
        <v>2380</v>
      </c>
      <c r="G169" s="5674" t="s">
        <v>28</v>
      </c>
      <c r="H169" s="5674" t="s">
        <v>28</v>
      </c>
      <c r="I169" s="5674" t="s">
        <v>970</v>
      </c>
    </row>
    <row customHeight="1" ht="11.25">
      <c r="A170" s="5674" t="s">
        <v>2369</v>
      </c>
      <c r="B170" s="5674" t="s">
        <v>16</v>
      </c>
      <c r="C170" s="5674" t="s">
        <v>2823</v>
      </c>
      <c r="D170" s="5674" t="s">
        <v>2824</v>
      </c>
      <c r="E170" s="5674" t="s">
        <v>2825</v>
      </c>
      <c r="F170" s="5674" t="s">
        <v>2401</v>
      </c>
      <c r="G170" s="5674" t="s">
        <v>2826</v>
      </c>
      <c r="H170" s="5674" t="s">
        <v>28</v>
      </c>
      <c r="I170" s="5674" t="s">
        <v>970</v>
      </c>
    </row>
    <row customHeight="1" ht="11.25">
      <c r="A171" s="5674" t="s">
        <v>2369</v>
      </c>
      <c r="B171" s="5674" t="s">
        <v>16</v>
      </c>
      <c r="C171" s="5674" t="s">
        <v>2431</v>
      </c>
      <c r="D171" s="5674" t="s">
        <v>2432</v>
      </c>
      <c r="E171" s="5674" t="s">
        <v>2433</v>
      </c>
      <c r="F171" s="5674" t="s">
        <v>2434</v>
      </c>
      <c r="G171" s="5674" t="s">
        <v>2435</v>
      </c>
      <c r="H171" s="5674" t="s">
        <v>28</v>
      </c>
      <c r="I171" s="5674" t="s">
        <v>970</v>
      </c>
    </row>
    <row customHeight="1" ht="11.25">
      <c r="A172" s="5674" t="s">
        <v>2369</v>
      </c>
      <c r="B172" s="5674" t="s">
        <v>16</v>
      </c>
      <c r="C172" s="5674" t="s">
        <v>2827</v>
      </c>
      <c r="D172" s="5674" t="s">
        <v>2828</v>
      </c>
      <c r="E172" s="5674" t="s">
        <v>2829</v>
      </c>
      <c r="F172" s="5674" t="s">
        <v>2380</v>
      </c>
      <c r="G172" s="5674" t="s">
        <v>28</v>
      </c>
      <c r="H172" s="5674" t="s">
        <v>28</v>
      </c>
      <c r="I172" s="5674" t="s">
        <v>970</v>
      </c>
    </row>
    <row customHeight="1" ht="11.25">
      <c r="A173" s="5674" t="s">
        <v>2369</v>
      </c>
      <c r="B173" s="5674" t="s">
        <v>16</v>
      </c>
      <c r="C173" s="5674" t="s">
        <v>2439</v>
      </c>
      <c r="D173" s="5674" t="s">
        <v>2440</v>
      </c>
      <c r="E173" s="5674" t="s">
        <v>2441</v>
      </c>
      <c r="F173" s="5674" t="s">
        <v>2442</v>
      </c>
      <c r="G173" s="5674" t="s">
        <v>28</v>
      </c>
      <c r="H173" s="5674" t="s">
        <v>28</v>
      </c>
      <c r="I173" s="5674" t="s">
        <v>970</v>
      </c>
    </row>
    <row customHeight="1" ht="11.25">
      <c r="A174" s="5674" t="s">
        <v>2369</v>
      </c>
      <c r="B174" s="5674" t="s">
        <v>16</v>
      </c>
      <c r="C174" s="5674" t="s">
        <v>2830</v>
      </c>
      <c r="D174" s="5674" t="s">
        <v>2831</v>
      </c>
      <c r="E174" s="5674" t="s">
        <v>2832</v>
      </c>
      <c r="F174" s="5674" t="s">
        <v>2793</v>
      </c>
      <c r="G174" s="5674" t="s">
        <v>2833</v>
      </c>
      <c r="H174" s="5674" t="s">
        <v>28</v>
      </c>
      <c r="I174" s="5674" t="s">
        <v>970</v>
      </c>
    </row>
    <row customHeight="1" ht="11.25">
      <c r="A175" s="5674" t="s">
        <v>2369</v>
      </c>
      <c r="B175" s="5674" t="s">
        <v>16</v>
      </c>
      <c r="C175" s="5674" t="s">
        <v>2451</v>
      </c>
      <c r="D175" s="5674" t="s">
        <v>2452</v>
      </c>
      <c r="E175" s="5674" t="s">
        <v>2453</v>
      </c>
      <c r="F175" s="5674" t="s">
        <v>2372</v>
      </c>
      <c r="G175" s="5674" t="s">
        <v>2454</v>
      </c>
      <c r="H175" s="5674" t="s">
        <v>28</v>
      </c>
      <c r="I175" s="5674" t="s">
        <v>970</v>
      </c>
    </row>
    <row customHeight="1" ht="11.25">
      <c r="A176" s="5674" t="s">
        <v>2369</v>
      </c>
      <c r="B176" s="5674" t="s">
        <v>16</v>
      </c>
      <c r="C176" s="5674" t="s">
        <v>2834</v>
      </c>
      <c r="D176" s="5674" t="s">
        <v>2835</v>
      </c>
      <c r="E176" s="5674" t="s">
        <v>2836</v>
      </c>
      <c r="F176" s="5674" t="s">
        <v>2837</v>
      </c>
      <c r="G176" s="5674" t="s">
        <v>28</v>
      </c>
      <c r="H176" s="5674" t="s">
        <v>28</v>
      </c>
      <c r="I176" s="5674" t="s">
        <v>970</v>
      </c>
    </row>
    <row customHeight="1" ht="11.25">
      <c r="A177" s="5674" t="s">
        <v>2369</v>
      </c>
      <c r="B177" s="5674" t="s">
        <v>16</v>
      </c>
      <c r="C177" s="5674" t="s">
        <v>2473</v>
      </c>
      <c r="D177" s="5674" t="s">
        <v>2474</v>
      </c>
      <c r="E177" s="5674" t="s">
        <v>2471</v>
      </c>
      <c r="F177" s="5674" t="s">
        <v>2475</v>
      </c>
      <c r="G177" s="5674" t="s">
        <v>28</v>
      </c>
      <c r="H177" s="5674" t="s">
        <v>28</v>
      </c>
      <c r="I177" s="5674" t="s">
        <v>970</v>
      </c>
    </row>
    <row customHeight="1" ht="11.25">
      <c r="A178" s="5674" t="s">
        <v>2369</v>
      </c>
      <c r="B178" s="5674" t="s">
        <v>16</v>
      </c>
      <c r="C178" s="5674" t="s">
        <v>2838</v>
      </c>
      <c r="D178" s="5674" t="s">
        <v>2839</v>
      </c>
      <c r="E178" s="5674" t="s">
        <v>2840</v>
      </c>
      <c r="F178" s="5674" t="s">
        <v>2508</v>
      </c>
      <c r="G178" s="5674" t="s">
        <v>28</v>
      </c>
      <c r="H178" s="5674" t="s">
        <v>28</v>
      </c>
      <c r="I178" s="5674" t="s">
        <v>970</v>
      </c>
    </row>
    <row customHeight="1" ht="11.25">
      <c r="A179" s="5674" t="s">
        <v>2369</v>
      </c>
      <c r="B179" s="5674" t="s">
        <v>16</v>
      </c>
      <c r="C179" s="5674" t="s">
        <v>2484</v>
      </c>
      <c r="D179" s="5674" t="s">
        <v>2485</v>
      </c>
      <c r="E179" s="5674" t="s">
        <v>2486</v>
      </c>
      <c r="F179" s="5674" t="s">
        <v>2425</v>
      </c>
      <c r="G179" s="5674" t="s">
        <v>28</v>
      </c>
      <c r="H179" s="5674" t="s">
        <v>28</v>
      </c>
      <c r="I179" s="5674" t="s">
        <v>970</v>
      </c>
    </row>
    <row customHeight="1" ht="11.25">
      <c r="A180" s="5674" t="s">
        <v>2369</v>
      </c>
      <c r="B180" s="5674" t="s">
        <v>16</v>
      </c>
      <c r="C180" s="5674" t="s">
        <v>2841</v>
      </c>
      <c r="D180" s="5674" t="s">
        <v>2842</v>
      </c>
      <c r="E180" s="5674" t="s">
        <v>2843</v>
      </c>
      <c r="F180" s="5674" t="s">
        <v>692</v>
      </c>
      <c r="G180" s="5674" t="s">
        <v>28</v>
      </c>
      <c r="H180" s="5674" t="s">
        <v>28</v>
      </c>
      <c r="I180" s="5674" t="s">
        <v>970</v>
      </c>
    </row>
    <row customHeight="1" ht="11.25">
      <c r="A181" s="5674" t="s">
        <v>2369</v>
      </c>
      <c r="B181" s="5674" t="s">
        <v>16</v>
      </c>
      <c r="C181" s="5674" t="s">
        <v>2844</v>
      </c>
      <c r="D181" s="5674" t="s">
        <v>2845</v>
      </c>
      <c r="E181" s="5674" t="s">
        <v>2846</v>
      </c>
      <c r="F181" s="5674" t="s">
        <v>692</v>
      </c>
      <c r="G181" s="5674" t="s">
        <v>28</v>
      </c>
      <c r="H181" s="5674" t="s">
        <v>28</v>
      </c>
      <c r="I181" s="5674" t="s">
        <v>970</v>
      </c>
    </row>
    <row customHeight="1" ht="11.25">
      <c r="A182" s="5674" t="s">
        <v>2369</v>
      </c>
      <c r="B182" s="5674" t="s">
        <v>16</v>
      </c>
      <c r="C182" s="5674" t="s">
        <v>2847</v>
      </c>
      <c r="D182" s="5674" t="s">
        <v>2848</v>
      </c>
      <c r="E182" s="5674" t="s">
        <v>2849</v>
      </c>
      <c r="F182" s="5674" t="s">
        <v>692</v>
      </c>
      <c r="G182" s="5674" t="s">
        <v>28</v>
      </c>
      <c r="H182" s="5674" t="s">
        <v>28</v>
      </c>
      <c r="I182" s="5674" t="s">
        <v>970</v>
      </c>
    </row>
    <row customHeight="1" ht="11.25">
      <c r="A183" s="5674" t="s">
        <v>2369</v>
      </c>
      <c r="B183" s="5674" t="s">
        <v>16</v>
      </c>
      <c r="C183" s="5674" t="s">
        <v>2509</v>
      </c>
      <c r="D183" s="5674" t="s">
        <v>2510</v>
      </c>
      <c r="E183" s="5674" t="s">
        <v>2511</v>
      </c>
      <c r="F183" s="5674" t="s">
        <v>2479</v>
      </c>
      <c r="G183" s="5674" t="s">
        <v>28</v>
      </c>
      <c r="H183" s="5674" t="s">
        <v>28</v>
      </c>
      <c r="I183" s="5674" t="s">
        <v>970</v>
      </c>
    </row>
    <row customHeight="1" ht="11.25">
      <c r="A184" s="5674" t="s">
        <v>2369</v>
      </c>
      <c r="B184" s="5674" t="s">
        <v>16</v>
      </c>
      <c r="C184" s="5674" t="s">
        <v>2850</v>
      </c>
      <c r="D184" s="5674" t="s">
        <v>49</v>
      </c>
      <c r="E184" s="5674" t="s">
        <v>52</v>
      </c>
      <c r="F184" s="5674" t="s">
        <v>2851</v>
      </c>
      <c r="G184" s="5674" t="s">
        <v>28</v>
      </c>
      <c r="H184" s="5674" t="s">
        <v>28</v>
      </c>
      <c r="I184" s="5674" t="s">
        <v>970</v>
      </c>
    </row>
    <row customHeight="1" ht="11.25">
      <c r="A185" s="5674" t="s">
        <v>2369</v>
      </c>
      <c r="B185" s="5674" t="s">
        <v>16</v>
      </c>
      <c r="C185" s="5674" t="s">
        <v>2800</v>
      </c>
      <c r="D185" s="5674" t="s">
        <v>49</v>
      </c>
      <c r="E185" s="5674" t="s">
        <v>52</v>
      </c>
      <c r="F185" s="5674" t="s">
        <v>2801</v>
      </c>
      <c r="G185" s="5674" t="s">
        <v>28</v>
      </c>
      <c r="H185" s="5674" t="s">
        <v>28</v>
      </c>
      <c r="I185" s="5674" t="s">
        <v>970</v>
      </c>
    </row>
    <row customHeight="1" ht="11.25">
      <c r="A186" s="5674" t="s">
        <v>2369</v>
      </c>
      <c r="B186" s="5674" t="s">
        <v>16</v>
      </c>
      <c r="C186" s="5674" t="s">
        <v>2802</v>
      </c>
      <c r="D186" s="5674" t="s">
        <v>49</v>
      </c>
      <c r="E186" s="5674" t="s">
        <v>52</v>
      </c>
      <c r="F186" s="5674" t="s">
        <v>2803</v>
      </c>
      <c r="G186" s="5674" t="s">
        <v>28</v>
      </c>
      <c r="H186" s="5674" t="s">
        <v>28</v>
      </c>
      <c r="I186" s="5674" t="s">
        <v>970</v>
      </c>
    </row>
    <row customHeight="1" ht="11.25">
      <c r="A187" s="5674" t="s">
        <v>2369</v>
      </c>
      <c r="B187" s="5674" t="s">
        <v>16</v>
      </c>
      <c r="C187" s="5674" t="s">
        <v>2804</v>
      </c>
      <c r="D187" s="5674" t="s">
        <v>49</v>
      </c>
      <c r="E187" s="5674" t="s">
        <v>52</v>
      </c>
      <c r="F187" s="5674" t="s">
        <v>2805</v>
      </c>
      <c r="G187" s="5674" t="s">
        <v>28</v>
      </c>
      <c r="H187" s="5674" t="s">
        <v>28</v>
      </c>
      <c r="I187" s="5674" t="s">
        <v>970</v>
      </c>
    </row>
    <row customHeight="1" ht="11.25">
      <c r="A188" s="5674" t="s">
        <v>2369</v>
      </c>
      <c r="B188" s="5674" t="s">
        <v>16</v>
      </c>
      <c r="C188" s="5674" t="s">
        <v>2852</v>
      </c>
      <c r="D188" s="5674" t="s">
        <v>49</v>
      </c>
      <c r="E188" s="5674" t="s">
        <v>52</v>
      </c>
      <c r="F188" s="5674" t="s">
        <v>2853</v>
      </c>
      <c r="G188" s="5674" t="s">
        <v>28</v>
      </c>
      <c r="H188" s="5674" t="s">
        <v>28</v>
      </c>
      <c r="I188" s="5674" t="s">
        <v>970</v>
      </c>
    </row>
    <row customHeight="1" ht="11.25">
      <c r="A189" s="5674" t="s">
        <v>2369</v>
      </c>
      <c r="B189" s="5674" t="s">
        <v>16</v>
      </c>
      <c r="C189" s="5674" t="s">
        <v>2806</v>
      </c>
      <c r="D189" s="5674" t="s">
        <v>49</v>
      </c>
      <c r="E189" s="5674" t="s">
        <v>52</v>
      </c>
      <c r="F189" s="5674" t="s">
        <v>2807</v>
      </c>
      <c r="G189" s="5674" t="s">
        <v>28</v>
      </c>
      <c r="H189" s="5674" t="s">
        <v>28</v>
      </c>
      <c r="I189" s="5674" t="s">
        <v>970</v>
      </c>
    </row>
    <row customHeight="1" ht="11.25">
      <c r="A190" s="5674" t="s">
        <v>2369</v>
      </c>
      <c r="B190" s="5674" t="s">
        <v>16</v>
      </c>
      <c r="C190" s="5674" t="s">
        <v>2808</v>
      </c>
      <c r="D190" s="5674" t="s">
        <v>49</v>
      </c>
      <c r="E190" s="5674" t="s">
        <v>52</v>
      </c>
      <c r="F190" s="5674" t="s">
        <v>2809</v>
      </c>
      <c r="G190" s="5674" t="s">
        <v>28</v>
      </c>
      <c r="H190" s="5674" t="s">
        <v>28</v>
      </c>
      <c r="I190" s="5674" t="s">
        <v>970</v>
      </c>
    </row>
    <row customHeight="1" ht="11.25">
      <c r="A191" s="5674" t="s">
        <v>2369</v>
      </c>
      <c r="B191" s="5674" t="s">
        <v>16</v>
      </c>
      <c r="C191" s="5674" t="s">
        <v>2810</v>
      </c>
      <c r="D191" s="5674" t="s">
        <v>49</v>
      </c>
      <c r="E191" s="5674" t="s">
        <v>52</v>
      </c>
      <c r="F191" s="5674" t="s">
        <v>2811</v>
      </c>
      <c r="G191" s="5674" t="s">
        <v>28</v>
      </c>
      <c r="H191" s="5674" t="s">
        <v>28</v>
      </c>
      <c r="I191" s="5674" t="s">
        <v>970</v>
      </c>
    </row>
    <row customHeight="1" ht="11.25">
      <c r="A192" s="5674" t="s">
        <v>2369</v>
      </c>
      <c r="B192" s="5674" t="s">
        <v>16</v>
      </c>
      <c r="C192" s="5674" t="s">
        <v>2812</v>
      </c>
      <c r="D192" s="5674" t="s">
        <v>49</v>
      </c>
      <c r="E192" s="5674" t="s">
        <v>52</v>
      </c>
      <c r="F192" s="5674" t="s">
        <v>2813</v>
      </c>
      <c r="G192" s="5674" t="s">
        <v>28</v>
      </c>
      <c r="H192" s="5674" t="s">
        <v>28</v>
      </c>
      <c r="I192" s="5674" t="s">
        <v>970</v>
      </c>
    </row>
    <row customHeight="1" ht="11.25">
      <c r="A193" s="5674" t="s">
        <v>2369</v>
      </c>
      <c r="B193" s="5674" t="s">
        <v>16</v>
      </c>
      <c r="C193" s="5674" t="s">
        <v>2814</v>
      </c>
      <c r="D193" s="5674" t="s">
        <v>49</v>
      </c>
      <c r="E193" s="5674" t="s">
        <v>52</v>
      </c>
      <c r="F193" s="5674" t="s">
        <v>2815</v>
      </c>
      <c r="G193" s="5674" t="s">
        <v>28</v>
      </c>
      <c r="H193" s="5674" t="s">
        <v>28</v>
      </c>
      <c r="I193" s="5674" t="s">
        <v>970</v>
      </c>
    </row>
    <row customHeight="1" ht="11.25">
      <c r="A194" s="5674" t="s">
        <v>2369</v>
      </c>
      <c r="B194" s="5674" t="s">
        <v>16</v>
      </c>
      <c r="C194" s="5674" t="s">
        <v>13</v>
      </c>
      <c r="D194" s="5674" t="s">
        <v>49</v>
      </c>
      <c r="E194" s="5674" t="s">
        <v>52</v>
      </c>
      <c r="F194" s="5674" t="s">
        <v>54</v>
      </c>
      <c r="G194" s="5674" t="s">
        <v>28</v>
      </c>
      <c r="H194" s="5674" t="s">
        <v>28</v>
      </c>
      <c r="I194" s="5674" t="s">
        <v>970</v>
      </c>
    </row>
    <row customHeight="1" ht="11.25">
      <c r="A195" s="5674" t="s">
        <v>2369</v>
      </c>
      <c r="B195" s="5674" t="s">
        <v>16</v>
      </c>
      <c r="C195" s="5674" t="s">
        <v>2854</v>
      </c>
      <c r="D195" s="5674" t="s">
        <v>2855</v>
      </c>
      <c r="E195" s="5674" t="s">
        <v>2856</v>
      </c>
      <c r="F195" s="5674" t="s">
        <v>2401</v>
      </c>
      <c r="G195" s="5674" t="s">
        <v>28</v>
      </c>
      <c r="H195" s="5674" t="s">
        <v>28</v>
      </c>
      <c r="I195" s="5674" t="s">
        <v>970</v>
      </c>
    </row>
    <row customHeight="1" ht="11.25">
      <c r="A196" s="5674" t="s">
        <v>2369</v>
      </c>
      <c r="B196" s="5674" t="s">
        <v>16</v>
      </c>
      <c r="C196" s="5674" t="s">
        <v>2857</v>
      </c>
      <c r="D196" s="5674" t="s">
        <v>2855</v>
      </c>
      <c r="E196" s="5674" t="s">
        <v>2856</v>
      </c>
      <c r="F196" s="5674" t="s">
        <v>2858</v>
      </c>
      <c r="G196" s="5674" t="s">
        <v>28</v>
      </c>
      <c r="H196" s="5674" t="s">
        <v>28</v>
      </c>
      <c r="I196" s="5674" t="s">
        <v>970</v>
      </c>
    </row>
    <row customHeight="1" ht="11.25">
      <c r="A197" s="5674" t="s">
        <v>2369</v>
      </c>
      <c r="B197" s="5674" t="s">
        <v>16</v>
      </c>
      <c r="C197" s="5674" t="s">
        <v>2859</v>
      </c>
      <c r="D197" s="5674" t="s">
        <v>2817</v>
      </c>
      <c r="E197" s="5674" t="s">
        <v>52</v>
      </c>
      <c r="F197" s="5674" t="s">
        <v>2860</v>
      </c>
      <c r="G197" s="5674" t="s">
        <v>28</v>
      </c>
      <c r="H197" s="5674" t="s">
        <v>28</v>
      </c>
      <c r="I197" s="5674" t="s">
        <v>970</v>
      </c>
    </row>
    <row customHeight="1" ht="11.25">
      <c r="A198" s="5674" t="s">
        <v>2369</v>
      </c>
      <c r="B198" s="5674" t="s">
        <v>16</v>
      </c>
      <c r="C198" s="5674" t="s">
        <v>2816</v>
      </c>
      <c r="D198" s="5674" t="s">
        <v>2817</v>
      </c>
      <c r="E198" s="5674" t="s">
        <v>52</v>
      </c>
      <c r="F198" s="5674" t="s">
        <v>2818</v>
      </c>
      <c r="G198" s="5674" t="s">
        <v>28</v>
      </c>
      <c r="H198" s="5674" t="s">
        <v>28</v>
      </c>
      <c r="I198" s="5674" t="s">
        <v>970</v>
      </c>
    </row>
    <row customHeight="1" ht="11.25">
      <c r="A199" s="5674" t="s">
        <v>2369</v>
      </c>
      <c r="B199" s="5674" t="s">
        <v>16</v>
      </c>
      <c r="C199" s="5674" t="s">
        <v>2861</v>
      </c>
      <c r="D199" s="5674" t="s">
        <v>2862</v>
      </c>
      <c r="E199" s="5674" t="s">
        <v>2863</v>
      </c>
      <c r="F199" s="5674" t="s">
        <v>2413</v>
      </c>
      <c r="G199" s="5674" t="s">
        <v>28</v>
      </c>
      <c r="H199" s="5674" t="s">
        <v>28</v>
      </c>
      <c r="I199" s="5674" t="s">
        <v>970</v>
      </c>
    </row>
    <row customHeight="1" ht="11.25">
      <c r="A200" s="5674" t="s">
        <v>2369</v>
      </c>
      <c r="B200" s="5674" t="s">
        <v>16</v>
      </c>
      <c r="C200" s="5674" t="s">
        <v>2864</v>
      </c>
      <c r="D200" s="5674" t="s">
        <v>2865</v>
      </c>
      <c r="E200" s="5674" t="s">
        <v>2866</v>
      </c>
      <c r="F200" s="5674" t="s">
        <v>2602</v>
      </c>
      <c r="G200" s="5674" t="s">
        <v>28</v>
      </c>
      <c r="H200" s="5674" t="s">
        <v>28</v>
      </c>
      <c r="I200" s="5674" t="s">
        <v>970</v>
      </c>
    </row>
    <row customHeight="1" ht="11.25">
      <c r="A201" s="5674" t="s">
        <v>2369</v>
      </c>
      <c r="B201" s="5674" t="s">
        <v>16</v>
      </c>
      <c r="C201" s="5674" t="s">
        <v>2867</v>
      </c>
      <c r="D201" s="5674" t="s">
        <v>2868</v>
      </c>
      <c r="E201" s="5674" t="s">
        <v>2869</v>
      </c>
      <c r="F201" s="5674" t="s">
        <v>2711</v>
      </c>
      <c r="G201" s="5674" t="s">
        <v>28</v>
      </c>
      <c r="H201" s="5674" t="s">
        <v>28</v>
      </c>
      <c r="I201" s="5674" t="s">
        <v>970</v>
      </c>
    </row>
    <row customHeight="1" ht="11.25">
      <c r="A202" s="5674" t="s">
        <v>2369</v>
      </c>
      <c r="B202" s="5674" t="s">
        <v>16</v>
      </c>
      <c r="C202" s="5674" t="s">
        <v>2870</v>
      </c>
      <c r="D202" s="5674" t="s">
        <v>2871</v>
      </c>
      <c r="E202" s="5674" t="s">
        <v>2872</v>
      </c>
      <c r="F202" s="5674" t="s">
        <v>2434</v>
      </c>
      <c r="G202" s="5674" t="s">
        <v>28</v>
      </c>
      <c r="H202" s="5674" t="s">
        <v>28</v>
      </c>
      <c r="I202" s="5674" t="s">
        <v>970</v>
      </c>
    </row>
    <row customHeight="1" ht="11.25">
      <c r="A203" s="5674" t="s">
        <v>2369</v>
      </c>
      <c r="B203" s="5674" t="s">
        <v>16</v>
      </c>
      <c r="C203" s="5674" t="s">
        <v>2873</v>
      </c>
      <c r="D203" s="5674" t="s">
        <v>2874</v>
      </c>
      <c r="E203" s="5674" t="s">
        <v>2875</v>
      </c>
      <c r="F203" s="5674" t="s">
        <v>2525</v>
      </c>
      <c r="G203" s="5674" t="s">
        <v>28</v>
      </c>
      <c r="H203" s="5674" t="s">
        <v>28</v>
      </c>
      <c r="I203" s="5674" t="s">
        <v>970</v>
      </c>
    </row>
    <row customHeight="1" ht="11.25">
      <c r="A204" s="5674" t="s">
        <v>2369</v>
      </c>
      <c r="B204" s="5674" t="s">
        <v>16</v>
      </c>
      <c r="C204" s="5674" t="s">
        <v>2876</v>
      </c>
      <c r="D204" s="5674" t="s">
        <v>2877</v>
      </c>
      <c r="E204" s="5674" t="s">
        <v>2878</v>
      </c>
      <c r="F204" s="5674" t="s">
        <v>2879</v>
      </c>
      <c r="G204" s="5674" t="s">
        <v>28</v>
      </c>
      <c r="H204" s="5674" t="s">
        <v>28</v>
      </c>
      <c r="I204" s="5674" t="s">
        <v>970</v>
      </c>
    </row>
    <row customHeight="1" ht="11.25">
      <c r="A205" s="5674" t="s">
        <v>2369</v>
      </c>
      <c r="B205" s="5674" t="s">
        <v>16</v>
      </c>
      <c r="C205" s="5674" t="s">
        <v>2880</v>
      </c>
      <c r="D205" s="5674" t="s">
        <v>2881</v>
      </c>
      <c r="E205" s="5674" t="s">
        <v>2882</v>
      </c>
      <c r="F205" s="5674" t="s">
        <v>2434</v>
      </c>
      <c r="G205" s="5674" t="s">
        <v>28</v>
      </c>
      <c r="H205" s="5674" t="s">
        <v>28</v>
      </c>
      <c r="I205" s="5674" t="s">
        <v>970</v>
      </c>
    </row>
    <row customHeight="1" ht="11.25">
      <c r="A206" s="5674" t="s">
        <v>2369</v>
      </c>
      <c r="B206" s="5674" t="s">
        <v>16</v>
      </c>
      <c r="C206" s="5674" t="s">
        <v>2522</v>
      </c>
      <c r="D206" s="5674" t="s">
        <v>2523</v>
      </c>
      <c r="E206" s="5674" t="s">
        <v>2524</v>
      </c>
      <c r="F206" s="5674" t="s">
        <v>2525</v>
      </c>
      <c r="G206" s="5674" t="s">
        <v>28</v>
      </c>
      <c r="H206" s="5674" t="s">
        <v>28</v>
      </c>
      <c r="I206" s="5674" t="s">
        <v>970</v>
      </c>
    </row>
    <row customHeight="1" ht="11.25">
      <c r="A207" s="5674" t="s">
        <v>2369</v>
      </c>
      <c r="B207" s="5674" t="s">
        <v>16</v>
      </c>
      <c r="C207" s="5674" t="s">
        <v>2883</v>
      </c>
      <c r="D207" s="5674" t="s">
        <v>2884</v>
      </c>
      <c r="E207" s="5674" t="s">
        <v>2885</v>
      </c>
      <c r="F207" s="5674" t="s">
        <v>2542</v>
      </c>
      <c r="G207" s="5674" t="s">
        <v>2886</v>
      </c>
      <c r="H207" s="5674" t="s">
        <v>28</v>
      </c>
      <c r="I207" s="5674" t="s">
        <v>970</v>
      </c>
    </row>
    <row customHeight="1" ht="11.25">
      <c r="A208" s="5674" t="s">
        <v>2369</v>
      </c>
      <c r="B208" s="5674" t="s">
        <v>16</v>
      </c>
      <c r="C208" s="5674" t="s">
        <v>2887</v>
      </c>
      <c r="D208" s="5674" t="s">
        <v>2888</v>
      </c>
      <c r="E208" s="5674" t="s">
        <v>2889</v>
      </c>
      <c r="F208" s="5674" t="s">
        <v>2890</v>
      </c>
      <c r="G208" s="5674" t="s">
        <v>28</v>
      </c>
      <c r="H208" s="5674" t="s">
        <v>28</v>
      </c>
      <c r="I208" s="5674" t="s">
        <v>970</v>
      </c>
    </row>
    <row customHeight="1" ht="11.25">
      <c r="A209" s="5674" t="s">
        <v>2369</v>
      </c>
      <c r="B209" s="5674" t="s">
        <v>16</v>
      </c>
      <c r="C209" s="5674" t="s">
        <v>2891</v>
      </c>
      <c r="D209" s="5674" t="s">
        <v>2892</v>
      </c>
      <c r="E209" s="5674" t="s">
        <v>2893</v>
      </c>
      <c r="F209" s="5674" t="s">
        <v>2542</v>
      </c>
      <c r="G209" s="5674" t="s">
        <v>28</v>
      </c>
      <c r="H209" s="5674" t="s">
        <v>2894</v>
      </c>
      <c r="I209" s="5674" t="s">
        <v>970</v>
      </c>
    </row>
    <row customHeight="1" ht="11.25">
      <c r="A210" s="5674" t="s">
        <v>2369</v>
      </c>
      <c r="B210" s="5674" t="s">
        <v>16</v>
      </c>
      <c r="C210" s="5674" t="s">
        <v>2895</v>
      </c>
      <c r="D210" s="5674" t="s">
        <v>2896</v>
      </c>
      <c r="E210" s="5674" t="s">
        <v>2897</v>
      </c>
      <c r="F210" s="5674" t="s">
        <v>2413</v>
      </c>
      <c r="G210" s="5674" t="s">
        <v>2898</v>
      </c>
      <c r="H210" s="5674" t="s">
        <v>28</v>
      </c>
      <c r="I210" s="5674" t="s">
        <v>970</v>
      </c>
    </row>
    <row customHeight="1" ht="11.25">
      <c r="A211" s="5674" t="s">
        <v>2369</v>
      </c>
      <c r="B211" s="5674" t="s">
        <v>16</v>
      </c>
      <c r="C211" s="5674" t="s">
        <v>2899</v>
      </c>
      <c r="D211" s="5674" t="s">
        <v>2900</v>
      </c>
      <c r="E211" s="5674" t="s">
        <v>2901</v>
      </c>
      <c r="F211" s="5674" t="s">
        <v>2413</v>
      </c>
      <c r="G211" s="5674" t="s">
        <v>2902</v>
      </c>
      <c r="H211" s="5674" t="s">
        <v>28</v>
      </c>
      <c r="I211" s="5674" t="s">
        <v>970</v>
      </c>
    </row>
    <row customHeight="1" ht="11.25">
      <c r="A212" s="5674" t="s">
        <v>2369</v>
      </c>
      <c r="B212" s="5674" t="s">
        <v>16</v>
      </c>
      <c r="C212" s="5674" t="s">
        <v>2529</v>
      </c>
      <c r="D212" s="5674" t="s">
        <v>2530</v>
      </c>
      <c r="E212" s="5674" t="s">
        <v>2531</v>
      </c>
      <c r="F212" s="5674" t="s">
        <v>2532</v>
      </c>
      <c r="G212" s="5674" t="s">
        <v>28</v>
      </c>
      <c r="H212" s="5674" t="s">
        <v>28</v>
      </c>
      <c r="I212" s="5674" t="s">
        <v>970</v>
      </c>
    </row>
    <row customHeight="1" ht="11.25">
      <c r="A213" s="5674" t="s">
        <v>2369</v>
      </c>
      <c r="B213" s="5674" t="s">
        <v>16</v>
      </c>
      <c r="C213" s="5674" t="s">
        <v>2533</v>
      </c>
      <c r="D213" s="5674" t="s">
        <v>2534</v>
      </c>
      <c r="E213" s="5674" t="s">
        <v>2535</v>
      </c>
      <c r="F213" s="5674" t="s">
        <v>2409</v>
      </c>
      <c r="G213" s="5674" t="s">
        <v>28</v>
      </c>
      <c r="H213" s="5674" t="s">
        <v>28</v>
      </c>
      <c r="I213" s="5674" t="s">
        <v>970</v>
      </c>
    </row>
    <row customHeight="1" ht="11.25">
      <c r="A214" s="5674" t="s">
        <v>2369</v>
      </c>
      <c r="B214" s="5674" t="s">
        <v>16</v>
      </c>
      <c r="C214" s="5674" t="s">
        <v>2536</v>
      </c>
      <c r="D214" s="5674" t="s">
        <v>2537</v>
      </c>
      <c r="E214" s="5674" t="s">
        <v>2538</v>
      </c>
      <c r="F214" s="5674" t="s">
        <v>2409</v>
      </c>
      <c r="G214" s="5674" t="s">
        <v>28</v>
      </c>
      <c r="H214" s="5674" t="s">
        <v>28</v>
      </c>
      <c r="I214" s="5674" t="s">
        <v>970</v>
      </c>
    </row>
    <row customHeight="1" ht="11.25">
      <c r="A215" s="5674" t="s">
        <v>2369</v>
      </c>
      <c r="B215" s="5674" t="s">
        <v>16</v>
      </c>
      <c r="C215" s="5674" t="s">
        <v>2539</v>
      </c>
      <c r="D215" s="5674" t="s">
        <v>2540</v>
      </c>
      <c r="E215" s="5674" t="s">
        <v>2541</v>
      </c>
      <c r="F215" s="5674" t="s">
        <v>2542</v>
      </c>
      <c r="G215" s="5674" t="s">
        <v>28</v>
      </c>
      <c r="H215" s="5674" t="s">
        <v>28</v>
      </c>
      <c r="I215" s="5674" t="s">
        <v>970</v>
      </c>
    </row>
    <row customHeight="1" ht="11.25">
      <c r="A216" s="5674" t="s">
        <v>2369</v>
      </c>
      <c r="B216" s="5674" t="s">
        <v>16</v>
      </c>
      <c r="C216" s="5674" t="s">
        <v>2903</v>
      </c>
      <c r="D216" s="5674" t="s">
        <v>2904</v>
      </c>
      <c r="E216" s="5674" t="s">
        <v>2905</v>
      </c>
      <c r="F216" s="5674" t="s">
        <v>2479</v>
      </c>
      <c r="G216" s="5674" t="s">
        <v>28</v>
      </c>
      <c r="H216" s="5674" t="s">
        <v>28</v>
      </c>
      <c r="I216" s="5674" t="s">
        <v>970</v>
      </c>
    </row>
    <row customHeight="1" ht="11.25">
      <c r="A217" s="5674" t="s">
        <v>2369</v>
      </c>
      <c r="B217" s="5674" t="s">
        <v>16</v>
      </c>
      <c r="C217" s="5674" t="s">
        <v>2906</v>
      </c>
      <c r="D217" s="5674" t="s">
        <v>2907</v>
      </c>
      <c r="E217" s="5674" t="s">
        <v>2908</v>
      </c>
      <c r="F217" s="5674" t="s">
        <v>2442</v>
      </c>
      <c r="G217" s="5674" t="s">
        <v>2909</v>
      </c>
      <c r="H217" s="5674" t="s">
        <v>28</v>
      </c>
      <c r="I217" s="5674" t="s">
        <v>970</v>
      </c>
    </row>
    <row customHeight="1" ht="11.25">
      <c r="A218" s="5674" t="s">
        <v>2369</v>
      </c>
      <c r="B218" s="5674" t="s">
        <v>16</v>
      </c>
      <c r="C218" s="5674" t="s">
        <v>2910</v>
      </c>
      <c r="D218" s="5674" t="s">
        <v>2911</v>
      </c>
      <c r="E218" s="5674" t="s">
        <v>2912</v>
      </c>
      <c r="F218" s="5674" t="s">
        <v>2500</v>
      </c>
      <c r="G218" s="5674" t="s">
        <v>2913</v>
      </c>
      <c r="H218" s="5674" t="s">
        <v>28</v>
      </c>
      <c r="I218" s="5674" t="s">
        <v>970</v>
      </c>
    </row>
    <row customHeight="1" ht="11.25">
      <c r="A219" s="5674" t="s">
        <v>2369</v>
      </c>
      <c r="B219" s="5674" t="s">
        <v>16</v>
      </c>
      <c r="C219" s="5674" t="s">
        <v>2543</v>
      </c>
      <c r="D219" s="5674" t="s">
        <v>2544</v>
      </c>
      <c r="E219" s="5674" t="s">
        <v>2545</v>
      </c>
      <c r="F219" s="5674" t="s">
        <v>2413</v>
      </c>
      <c r="G219" s="5674" t="s">
        <v>28</v>
      </c>
      <c r="H219" s="5674" t="s">
        <v>28</v>
      </c>
      <c r="I219" s="5674" t="s">
        <v>970</v>
      </c>
    </row>
    <row customHeight="1" ht="11.25">
      <c r="A220" s="5674" t="s">
        <v>2369</v>
      </c>
      <c r="B220" s="5674" t="s">
        <v>16</v>
      </c>
      <c r="C220" s="5674" t="s">
        <v>2914</v>
      </c>
      <c r="D220" s="5674" t="s">
        <v>2915</v>
      </c>
      <c r="E220" s="5674" t="s">
        <v>2916</v>
      </c>
      <c r="F220" s="5674" t="s">
        <v>2879</v>
      </c>
      <c r="G220" s="5674" t="s">
        <v>28</v>
      </c>
      <c r="H220" s="5674" t="s">
        <v>28</v>
      </c>
      <c r="I220" s="5674" t="s">
        <v>970</v>
      </c>
    </row>
    <row customHeight="1" ht="11.25">
      <c r="A221" s="5674" t="s">
        <v>2369</v>
      </c>
      <c r="B221" s="5674" t="s">
        <v>16</v>
      </c>
      <c r="C221" s="5674" t="s">
        <v>2546</v>
      </c>
      <c r="D221" s="5674" t="s">
        <v>2547</v>
      </c>
      <c r="E221" s="5674" t="s">
        <v>2548</v>
      </c>
      <c r="F221" s="5674" t="s">
        <v>2532</v>
      </c>
      <c r="G221" s="5674" t="s">
        <v>28</v>
      </c>
      <c r="H221" s="5674" t="s">
        <v>28</v>
      </c>
      <c r="I221" s="5674" t="s">
        <v>970</v>
      </c>
    </row>
    <row customHeight="1" ht="11.25">
      <c r="A222" s="5674" t="s">
        <v>2369</v>
      </c>
      <c r="B222" s="5674" t="s">
        <v>16</v>
      </c>
      <c r="C222" s="5674" t="s">
        <v>2917</v>
      </c>
      <c r="D222" s="5674" t="s">
        <v>2918</v>
      </c>
      <c r="E222" s="5674" t="s">
        <v>2919</v>
      </c>
      <c r="F222" s="5674" t="s">
        <v>2442</v>
      </c>
      <c r="G222" s="5674" t="s">
        <v>28</v>
      </c>
      <c r="H222" s="5674" t="s">
        <v>28</v>
      </c>
      <c r="I222" s="5674" t="s">
        <v>970</v>
      </c>
    </row>
    <row customHeight="1" ht="11.25">
      <c r="A223" s="5674" t="s">
        <v>2369</v>
      </c>
      <c r="B223" s="5674" t="s">
        <v>16</v>
      </c>
      <c r="C223" s="5674" t="s">
        <v>2920</v>
      </c>
      <c r="D223" s="5674" t="s">
        <v>2921</v>
      </c>
      <c r="E223" s="5674" t="s">
        <v>2922</v>
      </c>
      <c r="F223" s="5674" t="s">
        <v>2793</v>
      </c>
      <c r="G223" s="5674" t="s">
        <v>28</v>
      </c>
      <c r="H223" s="5674" t="s">
        <v>28</v>
      </c>
      <c r="I223" s="5674" t="s">
        <v>970</v>
      </c>
    </row>
    <row customHeight="1" ht="11.25">
      <c r="A224" s="5674" t="s">
        <v>2369</v>
      </c>
      <c r="B224" s="5674" t="s">
        <v>16</v>
      </c>
      <c r="C224" s="5674" t="s">
        <v>2923</v>
      </c>
      <c r="D224" s="5674" t="s">
        <v>2924</v>
      </c>
      <c r="E224" s="5674" t="s">
        <v>2925</v>
      </c>
      <c r="F224" s="5674" t="s">
        <v>2376</v>
      </c>
      <c r="G224" s="5674" t="s">
        <v>28</v>
      </c>
      <c r="H224" s="5674" t="s">
        <v>28</v>
      </c>
      <c r="I224" s="5674" t="s">
        <v>970</v>
      </c>
    </row>
    <row customHeight="1" ht="11.25">
      <c r="A225" s="5674" t="s">
        <v>2369</v>
      </c>
      <c r="B225" s="5674" t="s">
        <v>16</v>
      </c>
      <c r="C225" s="5674" t="s">
        <v>2549</v>
      </c>
      <c r="D225" s="5674" t="s">
        <v>2550</v>
      </c>
      <c r="E225" s="5674" t="s">
        <v>2551</v>
      </c>
      <c r="F225" s="5674" t="s">
        <v>2552</v>
      </c>
      <c r="G225" s="5674" t="s">
        <v>28</v>
      </c>
      <c r="H225" s="5674" t="s">
        <v>28</v>
      </c>
      <c r="I225" s="5674" t="s">
        <v>970</v>
      </c>
    </row>
    <row customHeight="1" ht="11.25">
      <c r="A226" s="5674" t="s">
        <v>2369</v>
      </c>
      <c r="B226" s="5674" t="s">
        <v>16</v>
      </c>
      <c r="C226" s="5674" t="s">
        <v>2926</v>
      </c>
      <c r="D226" s="5674" t="s">
        <v>2927</v>
      </c>
      <c r="E226" s="5674" t="s">
        <v>2928</v>
      </c>
      <c r="F226" s="5674" t="s">
        <v>2793</v>
      </c>
      <c r="G226" s="5674" t="s">
        <v>28</v>
      </c>
      <c r="H226" s="5674" t="s">
        <v>28</v>
      </c>
      <c r="I226" s="5674" t="s">
        <v>970</v>
      </c>
    </row>
    <row customHeight="1" ht="11.25">
      <c r="A227" s="5674" t="s">
        <v>2369</v>
      </c>
      <c r="B227" s="5674" t="s">
        <v>16</v>
      </c>
      <c r="C227" s="5674" t="s">
        <v>2553</v>
      </c>
      <c r="D227" s="5674" t="s">
        <v>2554</v>
      </c>
      <c r="E227" s="5674" t="s">
        <v>2555</v>
      </c>
      <c r="F227" s="5674" t="s">
        <v>54</v>
      </c>
      <c r="G227" s="5674" t="s">
        <v>28</v>
      </c>
      <c r="H227" s="5674" t="s">
        <v>28</v>
      </c>
      <c r="I227" s="5674" t="s">
        <v>970</v>
      </c>
    </row>
    <row customHeight="1" ht="11.25">
      <c r="A228" s="5674" t="s">
        <v>2369</v>
      </c>
      <c r="B228" s="5674" t="s">
        <v>16</v>
      </c>
      <c r="C228" s="5674" t="s">
        <v>2563</v>
      </c>
      <c r="D228" s="5674" t="s">
        <v>2564</v>
      </c>
      <c r="E228" s="5674" t="s">
        <v>2565</v>
      </c>
      <c r="F228" s="5674" t="s">
        <v>2566</v>
      </c>
      <c r="G228" s="5674" t="s">
        <v>28</v>
      </c>
      <c r="H228" s="5674" t="s">
        <v>28</v>
      </c>
      <c r="I228" s="5674" t="s">
        <v>970</v>
      </c>
    </row>
    <row customHeight="1" ht="11.25">
      <c r="A229" s="5674" t="s">
        <v>2369</v>
      </c>
      <c r="B229" s="5674" t="s">
        <v>16</v>
      </c>
      <c r="C229" s="5674" t="s">
        <v>2929</v>
      </c>
      <c r="D229" s="5674" t="s">
        <v>2930</v>
      </c>
      <c r="E229" s="5674" t="s">
        <v>2387</v>
      </c>
      <c r="F229" s="5674" t="s">
        <v>2931</v>
      </c>
      <c r="G229" s="5674" t="s">
        <v>28</v>
      </c>
      <c r="H229" s="5674" t="s">
        <v>28</v>
      </c>
      <c r="I229" s="5674" t="s">
        <v>970</v>
      </c>
    </row>
    <row customHeight="1" ht="11.25">
      <c r="A230" s="5674" t="s">
        <v>2369</v>
      </c>
      <c r="B230" s="5674" t="s">
        <v>16</v>
      </c>
      <c r="C230" s="5674" t="s">
        <v>2932</v>
      </c>
      <c r="D230" s="5674" t="s">
        <v>2933</v>
      </c>
      <c r="E230" s="5674" t="s">
        <v>2934</v>
      </c>
      <c r="F230" s="5674" t="s">
        <v>2376</v>
      </c>
      <c r="G230" s="5674" t="s">
        <v>28</v>
      </c>
      <c r="H230" s="5674" t="s">
        <v>28</v>
      </c>
      <c r="I230" s="5674" t="s">
        <v>970</v>
      </c>
    </row>
    <row customHeight="1" ht="11.25">
      <c r="A231" s="5674" t="s">
        <v>2369</v>
      </c>
      <c r="B231" s="5674" t="s">
        <v>16</v>
      </c>
      <c r="C231" s="5674" t="s">
        <v>2584</v>
      </c>
      <c r="D231" s="5674" t="s">
        <v>2585</v>
      </c>
      <c r="E231" s="5674" t="s">
        <v>2586</v>
      </c>
      <c r="F231" s="5674" t="s">
        <v>2409</v>
      </c>
      <c r="G231" s="5674" t="s">
        <v>28</v>
      </c>
      <c r="H231" s="5674" t="s">
        <v>28</v>
      </c>
      <c r="I231" s="5674" t="s">
        <v>970</v>
      </c>
    </row>
    <row customHeight="1" ht="11.25">
      <c r="A232" s="5674" t="s">
        <v>2369</v>
      </c>
      <c r="B232" s="5674" t="s">
        <v>16</v>
      </c>
      <c r="C232" s="5674" t="s">
        <v>2935</v>
      </c>
      <c r="D232" s="5674" t="s">
        <v>2936</v>
      </c>
      <c r="E232" s="5674" t="s">
        <v>2937</v>
      </c>
      <c r="F232" s="5674" t="s">
        <v>2413</v>
      </c>
      <c r="G232" s="5674" t="s">
        <v>2938</v>
      </c>
      <c r="H232" s="5674" t="s">
        <v>28</v>
      </c>
      <c r="I232" s="5674" t="s">
        <v>970</v>
      </c>
    </row>
    <row customHeight="1" ht="11.25">
      <c r="A233" s="5674" t="s">
        <v>2369</v>
      </c>
      <c r="B233" s="5674" t="s">
        <v>16</v>
      </c>
      <c r="C233" s="5674" t="s">
        <v>2939</v>
      </c>
      <c r="D233" s="5674" t="s">
        <v>2940</v>
      </c>
      <c r="E233" s="5674" t="s">
        <v>2941</v>
      </c>
      <c r="F233" s="5674" t="s">
        <v>2425</v>
      </c>
      <c r="G233" s="5674" t="s">
        <v>2942</v>
      </c>
      <c r="H233" s="5674" t="s">
        <v>28</v>
      </c>
      <c r="I233" s="5674" t="s">
        <v>970</v>
      </c>
    </row>
    <row customHeight="1" ht="11.25">
      <c r="A234" s="5674" t="s">
        <v>2369</v>
      </c>
      <c r="B234" s="5674" t="s">
        <v>16</v>
      </c>
      <c r="C234" s="5674" t="s">
        <v>2943</v>
      </c>
      <c r="D234" s="5674" t="s">
        <v>2944</v>
      </c>
      <c r="E234" s="5674" t="s">
        <v>2945</v>
      </c>
      <c r="F234" s="5674" t="s">
        <v>2690</v>
      </c>
      <c r="G234" s="5674" t="s">
        <v>2946</v>
      </c>
      <c r="H234" s="5674" t="s">
        <v>28</v>
      </c>
      <c r="I234" s="5674" t="s">
        <v>970</v>
      </c>
    </row>
    <row customHeight="1" ht="11.25">
      <c r="A235" s="5674" t="s">
        <v>2369</v>
      </c>
      <c r="B235" s="5674" t="s">
        <v>16</v>
      </c>
      <c r="C235" s="5674" t="s">
        <v>2947</v>
      </c>
      <c r="D235" s="5674" t="s">
        <v>2948</v>
      </c>
      <c r="E235" s="5674" t="s">
        <v>2949</v>
      </c>
      <c r="F235" s="5674" t="s">
        <v>2950</v>
      </c>
      <c r="G235" s="5674" t="s">
        <v>28</v>
      </c>
      <c r="H235" s="5674" t="s">
        <v>28</v>
      </c>
      <c r="I235" s="5674" t="s">
        <v>970</v>
      </c>
    </row>
    <row customHeight="1" ht="11.25">
      <c r="A236" s="5674" t="s">
        <v>2369</v>
      </c>
      <c r="B236" s="5674" t="s">
        <v>16</v>
      </c>
      <c r="C236" s="5674" t="s">
        <v>2951</v>
      </c>
      <c r="D236" s="5674" t="s">
        <v>2952</v>
      </c>
      <c r="E236" s="5674" t="s">
        <v>2953</v>
      </c>
      <c r="F236" s="5674" t="s">
        <v>2380</v>
      </c>
      <c r="G236" s="5674" t="s">
        <v>2954</v>
      </c>
      <c r="H236" s="5674" t="s">
        <v>28</v>
      </c>
      <c r="I236" s="5674" t="s">
        <v>970</v>
      </c>
    </row>
    <row customHeight="1" ht="11.25">
      <c r="A237" s="5674" t="s">
        <v>2369</v>
      </c>
      <c r="B237" s="5674" t="s">
        <v>16</v>
      </c>
      <c r="C237" s="5674" t="s">
        <v>2955</v>
      </c>
      <c r="D237" s="5674" t="s">
        <v>2956</v>
      </c>
      <c r="E237" s="5674" t="s">
        <v>2957</v>
      </c>
      <c r="F237" s="5674" t="s">
        <v>2401</v>
      </c>
      <c r="G237" s="5674" t="s">
        <v>28</v>
      </c>
      <c r="H237" s="5674" t="s">
        <v>28</v>
      </c>
      <c r="I237" s="5674" t="s">
        <v>970</v>
      </c>
    </row>
    <row customHeight="1" ht="11.25">
      <c r="A238" s="5674" t="s">
        <v>2369</v>
      </c>
      <c r="B238" s="5674" t="s">
        <v>16</v>
      </c>
      <c r="C238" s="5674" t="s">
        <v>2958</v>
      </c>
      <c r="D238" s="5674" t="s">
        <v>2959</v>
      </c>
      <c r="E238" s="5674" t="s">
        <v>2960</v>
      </c>
      <c r="F238" s="5674" t="s">
        <v>2961</v>
      </c>
      <c r="G238" s="5674" t="s">
        <v>28</v>
      </c>
      <c r="H238" s="5674" t="s">
        <v>28</v>
      </c>
      <c r="I238" s="5674" t="s">
        <v>970</v>
      </c>
    </row>
    <row customHeight="1" ht="11.25">
      <c r="A239" s="5674" t="s">
        <v>2369</v>
      </c>
      <c r="B239" s="5674" t="s">
        <v>16</v>
      </c>
      <c r="C239" s="5674" t="s">
        <v>2962</v>
      </c>
      <c r="D239" s="5674" t="s">
        <v>2963</v>
      </c>
      <c r="E239" s="5674" t="s">
        <v>2964</v>
      </c>
      <c r="F239" s="5674" t="s">
        <v>2767</v>
      </c>
      <c r="G239" s="5674" t="s">
        <v>28</v>
      </c>
      <c r="H239" s="5674" t="s">
        <v>28</v>
      </c>
      <c r="I239" s="5674" t="s">
        <v>970</v>
      </c>
    </row>
    <row customHeight="1" ht="11.25">
      <c r="A240" s="5674" t="s">
        <v>2369</v>
      </c>
      <c r="B240" s="5674" t="s">
        <v>16</v>
      </c>
      <c r="C240" s="5674" t="s">
        <v>2965</v>
      </c>
      <c r="D240" s="5674" t="s">
        <v>2966</v>
      </c>
      <c r="E240" s="5674" t="s">
        <v>2967</v>
      </c>
      <c r="F240" s="5674" t="s">
        <v>2793</v>
      </c>
      <c r="G240" s="5674" t="s">
        <v>2968</v>
      </c>
      <c r="H240" s="5674" t="s">
        <v>28</v>
      </c>
      <c r="I240" s="5674" t="s">
        <v>970</v>
      </c>
    </row>
    <row customHeight="1" ht="11.25">
      <c r="A241" s="5674" t="s">
        <v>2369</v>
      </c>
      <c r="B241" s="5674" t="s">
        <v>16</v>
      </c>
      <c r="C241" s="5674" t="s">
        <v>2599</v>
      </c>
      <c r="D241" s="5674" t="s">
        <v>2600</v>
      </c>
      <c r="E241" s="5674" t="s">
        <v>2601</v>
      </c>
      <c r="F241" s="5674" t="s">
        <v>2602</v>
      </c>
      <c r="G241" s="5674" t="s">
        <v>2603</v>
      </c>
      <c r="H241" s="5674" t="s">
        <v>28</v>
      </c>
      <c r="I241" s="5674" t="s">
        <v>970</v>
      </c>
    </row>
    <row customHeight="1" ht="11.25">
      <c r="A242" s="5674" t="s">
        <v>2369</v>
      </c>
      <c r="B242" s="5674" t="s">
        <v>16</v>
      </c>
      <c r="C242" s="5674" t="s">
        <v>2969</v>
      </c>
      <c r="D242" s="5674" t="s">
        <v>2970</v>
      </c>
      <c r="E242" s="5674" t="s">
        <v>2971</v>
      </c>
      <c r="F242" s="5674" t="s">
        <v>2413</v>
      </c>
      <c r="G242" s="5674" t="s">
        <v>28</v>
      </c>
      <c r="H242" s="5674" t="s">
        <v>28</v>
      </c>
      <c r="I242" s="5674" t="s">
        <v>970</v>
      </c>
    </row>
    <row customHeight="1" ht="11.25">
      <c r="A243" s="5674" t="s">
        <v>2369</v>
      </c>
      <c r="B243" s="5674" t="s">
        <v>16</v>
      </c>
      <c r="C243" s="5674" t="s">
        <v>2972</v>
      </c>
      <c r="D243" s="5674" t="s">
        <v>2973</v>
      </c>
      <c r="E243" s="5674" t="s">
        <v>2974</v>
      </c>
      <c r="F243" s="5674" t="s">
        <v>2602</v>
      </c>
      <c r="G243" s="5674" t="s">
        <v>28</v>
      </c>
      <c r="H243" s="5674" t="s">
        <v>28</v>
      </c>
      <c r="I243" s="5674" t="s">
        <v>970</v>
      </c>
    </row>
    <row customHeight="1" ht="11.25">
      <c r="A244" s="5674" t="s">
        <v>2369</v>
      </c>
      <c r="B244" s="5674" t="s">
        <v>16</v>
      </c>
      <c r="C244" s="5674" t="s">
        <v>2975</v>
      </c>
      <c r="D244" s="5674" t="s">
        <v>2976</v>
      </c>
      <c r="E244" s="5674" t="s">
        <v>2977</v>
      </c>
      <c r="F244" s="5674" t="s">
        <v>2372</v>
      </c>
      <c r="G244" s="5674" t="s">
        <v>28</v>
      </c>
      <c r="H244" s="5674" t="s">
        <v>28</v>
      </c>
      <c r="I244" s="5674" t="s">
        <v>970</v>
      </c>
    </row>
    <row customHeight="1" ht="11.25">
      <c r="A245" s="5674" t="s">
        <v>2369</v>
      </c>
      <c r="B245" s="5674" t="s">
        <v>16</v>
      </c>
      <c r="C245" s="5674" t="s">
        <v>2612</v>
      </c>
      <c r="D245" s="5674" t="s">
        <v>2613</v>
      </c>
      <c r="E245" s="5674" t="s">
        <v>2614</v>
      </c>
      <c r="F245" s="5674" t="s">
        <v>2615</v>
      </c>
      <c r="G245" s="5674" t="s">
        <v>28</v>
      </c>
      <c r="H245" s="5674" t="s">
        <v>28</v>
      </c>
      <c r="I245" s="5674" t="s">
        <v>970</v>
      </c>
    </row>
    <row customHeight="1" ht="11.25">
      <c r="A246" s="5674" t="s">
        <v>2369</v>
      </c>
      <c r="B246" s="5674" t="s">
        <v>16</v>
      </c>
      <c r="C246" s="5674" t="s">
        <v>2978</v>
      </c>
      <c r="D246" s="5674" t="s">
        <v>2979</v>
      </c>
      <c r="E246" s="5674" t="s">
        <v>2980</v>
      </c>
      <c r="F246" s="5674" t="s">
        <v>2376</v>
      </c>
      <c r="G246" s="5674" t="s">
        <v>28</v>
      </c>
      <c r="H246" s="5674" t="s">
        <v>28</v>
      </c>
      <c r="I246" s="5674" t="s">
        <v>970</v>
      </c>
    </row>
    <row customHeight="1" ht="11.25">
      <c r="A247" s="5674" t="s">
        <v>2369</v>
      </c>
      <c r="B247" s="5674" t="s">
        <v>16</v>
      </c>
      <c r="C247" s="5674" t="s">
        <v>2616</v>
      </c>
      <c r="D247" s="5674" t="s">
        <v>2617</v>
      </c>
      <c r="E247" s="5674" t="s">
        <v>2618</v>
      </c>
      <c r="F247" s="5674" t="s">
        <v>2602</v>
      </c>
      <c r="G247" s="5674" t="s">
        <v>28</v>
      </c>
      <c r="H247" s="5674" t="s">
        <v>28</v>
      </c>
      <c r="I247" s="5674" t="s">
        <v>970</v>
      </c>
    </row>
    <row customHeight="1" ht="11.25">
      <c r="A248" s="5674" t="s">
        <v>2369</v>
      </c>
      <c r="B248" s="5674" t="s">
        <v>16</v>
      </c>
      <c r="C248" s="5674" t="s">
        <v>2622</v>
      </c>
      <c r="D248" s="5674" t="s">
        <v>2623</v>
      </c>
      <c r="E248" s="5674" t="s">
        <v>2624</v>
      </c>
      <c r="F248" s="5674" t="s">
        <v>2602</v>
      </c>
      <c r="G248" s="5674" t="s">
        <v>28</v>
      </c>
      <c r="H248" s="5674" t="s">
        <v>28</v>
      </c>
      <c r="I248" s="5674" t="s">
        <v>970</v>
      </c>
    </row>
    <row customHeight="1" ht="11.25">
      <c r="A249" s="5674" t="s">
        <v>2369</v>
      </c>
      <c r="B249" s="5674" t="s">
        <v>16</v>
      </c>
      <c r="C249" s="5674" t="s">
        <v>2981</v>
      </c>
      <c r="D249" s="5674" t="s">
        <v>2982</v>
      </c>
      <c r="E249" s="5674" t="s">
        <v>2983</v>
      </c>
      <c r="F249" s="5674" t="s">
        <v>2602</v>
      </c>
      <c r="G249" s="5674" t="s">
        <v>28</v>
      </c>
      <c r="H249" s="5674" t="s">
        <v>28</v>
      </c>
      <c r="I249" s="5674" t="s">
        <v>970</v>
      </c>
    </row>
    <row customHeight="1" ht="11.25">
      <c r="A250" s="5674" t="s">
        <v>2369</v>
      </c>
      <c r="B250" s="5674" t="s">
        <v>16</v>
      </c>
      <c r="C250" s="5674" t="s">
        <v>2984</v>
      </c>
      <c r="D250" s="5674" t="s">
        <v>2985</v>
      </c>
      <c r="E250" s="5674" t="s">
        <v>2986</v>
      </c>
      <c r="F250" s="5674" t="s">
        <v>2552</v>
      </c>
      <c r="G250" s="5674" t="s">
        <v>2987</v>
      </c>
      <c r="H250" s="5674" t="s">
        <v>28</v>
      </c>
      <c r="I250" s="5674" t="s">
        <v>970</v>
      </c>
    </row>
    <row customHeight="1" ht="11.25">
      <c r="A251" s="5674" t="s">
        <v>2369</v>
      </c>
      <c r="B251" s="5674" t="s">
        <v>16</v>
      </c>
      <c r="C251" s="5674" t="s">
        <v>2988</v>
      </c>
      <c r="D251" s="5674" t="s">
        <v>2989</v>
      </c>
      <c r="E251" s="5674" t="s">
        <v>2990</v>
      </c>
      <c r="F251" s="5674" t="s">
        <v>2376</v>
      </c>
      <c r="G251" s="5674" t="s">
        <v>2991</v>
      </c>
      <c r="H251" s="5674" t="s">
        <v>28</v>
      </c>
      <c r="I251" s="5674" t="s">
        <v>970</v>
      </c>
    </row>
    <row customHeight="1" ht="11.25">
      <c r="A252" s="5674" t="s">
        <v>2369</v>
      </c>
      <c r="B252" s="5674" t="s">
        <v>16</v>
      </c>
      <c r="C252" s="5674" t="s">
        <v>2992</v>
      </c>
      <c r="D252" s="5674" t="s">
        <v>2993</v>
      </c>
      <c r="E252" s="5674" t="s">
        <v>2994</v>
      </c>
      <c r="F252" s="5674" t="s">
        <v>2508</v>
      </c>
      <c r="G252" s="5674" t="s">
        <v>28</v>
      </c>
      <c r="H252" s="5674" t="s">
        <v>28</v>
      </c>
      <c r="I252" s="5674" t="s">
        <v>970</v>
      </c>
    </row>
    <row customHeight="1" ht="11.25">
      <c r="A253" s="5674" t="s">
        <v>2369</v>
      </c>
      <c r="B253" s="5674" t="s">
        <v>16</v>
      </c>
      <c r="C253" s="5674" t="s">
        <v>2995</v>
      </c>
      <c r="D253" s="5674" t="s">
        <v>2996</v>
      </c>
      <c r="E253" s="5674" t="s">
        <v>2997</v>
      </c>
      <c r="F253" s="5674" t="s">
        <v>2793</v>
      </c>
      <c r="G253" s="5674" t="s">
        <v>2998</v>
      </c>
      <c r="H253" s="5674" t="s">
        <v>28</v>
      </c>
      <c r="I253" s="5674" t="s">
        <v>970</v>
      </c>
    </row>
    <row customHeight="1" ht="11.25">
      <c r="A254" s="5674" t="s">
        <v>2369</v>
      </c>
      <c r="B254" s="5674" t="s">
        <v>16</v>
      </c>
      <c r="C254" s="5674" t="s">
        <v>2999</v>
      </c>
      <c r="D254" s="5674" t="s">
        <v>3000</v>
      </c>
      <c r="E254" s="5674" t="s">
        <v>3001</v>
      </c>
      <c r="F254" s="5674" t="s">
        <v>2434</v>
      </c>
      <c r="G254" s="5674" t="s">
        <v>3002</v>
      </c>
      <c r="H254" s="5674" t="s">
        <v>28</v>
      </c>
      <c r="I254" s="5674" t="s">
        <v>970</v>
      </c>
    </row>
    <row customHeight="1" ht="11.25">
      <c r="A255" s="5674" t="s">
        <v>2369</v>
      </c>
      <c r="B255" s="5674" t="s">
        <v>16</v>
      </c>
      <c r="C255" s="5674" t="s">
        <v>3003</v>
      </c>
      <c r="D255" s="5674" t="s">
        <v>3004</v>
      </c>
      <c r="E255" s="5674" t="s">
        <v>3005</v>
      </c>
      <c r="F255" s="5674" t="s">
        <v>2690</v>
      </c>
      <c r="G255" s="5674" t="s">
        <v>3006</v>
      </c>
      <c r="H255" s="5674" t="s">
        <v>28</v>
      </c>
      <c r="I255" s="5674" t="s">
        <v>970</v>
      </c>
    </row>
    <row customHeight="1" ht="11.25">
      <c r="A256" s="5674" t="s">
        <v>2369</v>
      </c>
      <c r="B256" s="5674" t="s">
        <v>16</v>
      </c>
      <c r="C256" s="5674" t="s">
        <v>2634</v>
      </c>
      <c r="D256" s="5674" t="s">
        <v>2635</v>
      </c>
      <c r="E256" s="5674" t="s">
        <v>2636</v>
      </c>
      <c r="F256" s="5674" t="s">
        <v>2602</v>
      </c>
      <c r="G256" s="5674" t="s">
        <v>28</v>
      </c>
      <c r="H256" s="5674" t="s">
        <v>28</v>
      </c>
      <c r="I256" s="5674" t="s">
        <v>970</v>
      </c>
    </row>
    <row customHeight="1" ht="11.25">
      <c r="A257" s="5674" t="s">
        <v>2369</v>
      </c>
      <c r="B257" s="5674" t="s">
        <v>16</v>
      </c>
      <c r="C257" s="5674" t="s">
        <v>3007</v>
      </c>
      <c r="D257" s="5674" t="s">
        <v>3008</v>
      </c>
      <c r="E257" s="5674" t="s">
        <v>3009</v>
      </c>
      <c r="F257" s="5674" t="s">
        <v>2552</v>
      </c>
      <c r="G257" s="5674" t="s">
        <v>28</v>
      </c>
      <c r="H257" s="5674" t="s">
        <v>28</v>
      </c>
      <c r="I257" s="5674" t="s">
        <v>970</v>
      </c>
    </row>
    <row customHeight="1" ht="11.25">
      <c r="A258" s="5674" t="s">
        <v>2369</v>
      </c>
      <c r="B258" s="5674" t="s">
        <v>16</v>
      </c>
      <c r="C258" s="5674" t="s">
        <v>2647</v>
      </c>
      <c r="D258" s="5674" t="s">
        <v>2648</v>
      </c>
      <c r="E258" s="5674" t="s">
        <v>2649</v>
      </c>
      <c r="F258" s="5674" t="s">
        <v>2413</v>
      </c>
      <c r="G258" s="5674" t="s">
        <v>28</v>
      </c>
      <c r="H258" s="5674" t="s">
        <v>28</v>
      </c>
      <c r="I258" s="5674" t="s">
        <v>970</v>
      </c>
    </row>
    <row customHeight="1" ht="11.25">
      <c r="A259" s="5674" t="s">
        <v>2369</v>
      </c>
      <c r="B259" s="5674" t="s">
        <v>16</v>
      </c>
      <c r="C259" s="5674" t="s">
        <v>2650</v>
      </c>
      <c r="D259" s="5674" t="s">
        <v>2651</v>
      </c>
      <c r="E259" s="5674" t="s">
        <v>2652</v>
      </c>
      <c r="F259" s="5674" t="s">
        <v>2376</v>
      </c>
      <c r="G259" s="5674" t="s">
        <v>28</v>
      </c>
      <c r="H259" s="5674" t="s">
        <v>28</v>
      </c>
      <c r="I259" s="5674" t="s">
        <v>970</v>
      </c>
    </row>
    <row customHeight="1" ht="11.25">
      <c r="A260" s="5674" t="s">
        <v>2369</v>
      </c>
      <c r="B260" s="5674" t="s">
        <v>16</v>
      </c>
      <c r="C260" s="5674" t="s">
        <v>2665</v>
      </c>
      <c r="D260" s="5674" t="s">
        <v>2666</v>
      </c>
      <c r="E260" s="5674" t="s">
        <v>2667</v>
      </c>
      <c r="F260" s="5674" t="s">
        <v>2573</v>
      </c>
      <c r="G260" s="5674" t="s">
        <v>2668</v>
      </c>
      <c r="H260" s="5674" t="s">
        <v>28</v>
      </c>
      <c r="I260" s="5674" t="s">
        <v>970</v>
      </c>
    </row>
    <row customHeight="1" ht="11.25">
      <c r="A261" s="5674" t="s">
        <v>2369</v>
      </c>
      <c r="B261" s="5674" t="s">
        <v>16</v>
      </c>
      <c r="C261" s="5674" t="s">
        <v>3010</v>
      </c>
      <c r="D261" s="5674" t="s">
        <v>3011</v>
      </c>
      <c r="E261" s="5674" t="s">
        <v>3012</v>
      </c>
      <c r="F261" s="5674" t="s">
        <v>2559</v>
      </c>
      <c r="G261" s="5674" t="s">
        <v>28</v>
      </c>
      <c r="H261" s="5674" t="s">
        <v>28</v>
      </c>
      <c r="I261" s="5674" t="s">
        <v>970</v>
      </c>
    </row>
    <row customHeight="1" ht="11.25">
      <c r="A262" s="5674" t="s">
        <v>2369</v>
      </c>
      <c r="B262" s="5674" t="s">
        <v>16</v>
      </c>
      <c r="C262" s="5674" t="s">
        <v>3013</v>
      </c>
      <c r="D262" s="5674" t="s">
        <v>3014</v>
      </c>
      <c r="E262" s="5674" t="s">
        <v>3015</v>
      </c>
      <c r="F262" s="5674" t="s">
        <v>2508</v>
      </c>
      <c r="G262" s="5674" t="s">
        <v>28</v>
      </c>
      <c r="H262" s="5674" t="s">
        <v>28</v>
      </c>
      <c r="I262" s="5674" t="s">
        <v>970</v>
      </c>
    </row>
    <row customHeight="1" ht="11.25">
      <c r="A263" s="5674" t="s">
        <v>2369</v>
      </c>
      <c r="B263" s="5674" t="s">
        <v>16</v>
      </c>
      <c r="C263" s="5674" t="s">
        <v>2681</v>
      </c>
      <c r="D263" s="5674" t="s">
        <v>2682</v>
      </c>
      <c r="E263" s="5674" t="s">
        <v>2683</v>
      </c>
      <c r="F263" s="5674" t="s">
        <v>2376</v>
      </c>
      <c r="G263" s="5674" t="s">
        <v>28</v>
      </c>
      <c r="H263" s="5674" t="s">
        <v>28</v>
      </c>
      <c r="I263" s="5674" t="s">
        <v>970</v>
      </c>
    </row>
    <row customHeight="1" ht="11.25">
      <c r="A264" s="5674" t="s">
        <v>2369</v>
      </c>
      <c r="B264" s="5674" t="s">
        <v>16</v>
      </c>
      <c r="C264" s="5674" t="s">
        <v>3016</v>
      </c>
      <c r="D264" s="5674" t="s">
        <v>3017</v>
      </c>
      <c r="E264" s="5674" t="s">
        <v>3018</v>
      </c>
      <c r="F264" s="5674" t="s">
        <v>3019</v>
      </c>
      <c r="G264" s="5674" t="s">
        <v>28</v>
      </c>
      <c r="H264" s="5674" t="s">
        <v>28</v>
      </c>
      <c r="I264" s="5674" t="s">
        <v>970</v>
      </c>
    </row>
    <row customHeight="1" ht="11.25">
      <c r="A265" s="5674" t="s">
        <v>2369</v>
      </c>
      <c r="B265" s="5674" t="s">
        <v>16</v>
      </c>
      <c r="C265" s="5674" t="s">
        <v>3020</v>
      </c>
      <c r="D265" s="5674" t="s">
        <v>3021</v>
      </c>
      <c r="E265" s="5674" t="s">
        <v>3022</v>
      </c>
      <c r="F265" s="5674" t="s">
        <v>2573</v>
      </c>
      <c r="G265" s="5674" t="s">
        <v>28</v>
      </c>
      <c r="H265" s="5674" t="s">
        <v>28</v>
      </c>
      <c r="I265" s="5674" t="s">
        <v>970</v>
      </c>
    </row>
    <row customHeight="1" ht="11.25">
      <c r="A266" s="5674" t="s">
        <v>2369</v>
      </c>
      <c r="B266" s="5674" t="s">
        <v>16</v>
      </c>
      <c r="C266" s="5674" t="s">
        <v>3023</v>
      </c>
      <c r="D266" s="5674" t="s">
        <v>3024</v>
      </c>
      <c r="E266" s="5674" t="s">
        <v>3025</v>
      </c>
      <c r="F266" s="5674" t="s">
        <v>2401</v>
      </c>
      <c r="G266" s="5674" t="s">
        <v>28</v>
      </c>
      <c r="H266" s="5674" t="s">
        <v>28</v>
      </c>
      <c r="I266" s="5674" t="s">
        <v>970</v>
      </c>
    </row>
    <row customHeight="1" ht="11.25">
      <c r="A267" s="5674" t="s">
        <v>2369</v>
      </c>
      <c r="B267" s="5674" t="s">
        <v>16</v>
      </c>
      <c r="C267" s="5674" t="s">
        <v>2684</v>
      </c>
      <c r="D267" s="5674" t="s">
        <v>2685</v>
      </c>
      <c r="E267" s="5674" t="s">
        <v>2686</v>
      </c>
      <c r="F267" s="5674" t="s">
        <v>2552</v>
      </c>
      <c r="G267" s="5674" t="s">
        <v>2435</v>
      </c>
      <c r="H267" s="5674" t="s">
        <v>28</v>
      </c>
      <c r="I267" s="5674" t="s">
        <v>970</v>
      </c>
    </row>
    <row customHeight="1" ht="11.25">
      <c r="A268" s="5674" t="s">
        <v>2369</v>
      </c>
      <c r="B268" s="5674" t="s">
        <v>16</v>
      </c>
      <c r="C268" s="5674" t="s">
        <v>3026</v>
      </c>
      <c r="D268" s="5674" t="s">
        <v>3027</v>
      </c>
      <c r="E268" s="5674" t="s">
        <v>3028</v>
      </c>
      <c r="F268" s="5674" t="s">
        <v>2552</v>
      </c>
      <c r="G268" s="5674" t="s">
        <v>28</v>
      </c>
      <c r="H268" s="5674" t="s">
        <v>28</v>
      </c>
      <c r="I268" s="5674" t="s">
        <v>970</v>
      </c>
    </row>
    <row customHeight="1" ht="11.25">
      <c r="A269" s="5674" t="s">
        <v>2369</v>
      </c>
      <c r="B269" s="5674" t="s">
        <v>16</v>
      </c>
      <c r="C269" s="5674" t="s">
        <v>2694</v>
      </c>
      <c r="D269" s="5674" t="s">
        <v>2695</v>
      </c>
      <c r="E269" s="5674" t="s">
        <v>2696</v>
      </c>
      <c r="F269" s="5674" t="s">
        <v>2697</v>
      </c>
      <c r="G269" s="5674" t="s">
        <v>28</v>
      </c>
      <c r="H269" s="5674" t="s">
        <v>28</v>
      </c>
      <c r="I269" s="5674" t="s">
        <v>970</v>
      </c>
    </row>
    <row customHeight="1" ht="11.25">
      <c r="A270" s="5674" t="s">
        <v>2369</v>
      </c>
      <c r="B270" s="5674" t="s">
        <v>16</v>
      </c>
      <c r="C270" s="5674" t="s">
        <v>3029</v>
      </c>
      <c r="D270" s="5674" t="s">
        <v>3030</v>
      </c>
      <c r="E270" s="5674" t="s">
        <v>3031</v>
      </c>
      <c r="F270" s="5674" t="s">
        <v>2434</v>
      </c>
      <c r="G270" s="5674" t="s">
        <v>28</v>
      </c>
      <c r="H270" s="5674" t="s">
        <v>28</v>
      </c>
      <c r="I270" s="5674" t="s">
        <v>970</v>
      </c>
    </row>
    <row customHeight="1" ht="11.25">
      <c r="A271" s="5674" t="s">
        <v>2369</v>
      </c>
      <c r="B271" s="5674" t="s">
        <v>16</v>
      </c>
      <c r="C271" s="5674" t="s">
        <v>2708</v>
      </c>
      <c r="D271" s="5674" t="s">
        <v>2709</v>
      </c>
      <c r="E271" s="5674" t="s">
        <v>2710</v>
      </c>
      <c r="F271" s="5674" t="s">
        <v>2711</v>
      </c>
      <c r="G271" s="5674" t="s">
        <v>28</v>
      </c>
      <c r="H271" s="5674" t="s">
        <v>28</v>
      </c>
      <c r="I271" s="5674" t="s">
        <v>970</v>
      </c>
    </row>
    <row customHeight="1" ht="11.25">
      <c r="A272" s="5674" t="s">
        <v>2369</v>
      </c>
      <c r="B272" s="5674" t="s">
        <v>16</v>
      </c>
      <c r="C272" s="5674" t="s">
        <v>3032</v>
      </c>
      <c r="D272" s="5674" t="s">
        <v>3033</v>
      </c>
      <c r="E272" s="5674" t="s">
        <v>3034</v>
      </c>
      <c r="F272" s="5674" t="s">
        <v>2401</v>
      </c>
      <c r="G272" s="5674" t="s">
        <v>28</v>
      </c>
      <c r="H272" s="5674" t="s">
        <v>28</v>
      </c>
      <c r="I272" s="5674" t="s">
        <v>970</v>
      </c>
    </row>
    <row customHeight="1" ht="11.25">
      <c r="A273" s="5674" t="s">
        <v>2369</v>
      </c>
      <c r="B273" s="5674" t="s">
        <v>16</v>
      </c>
      <c r="C273" s="5674" t="s">
        <v>3035</v>
      </c>
      <c r="D273" s="5674" t="s">
        <v>3036</v>
      </c>
      <c r="E273" s="5674" t="s">
        <v>3037</v>
      </c>
      <c r="F273" s="5674" t="s">
        <v>2602</v>
      </c>
      <c r="G273" s="5674" t="s">
        <v>28</v>
      </c>
      <c r="H273" s="5674" t="s">
        <v>28</v>
      </c>
      <c r="I273" s="5674" t="s">
        <v>970</v>
      </c>
    </row>
    <row customHeight="1" ht="11.25">
      <c r="A274" s="5674" t="s">
        <v>2369</v>
      </c>
      <c r="B274" s="5674" t="s">
        <v>16</v>
      </c>
      <c r="C274" s="5674" t="s">
        <v>3038</v>
      </c>
      <c r="D274" s="5674" t="s">
        <v>3039</v>
      </c>
      <c r="E274" s="5674" t="s">
        <v>3040</v>
      </c>
      <c r="F274" s="5674" t="s">
        <v>2376</v>
      </c>
      <c r="G274" s="5674" t="s">
        <v>28</v>
      </c>
      <c r="H274" s="5674" t="s">
        <v>28</v>
      </c>
      <c r="I274" s="5674" t="s">
        <v>970</v>
      </c>
    </row>
    <row customHeight="1" ht="11.25">
      <c r="A275" s="5674" t="s">
        <v>2369</v>
      </c>
      <c r="B275" s="5674" t="s">
        <v>16</v>
      </c>
      <c r="C275" s="5674" t="s">
        <v>3041</v>
      </c>
      <c r="D275" s="5674" t="s">
        <v>3042</v>
      </c>
      <c r="E275" s="5674" t="s">
        <v>3043</v>
      </c>
      <c r="F275" s="5674" t="s">
        <v>2697</v>
      </c>
      <c r="G275" s="5674" t="s">
        <v>28</v>
      </c>
      <c r="H275" s="5674" t="s">
        <v>28</v>
      </c>
      <c r="I275" s="5674" t="s">
        <v>970</v>
      </c>
    </row>
    <row customHeight="1" ht="11.25">
      <c r="A276" s="5674" t="s">
        <v>2369</v>
      </c>
      <c r="B276" s="5674" t="s">
        <v>16</v>
      </c>
      <c r="C276" s="5674" t="s">
        <v>3044</v>
      </c>
      <c r="D276" s="5674" t="s">
        <v>3045</v>
      </c>
      <c r="E276" s="5674" t="s">
        <v>3046</v>
      </c>
      <c r="F276" s="5674" t="s">
        <v>2479</v>
      </c>
      <c r="G276" s="5674" t="s">
        <v>28</v>
      </c>
      <c r="H276" s="5674" t="s">
        <v>28</v>
      </c>
      <c r="I276" s="5674" t="s">
        <v>970</v>
      </c>
    </row>
    <row customHeight="1" ht="11.25">
      <c r="A277" s="5674" t="s">
        <v>2369</v>
      </c>
      <c r="B277" s="5674" t="s">
        <v>16</v>
      </c>
      <c r="C277" s="5674" t="s">
        <v>3047</v>
      </c>
      <c r="D277" s="5674" t="s">
        <v>3048</v>
      </c>
      <c r="E277" s="5674" t="s">
        <v>3049</v>
      </c>
      <c r="F277" s="5674" t="s">
        <v>2372</v>
      </c>
      <c r="G277" s="5674" t="s">
        <v>28</v>
      </c>
      <c r="H277" s="5674" t="s">
        <v>28</v>
      </c>
      <c r="I277" s="5674" t="s">
        <v>970</v>
      </c>
    </row>
    <row customHeight="1" ht="11.25">
      <c r="A278" s="5674" t="s">
        <v>2369</v>
      </c>
      <c r="B278" s="5674" t="s">
        <v>16</v>
      </c>
      <c r="C278" s="5674" t="s">
        <v>3050</v>
      </c>
      <c r="D278" s="5674" t="s">
        <v>3051</v>
      </c>
      <c r="E278" s="5674" t="s">
        <v>3052</v>
      </c>
      <c r="F278" s="5674" t="s">
        <v>2434</v>
      </c>
      <c r="G278" s="5674" t="s">
        <v>28</v>
      </c>
      <c r="H278" s="5674" t="s">
        <v>28</v>
      </c>
      <c r="I278" s="5674" t="s">
        <v>970</v>
      </c>
    </row>
    <row customHeight="1" ht="11.25">
      <c r="A279" s="5674" t="s">
        <v>2369</v>
      </c>
      <c r="B279" s="5674" t="s">
        <v>16</v>
      </c>
      <c r="C279" s="5674" t="s">
        <v>3053</v>
      </c>
      <c r="D279" s="5674" t="s">
        <v>3054</v>
      </c>
      <c r="E279" s="5674" t="s">
        <v>3055</v>
      </c>
      <c r="F279" s="5674" t="s">
        <v>2425</v>
      </c>
      <c r="G279" s="5674" t="s">
        <v>3056</v>
      </c>
      <c r="H279" s="5674" t="s">
        <v>28</v>
      </c>
      <c r="I279" s="5674" t="s">
        <v>970</v>
      </c>
    </row>
    <row customHeight="1" ht="11.25">
      <c r="A280" s="5674" t="s">
        <v>2369</v>
      </c>
      <c r="B280" s="5674" t="s">
        <v>16</v>
      </c>
      <c r="C280" s="5674" t="s">
        <v>3057</v>
      </c>
      <c r="D280" s="5674" t="s">
        <v>3058</v>
      </c>
      <c r="E280" s="5674" t="s">
        <v>2371</v>
      </c>
      <c r="F280" s="5674" t="s">
        <v>2372</v>
      </c>
      <c r="G280" s="5674" t="s">
        <v>28</v>
      </c>
      <c r="H280" s="5674" t="s">
        <v>28</v>
      </c>
      <c r="I280" s="5674" t="s">
        <v>970</v>
      </c>
    </row>
    <row customHeight="1" ht="11.25">
      <c r="A281" s="5674" t="s">
        <v>2369</v>
      </c>
      <c r="B281" s="5674" t="s">
        <v>16</v>
      </c>
      <c r="C281" s="5674" t="s">
        <v>3059</v>
      </c>
      <c r="D281" s="5674" t="s">
        <v>3060</v>
      </c>
      <c r="E281" s="5674" t="s">
        <v>3061</v>
      </c>
      <c r="F281" s="5674" t="s">
        <v>2376</v>
      </c>
      <c r="G281" s="5674" t="s">
        <v>28</v>
      </c>
      <c r="H281" s="5674" t="s">
        <v>28</v>
      </c>
      <c r="I281" s="5674" t="s">
        <v>970</v>
      </c>
    </row>
    <row customHeight="1" ht="11.25">
      <c r="A282" s="5674" t="s">
        <v>2369</v>
      </c>
      <c r="B282" s="5674" t="s">
        <v>16</v>
      </c>
      <c r="C282" s="5674" t="s">
        <v>3062</v>
      </c>
      <c r="D282" s="5674" t="s">
        <v>3063</v>
      </c>
      <c r="E282" s="5674" t="s">
        <v>3064</v>
      </c>
      <c r="F282" s="5674" t="s">
        <v>2376</v>
      </c>
      <c r="G282" s="5674" t="s">
        <v>28</v>
      </c>
      <c r="H282" s="5674" t="s">
        <v>28</v>
      </c>
      <c r="I282" s="5674" t="s">
        <v>970</v>
      </c>
    </row>
    <row customHeight="1" ht="11.25">
      <c r="A283" s="5674" t="s">
        <v>2369</v>
      </c>
      <c r="B283" s="5674" t="s">
        <v>16</v>
      </c>
      <c r="C283" s="5674" t="s">
        <v>2715</v>
      </c>
      <c r="D283" s="5674" t="s">
        <v>2716</v>
      </c>
      <c r="E283" s="5674" t="s">
        <v>2717</v>
      </c>
      <c r="F283" s="5674" t="s">
        <v>2384</v>
      </c>
      <c r="G283" s="5674" t="s">
        <v>28</v>
      </c>
      <c r="H283" s="5674" t="s">
        <v>28</v>
      </c>
      <c r="I283" s="5674" t="s">
        <v>970</v>
      </c>
    </row>
    <row customHeight="1" ht="11.25">
      <c r="A284" s="5674" t="s">
        <v>2369</v>
      </c>
      <c r="B284" s="5674" t="s">
        <v>16</v>
      </c>
      <c r="C284" s="5674" t="s">
        <v>2726</v>
      </c>
      <c r="D284" s="5674" t="s">
        <v>2727</v>
      </c>
      <c r="E284" s="5674" t="s">
        <v>2728</v>
      </c>
      <c r="F284" s="5674" t="s">
        <v>2697</v>
      </c>
      <c r="G284" s="5674" t="s">
        <v>2729</v>
      </c>
      <c r="H284" s="5674" t="s">
        <v>28</v>
      </c>
      <c r="I284" s="5674" t="s">
        <v>970</v>
      </c>
    </row>
    <row customHeight="1" ht="11.25">
      <c r="A285" s="5674" t="s">
        <v>2369</v>
      </c>
      <c r="B285" s="5674" t="s">
        <v>16</v>
      </c>
      <c r="C285" s="5674" t="s">
        <v>2730</v>
      </c>
      <c r="D285" s="5674" t="s">
        <v>2731</v>
      </c>
      <c r="E285" s="5674" t="s">
        <v>2732</v>
      </c>
      <c r="F285" s="5674" t="s">
        <v>2425</v>
      </c>
      <c r="G285" s="5674" t="s">
        <v>2733</v>
      </c>
      <c r="H285" s="5674" t="s">
        <v>28</v>
      </c>
      <c r="I285" s="5674" t="s">
        <v>970</v>
      </c>
    </row>
    <row customHeight="1" ht="11.25">
      <c r="A286" s="5674" t="s">
        <v>2369</v>
      </c>
      <c r="B286" s="5674" t="s">
        <v>16</v>
      </c>
      <c r="C286" s="5674" t="s">
        <v>3065</v>
      </c>
      <c r="D286" s="5674" t="s">
        <v>3066</v>
      </c>
      <c r="E286" s="5674" t="s">
        <v>3067</v>
      </c>
      <c r="F286" s="5674" t="s">
        <v>2479</v>
      </c>
      <c r="G286" s="5674" t="s">
        <v>28</v>
      </c>
      <c r="H286" s="5674" t="s">
        <v>28</v>
      </c>
      <c r="I286" s="5674" t="s">
        <v>970</v>
      </c>
    </row>
    <row customHeight="1" ht="11.25">
      <c r="A287" s="5674" t="s">
        <v>2369</v>
      </c>
      <c r="B287" s="5674" t="s">
        <v>16</v>
      </c>
      <c r="C287" s="5674" t="s">
        <v>3068</v>
      </c>
      <c r="D287" s="5674" t="s">
        <v>3069</v>
      </c>
      <c r="E287" s="5674" t="s">
        <v>3070</v>
      </c>
      <c r="F287" s="5674" t="s">
        <v>2602</v>
      </c>
      <c r="G287" s="5674" t="s">
        <v>28</v>
      </c>
      <c r="H287" s="5674" t="s">
        <v>28</v>
      </c>
      <c r="I287" s="5674" t="s">
        <v>970</v>
      </c>
    </row>
    <row customHeight="1" ht="11.25">
      <c r="A288" s="5674" t="s">
        <v>2369</v>
      </c>
      <c r="B288" s="5674" t="s">
        <v>16</v>
      </c>
      <c r="C288" s="5674" t="s">
        <v>3071</v>
      </c>
      <c r="D288" s="5674" t="s">
        <v>3072</v>
      </c>
      <c r="E288" s="5674" t="s">
        <v>3073</v>
      </c>
      <c r="F288" s="5674" t="s">
        <v>3074</v>
      </c>
      <c r="G288" s="5674" t="s">
        <v>28</v>
      </c>
      <c r="H288" s="5674" t="s">
        <v>28</v>
      </c>
      <c r="I288" s="5674" t="s">
        <v>970</v>
      </c>
    </row>
    <row customHeight="1" ht="11.25">
      <c r="A289" s="5674" t="s">
        <v>2369</v>
      </c>
      <c r="B289" s="5674" t="s">
        <v>16</v>
      </c>
      <c r="C289" s="5674" t="s">
        <v>3075</v>
      </c>
      <c r="D289" s="5674" t="s">
        <v>3076</v>
      </c>
      <c r="E289" s="5674" t="s">
        <v>3077</v>
      </c>
      <c r="F289" s="5674" t="s">
        <v>2508</v>
      </c>
      <c r="G289" s="5674" t="s">
        <v>28</v>
      </c>
      <c r="H289" s="5674" t="s">
        <v>28</v>
      </c>
      <c r="I289" s="5674" t="s">
        <v>970</v>
      </c>
    </row>
    <row customHeight="1" ht="11.25">
      <c r="A290" s="5674" t="s">
        <v>2369</v>
      </c>
      <c r="B290" s="5674" t="s">
        <v>16</v>
      </c>
      <c r="C290" s="5674" t="s">
        <v>2744</v>
      </c>
      <c r="D290" s="5674" t="s">
        <v>2745</v>
      </c>
      <c r="E290" s="5674" t="s">
        <v>2746</v>
      </c>
      <c r="F290" s="5674" t="s">
        <v>2573</v>
      </c>
      <c r="G290" s="5674" t="s">
        <v>28</v>
      </c>
      <c r="H290" s="5674" t="s">
        <v>28</v>
      </c>
      <c r="I290" s="5674" t="s">
        <v>970</v>
      </c>
    </row>
    <row customHeight="1" ht="11.25">
      <c r="A291" s="5674" t="s">
        <v>2369</v>
      </c>
      <c r="B291" s="5674" t="s">
        <v>16</v>
      </c>
      <c r="C291" s="5674" t="s">
        <v>2747</v>
      </c>
      <c r="D291" s="5674" t="s">
        <v>2748</v>
      </c>
      <c r="E291" s="5674" t="s">
        <v>2749</v>
      </c>
      <c r="F291" s="5674" t="s">
        <v>2750</v>
      </c>
      <c r="G291" s="5674" t="s">
        <v>2751</v>
      </c>
      <c r="H291" s="5674" t="s">
        <v>28</v>
      </c>
      <c r="I291" s="5674" t="s">
        <v>970</v>
      </c>
    </row>
    <row customHeight="1" ht="11.25">
      <c r="A292" s="5674" t="s">
        <v>2369</v>
      </c>
      <c r="B292" s="5674" t="s">
        <v>16</v>
      </c>
      <c r="C292" s="5674" t="s">
        <v>2752</v>
      </c>
      <c r="D292" s="5674" t="s">
        <v>2753</v>
      </c>
      <c r="E292" s="5674" t="s">
        <v>2754</v>
      </c>
      <c r="F292" s="5674" t="s">
        <v>2573</v>
      </c>
      <c r="G292" s="5674" t="s">
        <v>28</v>
      </c>
      <c r="H292" s="5674" t="s">
        <v>28</v>
      </c>
      <c r="I292" s="5674" t="s">
        <v>970</v>
      </c>
    </row>
    <row customHeight="1" ht="11.25">
      <c r="A293" s="5674" t="s">
        <v>2369</v>
      </c>
      <c r="B293" s="5674" t="s">
        <v>16</v>
      </c>
      <c r="C293" s="5674" t="s">
        <v>2758</v>
      </c>
      <c r="D293" s="5674" t="s">
        <v>2759</v>
      </c>
      <c r="E293" s="5674" t="s">
        <v>2760</v>
      </c>
      <c r="F293" s="5674" t="s">
        <v>2508</v>
      </c>
      <c r="G293" s="5674" t="s">
        <v>28</v>
      </c>
      <c r="H293" s="5674" t="s">
        <v>28</v>
      </c>
      <c r="I293" s="5674" t="s">
        <v>970</v>
      </c>
    </row>
    <row customHeight="1" ht="11.25">
      <c r="A294" s="5674" t="s">
        <v>2369</v>
      </c>
      <c r="B294" s="5674" t="s">
        <v>16</v>
      </c>
      <c r="C294" s="5674" t="s">
        <v>3078</v>
      </c>
      <c r="D294" s="5674" t="s">
        <v>3079</v>
      </c>
      <c r="E294" s="5674" t="s">
        <v>3080</v>
      </c>
      <c r="F294" s="5674" t="s">
        <v>2890</v>
      </c>
      <c r="G294" s="5674" t="s">
        <v>28</v>
      </c>
      <c r="H294" s="5674" t="s">
        <v>28</v>
      </c>
      <c r="I294" s="5674" t="s">
        <v>970</v>
      </c>
    </row>
    <row customHeight="1" ht="11.25">
      <c r="A295" s="5674" t="s">
        <v>2369</v>
      </c>
      <c r="B295" s="5674" t="s">
        <v>16</v>
      </c>
      <c r="C295" s="5674" t="s">
        <v>3081</v>
      </c>
      <c r="D295" s="5674" t="s">
        <v>3082</v>
      </c>
      <c r="E295" s="5674" t="s">
        <v>3083</v>
      </c>
      <c r="F295" s="5674" t="s">
        <v>2890</v>
      </c>
      <c r="G295" s="5674" t="s">
        <v>28</v>
      </c>
      <c r="H295" s="5674" t="s">
        <v>28</v>
      </c>
      <c r="I295" s="5674" t="s">
        <v>970</v>
      </c>
    </row>
    <row customHeight="1" ht="11.25">
      <c r="A296" s="5674" t="s">
        <v>2369</v>
      </c>
      <c r="B296" s="5674" t="s">
        <v>16</v>
      </c>
      <c r="C296" s="5674" t="s">
        <v>3084</v>
      </c>
      <c r="D296" s="5674" t="s">
        <v>3085</v>
      </c>
      <c r="E296" s="5674" t="s">
        <v>3086</v>
      </c>
      <c r="F296" s="5674" t="s">
        <v>2401</v>
      </c>
      <c r="G296" s="5674" t="s">
        <v>28</v>
      </c>
      <c r="H296" s="5674" t="s">
        <v>28</v>
      </c>
      <c r="I296" s="5674" t="s">
        <v>970</v>
      </c>
    </row>
    <row customHeight="1" ht="11.25">
      <c r="A297" s="5674" t="s">
        <v>2369</v>
      </c>
      <c r="B297" s="5674" t="s">
        <v>16</v>
      </c>
      <c r="C297" s="5674" t="s">
        <v>3087</v>
      </c>
      <c r="D297" s="5674" t="s">
        <v>3088</v>
      </c>
      <c r="E297" s="5674" t="s">
        <v>3089</v>
      </c>
      <c r="F297" s="5674" t="s">
        <v>2767</v>
      </c>
      <c r="G297" s="5674" t="s">
        <v>28</v>
      </c>
      <c r="H297" s="5674" t="s">
        <v>28</v>
      </c>
      <c r="I297" s="5674" t="s">
        <v>970</v>
      </c>
    </row>
    <row customHeight="1" ht="11.25">
      <c r="A298" s="5674" t="s">
        <v>2369</v>
      </c>
      <c r="B298" s="5674" t="s">
        <v>16</v>
      </c>
      <c r="C298" s="5674" t="s">
        <v>3090</v>
      </c>
      <c r="D298" s="5674" t="s">
        <v>3091</v>
      </c>
      <c r="E298" s="5674" t="s">
        <v>3092</v>
      </c>
      <c r="F298" s="5674" t="s">
        <v>2559</v>
      </c>
      <c r="G298" s="5674" t="s">
        <v>28</v>
      </c>
      <c r="H298" s="5674" t="s">
        <v>28</v>
      </c>
      <c r="I298" s="5674" t="s">
        <v>970</v>
      </c>
    </row>
    <row customHeight="1" ht="11.25">
      <c r="A299" s="5674" t="s">
        <v>2369</v>
      </c>
      <c r="B299" s="5674" t="s">
        <v>16</v>
      </c>
      <c r="C299" s="5674" t="s">
        <v>2764</v>
      </c>
      <c r="D299" s="5674" t="s">
        <v>2765</v>
      </c>
      <c r="E299" s="5674" t="s">
        <v>2766</v>
      </c>
      <c r="F299" s="5674" t="s">
        <v>2767</v>
      </c>
      <c r="G299" s="5674" t="s">
        <v>28</v>
      </c>
      <c r="H299" s="5674" t="s">
        <v>28</v>
      </c>
      <c r="I299" s="5674" t="s">
        <v>970</v>
      </c>
    </row>
    <row customHeight="1" ht="11.25">
      <c r="A300" s="5674" t="s">
        <v>2369</v>
      </c>
      <c r="B300" s="5674" t="s">
        <v>16</v>
      </c>
      <c r="C300" s="5674" t="s">
        <v>3093</v>
      </c>
      <c r="D300" s="5674" t="s">
        <v>3094</v>
      </c>
      <c r="E300" s="5674" t="s">
        <v>3095</v>
      </c>
      <c r="F300" s="5674" t="s">
        <v>2508</v>
      </c>
      <c r="G300" s="5674" t="s">
        <v>28</v>
      </c>
      <c r="H300" s="5674" t="s">
        <v>28</v>
      </c>
      <c r="I300" s="5674" t="s">
        <v>970</v>
      </c>
    </row>
    <row customHeight="1" ht="11.25">
      <c r="A301" s="5674" t="s">
        <v>2369</v>
      </c>
      <c r="B301" s="5674" t="s">
        <v>16</v>
      </c>
      <c r="C301" s="5674" t="s">
        <v>3096</v>
      </c>
      <c r="D301" s="5674" t="s">
        <v>3097</v>
      </c>
      <c r="E301" s="5674" t="s">
        <v>3098</v>
      </c>
      <c r="F301" s="5674" t="s">
        <v>2950</v>
      </c>
      <c r="G301" s="5674" t="s">
        <v>3099</v>
      </c>
      <c r="H301" s="5674" t="s">
        <v>28</v>
      </c>
      <c r="I301" s="5674" t="s">
        <v>970</v>
      </c>
    </row>
    <row customHeight="1" ht="11.25">
      <c r="A302" s="5674" t="s">
        <v>2369</v>
      </c>
      <c r="B302" s="5674" t="s">
        <v>16</v>
      </c>
      <c r="C302" s="5674" t="s">
        <v>3100</v>
      </c>
      <c r="D302" s="5674" t="s">
        <v>3101</v>
      </c>
      <c r="E302" s="5674" t="s">
        <v>3102</v>
      </c>
      <c r="F302" s="5674" t="s">
        <v>2479</v>
      </c>
      <c r="G302" s="5674" t="s">
        <v>28</v>
      </c>
      <c r="H302" s="5674" t="s">
        <v>28</v>
      </c>
      <c r="I302" s="5674" t="s">
        <v>970</v>
      </c>
    </row>
    <row customHeight="1" ht="11.25">
      <c r="A303" s="5674" t="s">
        <v>2369</v>
      </c>
      <c r="B303" s="5674" t="s">
        <v>16</v>
      </c>
      <c r="C303" s="5674" t="s">
        <v>3103</v>
      </c>
      <c r="D303" s="5674" t="s">
        <v>3104</v>
      </c>
      <c r="E303" s="5674" t="s">
        <v>3105</v>
      </c>
      <c r="F303" s="5674" t="s">
        <v>2500</v>
      </c>
      <c r="G303" s="5674" t="s">
        <v>28</v>
      </c>
      <c r="H303" s="5674" t="s">
        <v>28</v>
      </c>
      <c r="I303" s="5674" t="s">
        <v>970</v>
      </c>
    </row>
    <row customHeight="1" ht="11.25">
      <c r="A304" s="5674" t="s">
        <v>2369</v>
      </c>
      <c r="B304" s="5674" t="s">
        <v>16</v>
      </c>
      <c r="C304" s="5674" t="s">
        <v>3106</v>
      </c>
      <c r="D304" s="5674" t="s">
        <v>3107</v>
      </c>
      <c r="E304" s="5674" t="s">
        <v>3108</v>
      </c>
      <c r="F304" s="5674" t="s">
        <v>2376</v>
      </c>
      <c r="G304" s="5674" t="s">
        <v>28</v>
      </c>
      <c r="H304" s="5674" t="s">
        <v>28</v>
      </c>
      <c r="I304" s="5674" t="s">
        <v>970</v>
      </c>
    </row>
    <row customHeight="1" ht="11.25">
      <c r="A305" s="5674" t="s">
        <v>2369</v>
      </c>
      <c r="B305" s="5674" t="s">
        <v>16</v>
      </c>
      <c r="C305" s="5674" t="s">
        <v>3109</v>
      </c>
      <c r="D305" s="5674" t="s">
        <v>3110</v>
      </c>
      <c r="E305" s="5674" t="s">
        <v>3111</v>
      </c>
      <c r="F305" s="5674" t="s">
        <v>2532</v>
      </c>
      <c r="G305" s="5674" t="s">
        <v>28</v>
      </c>
      <c r="H305" s="5674" t="s">
        <v>28</v>
      </c>
      <c r="I305" s="5674" t="s">
        <v>970</v>
      </c>
    </row>
    <row customHeight="1" ht="11.25">
      <c r="A306" s="5674" t="s">
        <v>2369</v>
      </c>
      <c r="B306" s="5674" t="s">
        <v>16</v>
      </c>
      <c r="C306" s="5674" t="s">
        <v>3112</v>
      </c>
      <c r="D306" s="5674" t="s">
        <v>3113</v>
      </c>
      <c r="E306" s="5674" t="s">
        <v>3114</v>
      </c>
      <c r="F306" s="5674" t="s">
        <v>2890</v>
      </c>
      <c r="G306" s="5674" t="s">
        <v>3115</v>
      </c>
      <c r="H306" s="5674" t="s">
        <v>28</v>
      </c>
      <c r="I306" s="5674" t="s">
        <v>970</v>
      </c>
    </row>
    <row customHeight="1" ht="11.25">
      <c r="A307" s="5674" t="s">
        <v>2369</v>
      </c>
      <c r="B307" s="5674" t="s">
        <v>16</v>
      </c>
      <c r="C307" s="5674" t="s">
        <v>3116</v>
      </c>
      <c r="D307" s="5674" t="s">
        <v>3117</v>
      </c>
      <c r="E307" s="5674" t="s">
        <v>3118</v>
      </c>
      <c r="F307" s="5674" t="s">
        <v>2434</v>
      </c>
      <c r="G307" s="5674" t="s">
        <v>28</v>
      </c>
      <c r="H307" s="5674" t="s">
        <v>28</v>
      </c>
      <c r="I307" s="5674" t="s">
        <v>970</v>
      </c>
    </row>
    <row customHeight="1" ht="11.25">
      <c r="A308" s="5674" t="s">
        <v>2369</v>
      </c>
      <c r="B308" s="5674" t="s">
        <v>16</v>
      </c>
      <c r="C308" s="5674" t="s">
        <v>2794</v>
      </c>
      <c r="D308" s="5674" t="s">
        <v>2795</v>
      </c>
      <c r="E308" s="5674" t="s">
        <v>2796</v>
      </c>
      <c r="F308" s="5674" t="s">
        <v>2401</v>
      </c>
      <c r="G308" s="5674" t="s">
        <v>28</v>
      </c>
      <c r="H308" s="5674" t="s">
        <v>28</v>
      </c>
      <c r="I308" s="5674" t="s">
        <v>970</v>
      </c>
    </row>
    <row customHeight="1" ht="11.25">
      <c r="A309" s="5674" t="s">
        <v>2369</v>
      </c>
      <c r="B309" s="5674" t="s">
        <v>16</v>
      </c>
      <c r="C309" s="5674" t="s">
        <v>28</v>
      </c>
      <c r="D309" s="5674" t="s">
        <v>2370</v>
      </c>
      <c r="E309" s="5674" t="s">
        <v>2371</v>
      </c>
      <c r="F309" s="5674" t="s">
        <v>2372</v>
      </c>
      <c r="G309" s="5674" t="s">
        <v>28</v>
      </c>
      <c r="H309" s="5674" t="s">
        <v>28</v>
      </c>
      <c r="I309" s="5674" t="s">
        <v>1023</v>
      </c>
    </row>
    <row customHeight="1" ht="11.25">
      <c r="A310" s="5674" t="s">
        <v>2369</v>
      </c>
      <c r="B310" s="5674" t="s">
        <v>16</v>
      </c>
      <c r="C310" s="5674" t="s">
        <v>2373</v>
      </c>
      <c r="D310" s="5674" t="s">
        <v>2374</v>
      </c>
      <c r="E310" s="5674" t="s">
        <v>2375</v>
      </c>
      <c r="F310" s="5674" t="s">
        <v>2376</v>
      </c>
      <c r="G310" s="5674" t="s">
        <v>28</v>
      </c>
      <c r="H310" s="5674" t="s">
        <v>28</v>
      </c>
      <c r="I310" s="5674" t="s">
        <v>1023</v>
      </c>
    </row>
    <row customHeight="1" ht="11.25">
      <c r="A311" s="5674" t="s">
        <v>2369</v>
      </c>
      <c r="B311" s="5674" t="s">
        <v>16</v>
      </c>
      <c r="C311" s="5674" t="s">
        <v>2381</v>
      </c>
      <c r="D311" s="5674" t="s">
        <v>2382</v>
      </c>
      <c r="E311" s="5674" t="s">
        <v>2383</v>
      </c>
      <c r="F311" s="5674" t="s">
        <v>2384</v>
      </c>
      <c r="G311" s="5674" t="s">
        <v>28</v>
      </c>
      <c r="H311" s="5674" t="s">
        <v>28</v>
      </c>
      <c r="I311" s="5674" t="s">
        <v>1023</v>
      </c>
    </row>
    <row customHeight="1" ht="11.25">
      <c r="A312" s="5674" t="s">
        <v>2369</v>
      </c>
      <c r="B312" s="5674" t="s">
        <v>16</v>
      </c>
      <c r="C312" s="5674" t="s">
        <v>2389</v>
      </c>
      <c r="D312" s="5674" t="s">
        <v>2386</v>
      </c>
      <c r="E312" s="5674" t="s">
        <v>2387</v>
      </c>
      <c r="F312" s="5674" t="s">
        <v>2390</v>
      </c>
      <c r="G312" s="5674" t="s">
        <v>2391</v>
      </c>
      <c r="H312" s="5674" t="s">
        <v>28</v>
      </c>
      <c r="I312" s="5674" t="s">
        <v>1023</v>
      </c>
    </row>
    <row customHeight="1" ht="11.25">
      <c r="A313" s="5674" t="s">
        <v>2369</v>
      </c>
      <c r="B313" s="5674" t="s">
        <v>16</v>
      </c>
      <c r="C313" s="5674" t="s">
        <v>2398</v>
      </c>
      <c r="D313" s="5674" t="s">
        <v>2399</v>
      </c>
      <c r="E313" s="5674" t="s">
        <v>2400</v>
      </c>
      <c r="F313" s="5674" t="s">
        <v>2401</v>
      </c>
      <c r="G313" s="5674" t="s">
        <v>28</v>
      </c>
      <c r="H313" s="5674" t="s">
        <v>28</v>
      </c>
      <c r="I313" s="5674" t="s">
        <v>1023</v>
      </c>
    </row>
    <row customHeight="1" ht="11.25">
      <c r="A314" s="5674" t="s">
        <v>2369</v>
      </c>
      <c r="B314" s="5674" t="s">
        <v>16</v>
      </c>
      <c r="C314" s="5674" t="s">
        <v>2410</v>
      </c>
      <c r="D314" s="5674" t="s">
        <v>2411</v>
      </c>
      <c r="E314" s="5674" t="s">
        <v>2412</v>
      </c>
      <c r="F314" s="5674" t="s">
        <v>2413</v>
      </c>
      <c r="G314" s="5674" t="s">
        <v>28</v>
      </c>
      <c r="H314" s="5674" t="s">
        <v>28</v>
      </c>
      <c r="I314" s="5674" t="s">
        <v>1023</v>
      </c>
    </row>
    <row customHeight="1" ht="11.25">
      <c r="A315" s="5674" t="s">
        <v>2369</v>
      </c>
      <c r="B315" s="5674" t="s">
        <v>16</v>
      </c>
      <c r="C315" s="5674" t="s">
        <v>2819</v>
      </c>
      <c r="D315" s="5674" t="s">
        <v>2820</v>
      </c>
      <c r="E315" s="5674" t="s">
        <v>2821</v>
      </c>
      <c r="F315" s="5674" t="s">
        <v>2615</v>
      </c>
      <c r="G315" s="5674" t="s">
        <v>2822</v>
      </c>
      <c r="H315" s="5674" t="s">
        <v>28</v>
      </c>
      <c r="I315" s="5674" t="s">
        <v>1023</v>
      </c>
    </row>
    <row customHeight="1" ht="11.25">
      <c r="A316" s="5674" t="s">
        <v>2369</v>
      </c>
      <c r="B316" s="5674" t="s">
        <v>16</v>
      </c>
      <c r="C316" s="5674" t="s">
        <v>3119</v>
      </c>
      <c r="D316" s="5674" t="s">
        <v>3120</v>
      </c>
      <c r="E316" s="5674" t="s">
        <v>3121</v>
      </c>
      <c r="F316" s="5674" t="s">
        <v>2372</v>
      </c>
      <c r="G316" s="5674" t="s">
        <v>28</v>
      </c>
      <c r="H316" s="5674" t="s">
        <v>28</v>
      </c>
      <c r="I316" s="5674" t="s">
        <v>1023</v>
      </c>
    </row>
    <row customHeight="1" ht="11.25">
      <c r="A317" s="5674" t="s">
        <v>2369</v>
      </c>
      <c r="B317" s="5674" t="s">
        <v>16</v>
      </c>
      <c r="C317" s="5674" t="s">
        <v>2419</v>
      </c>
      <c r="D317" s="5674" t="s">
        <v>2420</v>
      </c>
      <c r="E317" s="5674" t="s">
        <v>2421</v>
      </c>
      <c r="F317" s="5674" t="s">
        <v>2380</v>
      </c>
      <c r="G317" s="5674" t="s">
        <v>28</v>
      </c>
      <c r="H317" s="5674" t="s">
        <v>28</v>
      </c>
      <c r="I317" s="5674" t="s">
        <v>1023</v>
      </c>
    </row>
    <row customHeight="1" ht="11.25">
      <c r="A318" s="5674" t="s">
        <v>2369</v>
      </c>
      <c r="B318" s="5674" t="s">
        <v>16</v>
      </c>
      <c r="C318" s="5674" t="s">
        <v>2422</v>
      </c>
      <c r="D318" s="5674" t="s">
        <v>2423</v>
      </c>
      <c r="E318" s="5674" t="s">
        <v>2424</v>
      </c>
      <c r="F318" s="5674" t="s">
        <v>2425</v>
      </c>
      <c r="G318" s="5674" t="s">
        <v>28</v>
      </c>
      <c r="H318" s="5674" t="s">
        <v>28</v>
      </c>
      <c r="I318" s="5674" t="s">
        <v>1023</v>
      </c>
    </row>
    <row customHeight="1" ht="11.25">
      <c r="A319" s="5674" t="s">
        <v>2369</v>
      </c>
      <c r="B319" s="5674" t="s">
        <v>16</v>
      </c>
      <c r="C319" s="5674" t="s">
        <v>2823</v>
      </c>
      <c r="D319" s="5674" t="s">
        <v>2824</v>
      </c>
      <c r="E319" s="5674" t="s">
        <v>2825</v>
      </c>
      <c r="F319" s="5674" t="s">
        <v>2401</v>
      </c>
      <c r="G319" s="5674" t="s">
        <v>2826</v>
      </c>
      <c r="H319" s="5674" t="s">
        <v>28</v>
      </c>
      <c r="I319" s="5674" t="s">
        <v>1023</v>
      </c>
    </row>
    <row customHeight="1" ht="11.25">
      <c r="A320" s="5674" t="s">
        <v>2369</v>
      </c>
      <c r="B320" s="5674" t="s">
        <v>16</v>
      </c>
      <c r="C320" s="5674" t="s">
        <v>2827</v>
      </c>
      <c r="D320" s="5674" t="s">
        <v>2828</v>
      </c>
      <c r="E320" s="5674" t="s">
        <v>2829</v>
      </c>
      <c r="F320" s="5674" t="s">
        <v>2380</v>
      </c>
      <c r="G320" s="5674" t="s">
        <v>28</v>
      </c>
      <c r="H320" s="5674" t="s">
        <v>28</v>
      </c>
      <c r="I320" s="5674" t="s">
        <v>1023</v>
      </c>
    </row>
    <row customHeight="1" ht="11.25">
      <c r="A321" s="5674" t="s">
        <v>2369</v>
      </c>
      <c r="B321" s="5674" t="s">
        <v>16</v>
      </c>
      <c r="C321" s="5674" t="s">
        <v>2439</v>
      </c>
      <c r="D321" s="5674" t="s">
        <v>2440</v>
      </c>
      <c r="E321" s="5674" t="s">
        <v>2441</v>
      </c>
      <c r="F321" s="5674" t="s">
        <v>2442</v>
      </c>
      <c r="G321" s="5674" t="s">
        <v>28</v>
      </c>
      <c r="H321" s="5674" t="s">
        <v>28</v>
      </c>
      <c r="I321" s="5674" t="s">
        <v>1023</v>
      </c>
    </row>
    <row customHeight="1" ht="11.25">
      <c r="A322" s="5674" t="s">
        <v>2369</v>
      </c>
      <c r="B322" s="5674" t="s">
        <v>16</v>
      </c>
      <c r="C322" s="5674" t="s">
        <v>2830</v>
      </c>
      <c r="D322" s="5674" t="s">
        <v>2831</v>
      </c>
      <c r="E322" s="5674" t="s">
        <v>2832</v>
      </c>
      <c r="F322" s="5674" t="s">
        <v>2793</v>
      </c>
      <c r="G322" s="5674" t="s">
        <v>2833</v>
      </c>
      <c r="H322" s="5674" t="s">
        <v>28</v>
      </c>
      <c r="I322" s="5674" t="s">
        <v>1023</v>
      </c>
    </row>
    <row customHeight="1" ht="11.25">
      <c r="A323" s="5674" t="s">
        <v>2369</v>
      </c>
      <c r="B323" s="5674" t="s">
        <v>16</v>
      </c>
      <c r="C323" s="5674" t="s">
        <v>2451</v>
      </c>
      <c r="D323" s="5674" t="s">
        <v>2452</v>
      </c>
      <c r="E323" s="5674" t="s">
        <v>2453</v>
      </c>
      <c r="F323" s="5674" t="s">
        <v>2372</v>
      </c>
      <c r="G323" s="5674" t="s">
        <v>2454</v>
      </c>
      <c r="H323" s="5674" t="s">
        <v>28</v>
      </c>
      <c r="I323" s="5674" t="s">
        <v>1023</v>
      </c>
    </row>
    <row customHeight="1" ht="11.25">
      <c r="A324" s="5674" t="s">
        <v>2369</v>
      </c>
      <c r="B324" s="5674" t="s">
        <v>16</v>
      </c>
      <c r="C324" s="5674" t="s">
        <v>2834</v>
      </c>
      <c r="D324" s="5674" t="s">
        <v>2835</v>
      </c>
      <c r="E324" s="5674" t="s">
        <v>2836</v>
      </c>
      <c r="F324" s="5674" t="s">
        <v>2837</v>
      </c>
      <c r="G324" s="5674" t="s">
        <v>28</v>
      </c>
      <c r="H324" s="5674" t="s">
        <v>28</v>
      </c>
      <c r="I324" s="5674" t="s">
        <v>1023</v>
      </c>
    </row>
    <row customHeight="1" ht="11.25">
      <c r="A325" s="5674" t="s">
        <v>2369</v>
      </c>
      <c r="B325" s="5674" t="s">
        <v>16</v>
      </c>
      <c r="C325" s="5674" t="s">
        <v>2473</v>
      </c>
      <c r="D325" s="5674" t="s">
        <v>2474</v>
      </c>
      <c r="E325" s="5674" t="s">
        <v>2471</v>
      </c>
      <c r="F325" s="5674" t="s">
        <v>2475</v>
      </c>
      <c r="G325" s="5674" t="s">
        <v>28</v>
      </c>
      <c r="H325" s="5674" t="s">
        <v>28</v>
      </c>
      <c r="I325" s="5674" t="s">
        <v>1023</v>
      </c>
    </row>
    <row customHeight="1" ht="11.25">
      <c r="A326" s="5674" t="s">
        <v>2369</v>
      </c>
      <c r="B326" s="5674" t="s">
        <v>16</v>
      </c>
      <c r="C326" s="5674" t="s">
        <v>2838</v>
      </c>
      <c r="D326" s="5674" t="s">
        <v>2839</v>
      </c>
      <c r="E326" s="5674" t="s">
        <v>2840</v>
      </c>
      <c r="F326" s="5674" t="s">
        <v>2508</v>
      </c>
      <c r="G326" s="5674" t="s">
        <v>28</v>
      </c>
      <c r="H326" s="5674" t="s">
        <v>28</v>
      </c>
      <c r="I326" s="5674" t="s">
        <v>1023</v>
      </c>
    </row>
    <row customHeight="1" ht="11.25">
      <c r="A327" s="5674" t="s">
        <v>2369</v>
      </c>
      <c r="B327" s="5674" t="s">
        <v>16</v>
      </c>
      <c r="C327" s="5674" t="s">
        <v>2844</v>
      </c>
      <c r="D327" s="5674" t="s">
        <v>2845</v>
      </c>
      <c r="E327" s="5674" t="s">
        <v>2846</v>
      </c>
      <c r="F327" s="5674" t="s">
        <v>692</v>
      </c>
      <c r="G327" s="5674" t="s">
        <v>28</v>
      </c>
      <c r="H327" s="5674" t="s">
        <v>28</v>
      </c>
      <c r="I327" s="5674" t="s">
        <v>1023</v>
      </c>
    </row>
    <row customHeight="1" ht="11.25">
      <c r="A328" s="5674" t="s">
        <v>2369</v>
      </c>
      <c r="B328" s="5674" t="s">
        <v>16</v>
      </c>
      <c r="C328" s="5674" t="s">
        <v>2850</v>
      </c>
      <c r="D328" s="5674" t="s">
        <v>49</v>
      </c>
      <c r="E328" s="5674" t="s">
        <v>52</v>
      </c>
      <c r="F328" s="5674" t="s">
        <v>2851</v>
      </c>
      <c r="G328" s="5674" t="s">
        <v>28</v>
      </c>
      <c r="H328" s="5674" t="s">
        <v>28</v>
      </c>
      <c r="I328" s="5674" t="s">
        <v>1023</v>
      </c>
    </row>
    <row customHeight="1" ht="11.25">
      <c r="A329" s="5674" t="s">
        <v>2369</v>
      </c>
      <c r="B329" s="5674" t="s">
        <v>16</v>
      </c>
      <c r="C329" s="5674" t="s">
        <v>2800</v>
      </c>
      <c r="D329" s="5674" t="s">
        <v>49</v>
      </c>
      <c r="E329" s="5674" t="s">
        <v>52</v>
      </c>
      <c r="F329" s="5674" t="s">
        <v>2801</v>
      </c>
      <c r="G329" s="5674" t="s">
        <v>28</v>
      </c>
      <c r="H329" s="5674" t="s">
        <v>28</v>
      </c>
      <c r="I329" s="5674" t="s">
        <v>1023</v>
      </c>
    </row>
    <row customHeight="1" ht="11.25">
      <c r="A330" s="5674" t="s">
        <v>2369</v>
      </c>
      <c r="B330" s="5674" t="s">
        <v>16</v>
      </c>
      <c r="C330" s="5674" t="s">
        <v>2802</v>
      </c>
      <c r="D330" s="5674" t="s">
        <v>49</v>
      </c>
      <c r="E330" s="5674" t="s">
        <v>52</v>
      </c>
      <c r="F330" s="5674" t="s">
        <v>2803</v>
      </c>
      <c r="G330" s="5674" t="s">
        <v>28</v>
      </c>
      <c r="H330" s="5674" t="s">
        <v>28</v>
      </c>
      <c r="I330" s="5674" t="s">
        <v>1023</v>
      </c>
    </row>
    <row customHeight="1" ht="11.25">
      <c r="A331" s="5674" t="s">
        <v>2369</v>
      </c>
      <c r="B331" s="5674" t="s">
        <v>16</v>
      </c>
      <c r="C331" s="5674" t="s">
        <v>2804</v>
      </c>
      <c r="D331" s="5674" t="s">
        <v>49</v>
      </c>
      <c r="E331" s="5674" t="s">
        <v>52</v>
      </c>
      <c r="F331" s="5674" t="s">
        <v>2805</v>
      </c>
      <c r="G331" s="5674" t="s">
        <v>28</v>
      </c>
      <c r="H331" s="5674" t="s">
        <v>28</v>
      </c>
      <c r="I331" s="5674" t="s">
        <v>1023</v>
      </c>
    </row>
    <row customHeight="1" ht="11.25">
      <c r="A332" s="5674" t="s">
        <v>2369</v>
      </c>
      <c r="B332" s="5674" t="s">
        <v>16</v>
      </c>
      <c r="C332" s="5674" t="s">
        <v>2852</v>
      </c>
      <c r="D332" s="5674" t="s">
        <v>49</v>
      </c>
      <c r="E332" s="5674" t="s">
        <v>52</v>
      </c>
      <c r="F332" s="5674" t="s">
        <v>2853</v>
      </c>
      <c r="G332" s="5674" t="s">
        <v>28</v>
      </c>
      <c r="H332" s="5674" t="s">
        <v>28</v>
      </c>
      <c r="I332" s="5674" t="s">
        <v>1023</v>
      </c>
    </row>
    <row customHeight="1" ht="11.25">
      <c r="A333" s="5674" t="s">
        <v>2369</v>
      </c>
      <c r="B333" s="5674" t="s">
        <v>16</v>
      </c>
      <c r="C333" s="5674" t="s">
        <v>2806</v>
      </c>
      <c r="D333" s="5674" t="s">
        <v>49</v>
      </c>
      <c r="E333" s="5674" t="s">
        <v>52</v>
      </c>
      <c r="F333" s="5674" t="s">
        <v>2807</v>
      </c>
      <c r="G333" s="5674" t="s">
        <v>28</v>
      </c>
      <c r="H333" s="5674" t="s">
        <v>28</v>
      </c>
      <c r="I333" s="5674" t="s">
        <v>1023</v>
      </c>
    </row>
    <row customHeight="1" ht="11.25">
      <c r="A334" s="5674" t="s">
        <v>2369</v>
      </c>
      <c r="B334" s="5674" t="s">
        <v>16</v>
      </c>
      <c r="C334" s="5674" t="s">
        <v>2808</v>
      </c>
      <c r="D334" s="5674" t="s">
        <v>49</v>
      </c>
      <c r="E334" s="5674" t="s">
        <v>52</v>
      </c>
      <c r="F334" s="5674" t="s">
        <v>2809</v>
      </c>
      <c r="G334" s="5674" t="s">
        <v>28</v>
      </c>
      <c r="H334" s="5674" t="s">
        <v>28</v>
      </c>
      <c r="I334" s="5674" t="s">
        <v>1023</v>
      </c>
    </row>
    <row customHeight="1" ht="11.25">
      <c r="A335" s="5674" t="s">
        <v>2369</v>
      </c>
      <c r="B335" s="5674" t="s">
        <v>16</v>
      </c>
      <c r="C335" s="5674" t="s">
        <v>2810</v>
      </c>
      <c r="D335" s="5674" t="s">
        <v>49</v>
      </c>
      <c r="E335" s="5674" t="s">
        <v>52</v>
      </c>
      <c r="F335" s="5674" t="s">
        <v>2811</v>
      </c>
      <c r="G335" s="5674" t="s">
        <v>28</v>
      </c>
      <c r="H335" s="5674" t="s">
        <v>28</v>
      </c>
      <c r="I335" s="5674" t="s">
        <v>1023</v>
      </c>
    </row>
    <row customHeight="1" ht="11.25">
      <c r="A336" s="5674" t="s">
        <v>2369</v>
      </c>
      <c r="B336" s="5674" t="s">
        <v>16</v>
      </c>
      <c r="C336" s="5674" t="s">
        <v>2812</v>
      </c>
      <c r="D336" s="5674" t="s">
        <v>49</v>
      </c>
      <c r="E336" s="5674" t="s">
        <v>52</v>
      </c>
      <c r="F336" s="5674" t="s">
        <v>2813</v>
      </c>
      <c r="G336" s="5674" t="s">
        <v>28</v>
      </c>
      <c r="H336" s="5674" t="s">
        <v>28</v>
      </c>
      <c r="I336" s="5674" t="s">
        <v>1023</v>
      </c>
    </row>
    <row customHeight="1" ht="11.25">
      <c r="A337" s="5674" t="s">
        <v>2369</v>
      </c>
      <c r="B337" s="5674" t="s">
        <v>16</v>
      </c>
      <c r="C337" s="5674" t="s">
        <v>2814</v>
      </c>
      <c r="D337" s="5674" t="s">
        <v>49</v>
      </c>
      <c r="E337" s="5674" t="s">
        <v>52</v>
      </c>
      <c r="F337" s="5674" t="s">
        <v>2815</v>
      </c>
      <c r="G337" s="5674" t="s">
        <v>28</v>
      </c>
      <c r="H337" s="5674" t="s">
        <v>28</v>
      </c>
      <c r="I337" s="5674" t="s">
        <v>1023</v>
      </c>
    </row>
    <row customHeight="1" ht="11.25">
      <c r="A338" s="5674" t="s">
        <v>2369</v>
      </c>
      <c r="B338" s="5674" t="s">
        <v>16</v>
      </c>
      <c r="C338" s="5674" t="s">
        <v>13</v>
      </c>
      <c r="D338" s="5674" t="s">
        <v>49</v>
      </c>
      <c r="E338" s="5674" t="s">
        <v>52</v>
      </c>
      <c r="F338" s="5674" t="s">
        <v>54</v>
      </c>
      <c r="G338" s="5674" t="s">
        <v>28</v>
      </c>
      <c r="H338" s="5674" t="s">
        <v>28</v>
      </c>
      <c r="I338" s="5674" t="s">
        <v>1023</v>
      </c>
    </row>
    <row customHeight="1" ht="11.25">
      <c r="A339" s="5674" t="s">
        <v>2369</v>
      </c>
      <c r="B339" s="5674" t="s">
        <v>16</v>
      </c>
      <c r="C339" s="5674" t="s">
        <v>2854</v>
      </c>
      <c r="D339" s="5674" t="s">
        <v>2855</v>
      </c>
      <c r="E339" s="5674" t="s">
        <v>2856</v>
      </c>
      <c r="F339" s="5674" t="s">
        <v>2401</v>
      </c>
      <c r="G339" s="5674" t="s">
        <v>28</v>
      </c>
      <c r="H339" s="5674" t="s">
        <v>28</v>
      </c>
      <c r="I339" s="5674" t="s">
        <v>1023</v>
      </c>
    </row>
    <row customHeight="1" ht="11.25">
      <c r="A340" s="5674" t="s">
        <v>2369</v>
      </c>
      <c r="B340" s="5674" t="s">
        <v>16</v>
      </c>
      <c r="C340" s="5674" t="s">
        <v>2857</v>
      </c>
      <c r="D340" s="5674" t="s">
        <v>2855</v>
      </c>
      <c r="E340" s="5674" t="s">
        <v>2856</v>
      </c>
      <c r="F340" s="5674" t="s">
        <v>2858</v>
      </c>
      <c r="G340" s="5674" t="s">
        <v>28</v>
      </c>
      <c r="H340" s="5674" t="s">
        <v>28</v>
      </c>
      <c r="I340" s="5674" t="s">
        <v>1023</v>
      </c>
    </row>
    <row customHeight="1" ht="11.25">
      <c r="A341" s="5674" t="s">
        <v>2369</v>
      </c>
      <c r="B341" s="5674" t="s">
        <v>16</v>
      </c>
      <c r="C341" s="5674" t="s">
        <v>2859</v>
      </c>
      <c r="D341" s="5674" t="s">
        <v>2817</v>
      </c>
      <c r="E341" s="5674" t="s">
        <v>52</v>
      </c>
      <c r="F341" s="5674" t="s">
        <v>2860</v>
      </c>
      <c r="G341" s="5674" t="s">
        <v>28</v>
      </c>
      <c r="H341" s="5674" t="s">
        <v>28</v>
      </c>
      <c r="I341" s="5674" t="s">
        <v>1023</v>
      </c>
    </row>
    <row customHeight="1" ht="11.25">
      <c r="A342" s="5674" t="s">
        <v>2369</v>
      </c>
      <c r="B342" s="5674" t="s">
        <v>16</v>
      </c>
      <c r="C342" s="5674" t="s">
        <v>2816</v>
      </c>
      <c r="D342" s="5674" t="s">
        <v>2817</v>
      </c>
      <c r="E342" s="5674" t="s">
        <v>52</v>
      </c>
      <c r="F342" s="5674" t="s">
        <v>2818</v>
      </c>
      <c r="G342" s="5674" t="s">
        <v>28</v>
      </c>
      <c r="H342" s="5674" t="s">
        <v>28</v>
      </c>
      <c r="I342" s="5674" t="s">
        <v>1023</v>
      </c>
    </row>
    <row customHeight="1" ht="11.25">
      <c r="A343" s="5674" t="s">
        <v>2369</v>
      </c>
      <c r="B343" s="5674" t="s">
        <v>16</v>
      </c>
      <c r="C343" s="5674" t="s">
        <v>3122</v>
      </c>
      <c r="D343" s="5674" t="s">
        <v>3123</v>
      </c>
      <c r="E343" s="5674" t="s">
        <v>3124</v>
      </c>
      <c r="F343" s="5674" t="s">
        <v>2632</v>
      </c>
      <c r="G343" s="5674" t="s">
        <v>3125</v>
      </c>
      <c r="H343" s="5674" t="s">
        <v>28</v>
      </c>
      <c r="I343" s="5674" t="s">
        <v>1023</v>
      </c>
    </row>
    <row customHeight="1" ht="11.25">
      <c r="A344" s="5674" t="s">
        <v>2369</v>
      </c>
      <c r="B344" s="5674" t="s">
        <v>16</v>
      </c>
      <c r="C344" s="5674" t="s">
        <v>2864</v>
      </c>
      <c r="D344" s="5674" t="s">
        <v>2865</v>
      </c>
      <c r="E344" s="5674" t="s">
        <v>2866</v>
      </c>
      <c r="F344" s="5674" t="s">
        <v>2602</v>
      </c>
      <c r="G344" s="5674" t="s">
        <v>28</v>
      </c>
      <c r="H344" s="5674" t="s">
        <v>28</v>
      </c>
      <c r="I344" s="5674" t="s">
        <v>1023</v>
      </c>
    </row>
    <row customHeight="1" ht="11.25">
      <c r="A345" s="5674" t="s">
        <v>2369</v>
      </c>
      <c r="B345" s="5674" t="s">
        <v>16</v>
      </c>
      <c r="C345" s="5674" t="s">
        <v>2867</v>
      </c>
      <c r="D345" s="5674" t="s">
        <v>2868</v>
      </c>
      <c r="E345" s="5674" t="s">
        <v>2869</v>
      </c>
      <c r="F345" s="5674" t="s">
        <v>2711</v>
      </c>
      <c r="G345" s="5674" t="s">
        <v>28</v>
      </c>
      <c r="H345" s="5674" t="s">
        <v>28</v>
      </c>
      <c r="I345" s="5674" t="s">
        <v>1023</v>
      </c>
    </row>
    <row customHeight="1" ht="11.25">
      <c r="A346" s="5674" t="s">
        <v>2369</v>
      </c>
      <c r="B346" s="5674" t="s">
        <v>16</v>
      </c>
      <c r="C346" s="5674" t="s">
        <v>2870</v>
      </c>
      <c r="D346" s="5674" t="s">
        <v>2871</v>
      </c>
      <c r="E346" s="5674" t="s">
        <v>2872</v>
      </c>
      <c r="F346" s="5674" t="s">
        <v>2434</v>
      </c>
      <c r="G346" s="5674" t="s">
        <v>28</v>
      </c>
      <c r="H346" s="5674" t="s">
        <v>28</v>
      </c>
      <c r="I346" s="5674" t="s">
        <v>1023</v>
      </c>
    </row>
    <row customHeight="1" ht="11.25">
      <c r="A347" s="5674" t="s">
        <v>2369</v>
      </c>
      <c r="B347" s="5674" t="s">
        <v>16</v>
      </c>
      <c r="C347" s="5674" t="s">
        <v>2873</v>
      </c>
      <c r="D347" s="5674" t="s">
        <v>2874</v>
      </c>
      <c r="E347" s="5674" t="s">
        <v>2875</v>
      </c>
      <c r="F347" s="5674" t="s">
        <v>2525</v>
      </c>
      <c r="G347" s="5674" t="s">
        <v>28</v>
      </c>
      <c r="H347" s="5674" t="s">
        <v>28</v>
      </c>
      <c r="I347" s="5674" t="s">
        <v>1023</v>
      </c>
    </row>
    <row customHeight="1" ht="11.25">
      <c r="A348" s="5674" t="s">
        <v>2369</v>
      </c>
      <c r="B348" s="5674" t="s">
        <v>16</v>
      </c>
      <c r="C348" s="5674" t="s">
        <v>2880</v>
      </c>
      <c r="D348" s="5674" t="s">
        <v>2881</v>
      </c>
      <c r="E348" s="5674" t="s">
        <v>2882</v>
      </c>
      <c r="F348" s="5674" t="s">
        <v>2434</v>
      </c>
      <c r="G348" s="5674" t="s">
        <v>28</v>
      </c>
      <c r="H348" s="5674" t="s">
        <v>28</v>
      </c>
      <c r="I348" s="5674" t="s">
        <v>1023</v>
      </c>
    </row>
    <row customHeight="1" ht="11.25">
      <c r="A349" s="5674" t="s">
        <v>2369</v>
      </c>
      <c r="B349" s="5674" t="s">
        <v>16</v>
      </c>
      <c r="C349" s="5674" t="s">
        <v>2522</v>
      </c>
      <c r="D349" s="5674" t="s">
        <v>2523</v>
      </c>
      <c r="E349" s="5674" t="s">
        <v>2524</v>
      </c>
      <c r="F349" s="5674" t="s">
        <v>2525</v>
      </c>
      <c r="G349" s="5674" t="s">
        <v>28</v>
      </c>
      <c r="H349" s="5674" t="s">
        <v>28</v>
      </c>
      <c r="I349" s="5674" t="s">
        <v>1023</v>
      </c>
    </row>
    <row customHeight="1" ht="11.25">
      <c r="A350" s="5674" t="s">
        <v>2369</v>
      </c>
      <c r="B350" s="5674" t="s">
        <v>16</v>
      </c>
      <c r="C350" s="5674" t="s">
        <v>2883</v>
      </c>
      <c r="D350" s="5674" t="s">
        <v>2884</v>
      </c>
      <c r="E350" s="5674" t="s">
        <v>2885</v>
      </c>
      <c r="F350" s="5674" t="s">
        <v>2542</v>
      </c>
      <c r="G350" s="5674" t="s">
        <v>2886</v>
      </c>
      <c r="H350" s="5674" t="s">
        <v>28</v>
      </c>
      <c r="I350" s="5674" t="s">
        <v>1023</v>
      </c>
    </row>
    <row customHeight="1" ht="11.25">
      <c r="A351" s="5674" t="s">
        <v>2369</v>
      </c>
      <c r="B351" s="5674" t="s">
        <v>16</v>
      </c>
      <c r="C351" s="5674" t="s">
        <v>2887</v>
      </c>
      <c r="D351" s="5674" t="s">
        <v>2888</v>
      </c>
      <c r="E351" s="5674" t="s">
        <v>2889</v>
      </c>
      <c r="F351" s="5674" t="s">
        <v>2890</v>
      </c>
      <c r="G351" s="5674" t="s">
        <v>28</v>
      </c>
      <c r="H351" s="5674" t="s">
        <v>28</v>
      </c>
      <c r="I351" s="5674" t="s">
        <v>1023</v>
      </c>
    </row>
    <row customHeight="1" ht="11.25">
      <c r="A352" s="5674" t="s">
        <v>2369</v>
      </c>
      <c r="B352" s="5674" t="s">
        <v>16</v>
      </c>
      <c r="C352" s="5674" t="s">
        <v>2891</v>
      </c>
      <c r="D352" s="5674" t="s">
        <v>2892</v>
      </c>
      <c r="E352" s="5674" t="s">
        <v>2893</v>
      </c>
      <c r="F352" s="5674" t="s">
        <v>2542</v>
      </c>
      <c r="G352" s="5674" t="s">
        <v>28</v>
      </c>
      <c r="H352" s="5674" t="s">
        <v>2894</v>
      </c>
      <c r="I352" s="5674" t="s">
        <v>1023</v>
      </c>
    </row>
    <row customHeight="1" ht="11.25">
      <c r="A353" s="5674" t="s">
        <v>2369</v>
      </c>
      <c r="B353" s="5674" t="s">
        <v>16</v>
      </c>
      <c r="C353" s="5674" t="s">
        <v>2895</v>
      </c>
      <c r="D353" s="5674" t="s">
        <v>2896</v>
      </c>
      <c r="E353" s="5674" t="s">
        <v>2897</v>
      </c>
      <c r="F353" s="5674" t="s">
        <v>2413</v>
      </c>
      <c r="G353" s="5674" t="s">
        <v>2898</v>
      </c>
      <c r="H353" s="5674" t="s">
        <v>28</v>
      </c>
      <c r="I353" s="5674" t="s">
        <v>1023</v>
      </c>
    </row>
    <row customHeight="1" ht="11.25">
      <c r="A354" s="5674" t="s">
        <v>2369</v>
      </c>
      <c r="B354" s="5674" t="s">
        <v>16</v>
      </c>
      <c r="C354" s="5674" t="s">
        <v>2899</v>
      </c>
      <c r="D354" s="5674" t="s">
        <v>2900</v>
      </c>
      <c r="E354" s="5674" t="s">
        <v>2901</v>
      </c>
      <c r="F354" s="5674" t="s">
        <v>2413</v>
      </c>
      <c r="G354" s="5674" t="s">
        <v>2902</v>
      </c>
      <c r="H354" s="5674" t="s">
        <v>28</v>
      </c>
      <c r="I354" s="5674" t="s">
        <v>1023</v>
      </c>
    </row>
    <row customHeight="1" ht="11.25">
      <c r="A355" s="5674" t="s">
        <v>2369</v>
      </c>
      <c r="B355" s="5674" t="s">
        <v>16</v>
      </c>
      <c r="C355" s="5674" t="s">
        <v>2529</v>
      </c>
      <c r="D355" s="5674" t="s">
        <v>2530</v>
      </c>
      <c r="E355" s="5674" t="s">
        <v>2531</v>
      </c>
      <c r="F355" s="5674" t="s">
        <v>2532</v>
      </c>
      <c r="G355" s="5674" t="s">
        <v>28</v>
      </c>
      <c r="H355" s="5674" t="s">
        <v>28</v>
      </c>
      <c r="I355" s="5674" t="s">
        <v>1023</v>
      </c>
    </row>
    <row customHeight="1" ht="11.25">
      <c r="A356" s="5674" t="s">
        <v>2369</v>
      </c>
      <c r="B356" s="5674" t="s">
        <v>16</v>
      </c>
      <c r="C356" s="5674" t="s">
        <v>3126</v>
      </c>
      <c r="D356" s="5674" t="s">
        <v>3127</v>
      </c>
      <c r="E356" s="5674" t="s">
        <v>3128</v>
      </c>
      <c r="F356" s="5674" t="s">
        <v>2542</v>
      </c>
      <c r="G356" s="5674" t="s">
        <v>28</v>
      </c>
      <c r="H356" s="5674" t="s">
        <v>28</v>
      </c>
      <c r="I356" s="5674" t="s">
        <v>1023</v>
      </c>
    </row>
    <row customHeight="1" ht="11.25">
      <c r="A357" s="5674" t="s">
        <v>2369</v>
      </c>
      <c r="B357" s="5674" t="s">
        <v>16</v>
      </c>
      <c r="C357" s="5674" t="s">
        <v>2533</v>
      </c>
      <c r="D357" s="5674" t="s">
        <v>2534</v>
      </c>
      <c r="E357" s="5674" t="s">
        <v>2535</v>
      </c>
      <c r="F357" s="5674" t="s">
        <v>2409</v>
      </c>
      <c r="G357" s="5674" t="s">
        <v>28</v>
      </c>
      <c r="H357" s="5674" t="s">
        <v>28</v>
      </c>
      <c r="I357" s="5674" t="s">
        <v>1023</v>
      </c>
    </row>
    <row customHeight="1" ht="11.25">
      <c r="A358" s="5674" t="s">
        <v>2369</v>
      </c>
      <c r="B358" s="5674" t="s">
        <v>16</v>
      </c>
      <c r="C358" s="5674" t="s">
        <v>2536</v>
      </c>
      <c r="D358" s="5674" t="s">
        <v>2537</v>
      </c>
      <c r="E358" s="5674" t="s">
        <v>2538</v>
      </c>
      <c r="F358" s="5674" t="s">
        <v>2409</v>
      </c>
      <c r="G358" s="5674" t="s">
        <v>28</v>
      </c>
      <c r="H358" s="5674" t="s">
        <v>28</v>
      </c>
      <c r="I358" s="5674" t="s">
        <v>1023</v>
      </c>
    </row>
    <row customHeight="1" ht="11.25">
      <c r="A359" s="5674" t="s">
        <v>2369</v>
      </c>
      <c r="B359" s="5674" t="s">
        <v>16</v>
      </c>
      <c r="C359" s="5674" t="s">
        <v>2539</v>
      </c>
      <c r="D359" s="5674" t="s">
        <v>2540</v>
      </c>
      <c r="E359" s="5674" t="s">
        <v>2541</v>
      </c>
      <c r="F359" s="5674" t="s">
        <v>2542</v>
      </c>
      <c r="G359" s="5674" t="s">
        <v>28</v>
      </c>
      <c r="H359" s="5674" t="s">
        <v>28</v>
      </c>
      <c r="I359" s="5674" t="s">
        <v>1023</v>
      </c>
    </row>
    <row customHeight="1" ht="11.25">
      <c r="A360" s="5674" t="s">
        <v>2369</v>
      </c>
      <c r="B360" s="5674" t="s">
        <v>16</v>
      </c>
      <c r="C360" s="5674" t="s">
        <v>2903</v>
      </c>
      <c r="D360" s="5674" t="s">
        <v>2904</v>
      </c>
      <c r="E360" s="5674" t="s">
        <v>2905</v>
      </c>
      <c r="F360" s="5674" t="s">
        <v>2479</v>
      </c>
      <c r="G360" s="5674" t="s">
        <v>28</v>
      </c>
      <c r="H360" s="5674" t="s">
        <v>28</v>
      </c>
      <c r="I360" s="5674" t="s">
        <v>1023</v>
      </c>
    </row>
    <row customHeight="1" ht="11.25">
      <c r="A361" s="5674" t="s">
        <v>2369</v>
      </c>
      <c r="B361" s="5674" t="s">
        <v>16</v>
      </c>
      <c r="C361" s="5674" t="s">
        <v>2906</v>
      </c>
      <c r="D361" s="5674" t="s">
        <v>2907</v>
      </c>
      <c r="E361" s="5674" t="s">
        <v>2908</v>
      </c>
      <c r="F361" s="5674" t="s">
        <v>2442</v>
      </c>
      <c r="G361" s="5674" t="s">
        <v>2909</v>
      </c>
      <c r="H361" s="5674" t="s">
        <v>28</v>
      </c>
      <c r="I361" s="5674" t="s">
        <v>1023</v>
      </c>
    </row>
    <row customHeight="1" ht="11.25">
      <c r="A362" s="5674" t="s">
        <v>2369</v>
      </c>
      <c r="B362" s="5674" t="s">
        <v>16</v>
      </c>
      <c r="C362" s="5674" t="s">
        <v>2910</v>
      </c>
      <c r="D362" s="5674" t="s">
        <v>2911</v>
      </c>
      <c r="E362" s="5674" t="s">
        <v>2912</v>
      </c>
      <c r="F362" s="5674" t="s">
        <v>2500</v>
      </c>
      <c r="G362" s="5674" t="s">
        <v>2913</v>
      </c>
      <c r="H362" s="5674" t="s">
        <v>28</v>
      </c>
      <c r="I362" s="5674" t="s">
        <v>1023</v>
      </c>
    </row>
    <row customHeight="1" ht="11.25">
      <c r="A363" s="5674" t="s">
        <v>2369</v>
      </c>
      <c r="B363" s="5674" t="s">
        <v>16</v>
      </c>
      <c r="C363" s="5674" t="s">
        <v>2543</v>
      </c>
      <c r="D363" s="5674" t="s">
        <v>2544</v>
      </c>
      <c r="E363" s="5674" t="s">
        <v>2545</v>
      </c>
      <c r="F363" s="5674" t="s">
        <v>2413</v>
      </c>
      <c r="G363" s="5674" t="s">
        <v>28</v>
      </c>
      <c r="H363" s="5674" t="s">
        <v>28</v>
      </c>
      <c r="I363" s="5674" t="s">
        <v>1023</v>
      </c>
    </row>
    <row customHeight="1" ht="11.25">
      <c r="A364" s="5674" t="s">
        <v>2369</v>
      </c>
      <c r="B364" s="5674" t="s">
        <v>16</v>
      </c>
      <c r="C364" s="5674" t="s">
        <v>2914</v>
      </c>
      <c r="D364" s="5674" t="s">
        <v>2915</v>
      </c>
      <c r="E364" s="5674" t="s">
        <v>2916</v>
      </c>
      <c r="F364" s="5674" t="s">
        <v>2879</v>
      </c>
      <c r="G364" s="5674" t="s">
        <v>28</v>
      </c>
      <c r="H364" s="5674" t="s">
        <v>28</v>
      </c>
      <c r="I364" s="5674" t="s">
        <v>1023</v>
      </c>
    </row>
    <row customHeight="1" ht="11.25">
      <c r="A365" s="5674" t="s">
        <v>2369</v>
      </c>
      <c r="B365" s="5674" t="s">
        <v>16</v>
      </c>
      <c r="C365" s="5674" t="s">
        <v>2546</v>
      </c>
      <c r="D365" s="5674" t="s">
        <v>2547</v>
      </c>
      <c r="E365" s="5674" t="s">
        <v>2548</v>
      </c>
      <c r="F365" s="5674" t="s">
        <v>2532</v>
      </c>
      <c r="G365" s="5674" t="s">
        <v>28</v>
      </c>
      <c r="H365" s="5674" t="s">
        <v>28</v>
      </c>
      <c r="I365" s="5674" t="s">
        <v>1023</v>
      </c>
    </row>
    <row customHeight="1" ht="11.25">
      <c r="A366" s="5674" t="s">
        <v>2369</v>
      </c>
      <c r="B366" s="5674" t="s">
        <v>16</v>
      </c>
      <c r="C366" s="5674" t="s">
        <v>2917</v>
      </c>
      <c r="D366" s="5674" t="s">
        <v>2918</v>
      </c>
      <c r="E366" s="5674" t="s">
        <v>2919</v>
      </c>
      <c r="F366" s="5674" t="s">
        <v>2442</v>
      </c>
      <c r="G366" s="5674" t="s">
        <v>28</v>
      </c>
      <c r="H366" s="5674" t="s">
        <v>28</v>
      </c>
      <c r="I366" s="5674" t="s">
        <v>1023</v>
      </c>
    </row>
    <row customHeight="1" ht="11.25">
      <c r="A367" s="5674" t="s">
        <v>2369</v>
      </c>
      <c r="B367" s="5674" t="s">
        <v>16</v>
      </c>
      <c r="C367" s="5674" t="s">
        <v>2920</v>
      </c>
      <c r="D367" s="5674" t="s">
        <v>2921</v>
      </c>
      <c r="E367" s="5674" t="s">
        <v>2922</v>
      </c>
      <c r="F367" s="5674" t="s">
        <v>2793</v>
      </c>
      <c r="G367" s="5674" t="s">
        <v>28</v>
      </c>
      <c r="H367" s="5674" t="s">
        <v>28</v>
      </c>
      <c r="I367" s="5674" t="s">
        <v>1023</v>
      </c>
    </row>
    <row customHeight="1" ht="11.25">
      <c r="A368" s="5674" t="s">
        <v>2369</v>
      </c>
      <c r="B368" s="5674" t="s">
        <v>16</v>
      </c>
      <c r="C368" s="5674" t="s">
        <v>2923</v>
      </c>
      <c r="D368" s="5674" t="s">
        <v>2924</v>
      </c>
      <c r="E368" s="5674" t="s">
        <v>2925</v>
      </c>
      <c r="F368" s="5674" t="s">
        <v>2376</v>
      </c>
      <c r="G368" s="5674" t="s">
        <v>28</v>
      </c>
      <c r="H368" s="5674" t="s">
        <v>28</v>
      </c>
      <c r="I368" s="5674" t="s">
        <v>1023</v>
      </c>
    </row>
    <row customHeight="1" ht="11.25">
      <c r="A369" s="5674" t="s">
        <v>2369</v>
      </c>
      <c r="B369" s="5674" t="s">
        <v>16</v>
      </c>
      <c r="C369" s="5674" t="s">
        <v>2549</v>
      </c>
      <c r="D369" s="5674" t="s">
        <v>2550</v>
      </c>
      <c r="E369" s="5674" t="s">
        <v>2551</v>
      </c>
      <c r="F369" s="5674" t="s">
        <v>2552</v>
      </c>
      <c r="G369" s="5674" t="s">
        <v>28</v>
      </c>
      <c r="H369" s="5674" t="s">
        <v>28</v>
      </c>
      <c r="I369" s="5674" t="s">
        <v>1023</v>
      </c>
    </row>
    <row customHeight="1" ht="11.25">
      <c r="A370" s="5674" t="s">
        <v>2369</v>
      </c>
      <c r="B370" s="5674" t="s">
        <v>16</v>
      </c>
      <c r="C370" s="5674" t="s">
        <v>2926</v>
      </c>
      <c r="D370" s="5674" t="s">
        <v>2927</v>
      </c>
      <c r="E370" s="5674" t="s">
        <v>2928</v>
      </c>
      <c r="F370" s="5674" t="s">
        <v>2793</v>
      </c>
      <c r="G370" s="5674" t="s">
        <v>28</v>
      </c>
      <c r="H370" s="5674" t="s">
        <v>28</v>
      </c>
      <c r="I370" s="5674" t="s">
        <v>1023</v>
      </c>
    </row>
    <row customHeight="1" ht="11.25">
      <c r="A371" s="5674" t="s">
        <v>2369</v>
      </c>
      <c r="B371" s="5674" t="s">
        <v>16</v>
      </c>
      <c r="C371" s="5674" t="s">
        <v>2553</v>
      </c>
      <c r="D371" s="5674" t="s">
        <v>2554</v>
      </c>
      <c r="E371" s="5674" t="s">
        <v>2555</v>
      </c>
      <c r="F371" s="5674" t="s">
        <v>54</v>
      </c>
      <c r="G371" s="5674" t="s">
        <v>28</v>
      </c>
      <c r="H371" s="5674" t="s">
        <v>28</v>
      </c>
      <c r="I371" s="5674" t="s">
        <v>1023</v>
      </c>
    </row>
    <row customHeight="1" ht="11.25">
      <c r="A372" s="5674" t="s">
        <v>2369</v>
      </c>
      <c r="B372" s="5674" t="s">
        <v>16</v>
      </c>
      <c r="C372" s="5674" t="s">
        <v>2563</v>
      </c>
      <c r="D372" s="5674" t="s">
        <v>2564</v>
      </c>
      <c r="E372" s="5674" t="s">
        <v>2565</v>
      </c>
      <c r="F372" s="5674" t="s">
        <v>2566</v>
      </c>
      <c r="G372" s="5674" t="s">
        <v>28</v>
      </c>
      <c r="H372" s="5674" t="s">
        <v>28</v>
      </c>
      <c r="I372" s="5674" t="s">
        <v>1023</v>
      </c>
    </row>
    <row customHeight="1" ht="11.25">
      <c r="A373" s="5674" t="s">
        <v>2369</v>
      </c>
      <c r="B373" s="5674" t="s">
        <v>16</v>
      </c>
      <c r="C373" s="5674" t="s">
        <v>3129</v>
      </c>
      <c r="D373" s="5674" t="s">
        <v>3130</v>
      </c>
      <c r="E373" s="5674" t="s">
        <v>3131</v>
      </c>
      <c r="F373" s="5674" t="s">
        <v>2434</v>
      </c>
      <c r="G373" s="5674" t="s">
        <v>28</v>
      </c>
      <c r="H373" s="5674" t="s">
        <v>28</v>
      </c>
      <c r="I373" s="5674" t="s">
        <v>1023</v>
      </c>
    </row>
    <row customHeight="1" ht="11.25">
      <c r="A374" s="5674" t="s">
        <v>2369</v>
      </c>
      <c r="B374" s="5674" t="s">
        <v>16</v>
      </c>
      <c r="C374" s="5674" t="s">
        <v>2584</v>
      </c>
      <c r="D374" s="5674" t="s">
        <v>2585</v>
      </c>
      <c r="E374" s="5674" t="s">
        <v>2586</v>
      </c>
      <c r="F374" s="5674" t="s">
        <v>2409</v>
      </c>
      <c r="G374" s="5674" t="s">
        <v>28</v>
      </c>
      <c r="H374" s="5674" t="s">
        <v>28</v>
      </c>
      <c r="I374" s="5674" t="s">
        <v>1023</v>
      </c>
    </row>
    <row customHeight="1" ht="11.25">
      <c r="A375" s="5674" t="s">
        <v>2369</v>
      </c>
      <c r="B375" s="5674" t="s">
        <v>16</v>
      </c>
      <c r="C375" s="5674" t="s">
        <v>2935</v>
      </c>
      <c r="D375" s="5674" t="s">
        <v>2936</v>
      </c>
      <c r="E375" s="5674" t="s">
        <v>2937</v>
      </c>
      <c r="F375" s="5674" t="s">
        <v>2413</v>
      </c>
      <c r="G375" s="5674" t="s">
        <v>2938</v>
      </c>
      <c r="H375" s="5674" t="s">
        <v>28</v>
      </c>
      <c r="I375" s="5674" t="s">
        <v>1023</v>
      </c>
    </row>
    <row customHeight="1" ht="11.25">
      <c r="A376" s="5674" t="s">
        <v>2369</v>
      </c>
      <c r="B376" s="5674" t="s">
        <v>16</v>
      </c>
      <c r="C376" s="5674" t="s">
        <v>2939</v>
      </c>
      <c r="D376" s="5674" t="s">
        <v>2940</v>
      </c>
      <c r="E376" s="5674" t="s">
        <v>2941</v>
      </c>
      <c r="F376" s="5674" t="s">
        <v>2425</v>
      </c>
      <c r="G376" s="5674" t="s">
        <v>2942</v>
      </c>
      <c r="H376" s="5674" t="s">
        <v>28</v>
      </c>
      <c r="I376" s="5674" t="s">
        <v>1023</v>
      </c>
    </row>
    <row customHeight="1" ht="11.25">
      <c r="A377" s="5674" t="s">
        <v>2369</v>
      </c>
      <c r="B377" s="5674" t="s">
        <v>16</v>
      </c>
      <c r="C377" s="5674" t="s">
        <v>2943</v>
      </c>
      <c r="D377" s="5674" t="s">
        <v>2944</v>
      </c>
      <c r="E377" s="5674" t="s">
        <v>2945</v>
      </c>
      <c r="F377" s="5674" t="s">
        <v>2690</v>
      </c>
      <c r="G377" s="5674" t="s">
        <v>2946</v>
      </c>
      <c r="H377" s="5674" t="s">
        <v>28</v>
      </c>
      <c r="I377" s="5674" t="s">
        <v>1023</v>
      </c>
    </row>
    <row customHeight="1" ht="11.25">
      <c r="A378" s="5674" t="s">
        <v>2369</v>
      </c>
      <c r="B378" s="5674" t="s">
        <v>16</v>
      </c>
      <c r="C378" s="5674" t="s">
        <v>2947</v>
      </c>
      <c r="D378" s="5674" t="s">
        <v>2948</v>
      </c>
      <c r="E378" s="5674" t="s">
        <v>2949</v>
      </c>
      <c r="F378" s="5674" t="s">
        <v>2950</v>
      </c>
      <c r="G378" s="5674" t="s">
        <v>28</v>
      </c>
      <c r="H378" s="5674" t="s">
        <v>28</v>
      </c>
      <c r="I378" s="5674" t="s">
        <v>1023</v>
      </c>
    </row>
    <row customHeight="1" ht="11.25">
      <c r="A379" s="5674" t="s">
        <v>2369</v>
      </c>
      <c r="B379" s="5674" t="s">
        <v>16</v>
      </c>
      <c r="C379" s="5674" t="s">
        <v>2955</v>
      </c>
      <c r="D379" s="5674" t="s">
        <v>2956</v>
      </c>
      <c r="E379" s="5674" t="s">
        <v>2957</v>
      </c>
      <c r="F379" s="5674" t="s">
        <v>2401</v>
      </c>
      <c r="G379" s="5674" t="s">
        <v>28</v>
      </c>
      <c r="H379" s="5674" t="s">
        <v>28</v>
      </c>
      <c r="I379" s="5674" t="s">
        <v>1023</v>
      </c>
    </row>
    <row customHeight="1" ht="11.25">
      <c r="A380" s="5674" t="s">
        <v>2369</v>
      </c>
      <c r="B380" s="5674" t="s">
        <v>16</v>
      </c>
      <c r="C380" s="5674" t="s">
        <v>2958</v>
      </c>
      <c r="D380" s="5674" t="s">
        <v>2959</v>
      </c>
      <c r="E380" s="5674" t="s">
        <v>2960</v>
      </c>
      <c r="F380" s="5674" t="s">
        <v>2961</v>
      </c>
      <c r="G380" s="5674" t="s">
        <v>28</v>
      </c>
      <c r="H380" s="5674" t="s">
        <v>28</v>
      </c>
      <c r="I380" s="5674" t="s">
        <v>1023</v>
      </c>
    </row>
    <row customHeight="1" ht="11.25">
      <c r="A381" s="5674" t="s">
        <v>2369</v>
      </c>
      <c r="B381" s="5674" t="s">
        <v>16</v>
      </c>
      <c r="C381" s="5674" t="s">
        <v>2962</v>
      </c>
      <c r="D381" s="5674" t="s">
        <v>2963</v>
      </c>
      <c r="E381" s="5674" t="s">
        <v>2964</v>
      </c>
      <c r="F381" s="5674" t="s">
        <v>2767</v>
      </c>
      <c r="G381" s="5674" t="s">
        <v>28</v>
      </c>
      <c r="H381" s="5674" t="s">
        <v>28</v>
      </c>
      <c r="I381" s="5674" t="s">
        <v>1023</v>
      </c>
    </row>
    <row customHeight="1" ht="11.25">
      <c r="A382" s="5674" t="s">
        <v>2369</v>
      </c>
      <c r="B382" s="5674" t="s">
        <v>16</v>
      </c>
      <c r="C382" s="5674" t="s">
        <v>3132</v>
      </c>
      <c r="D382" s="5674" t="s">
        <v>3133</v>
      </c>
      <c r="E382" s="5674" t="s">
        <v>3134</v>
      </c>
      <c r="F382" s="5674" t="s">
        <v>2380</v>
      </c>
      <c r="G382" s="5674" t="s">
        <v>2954</v>
      </c>
      <c r="H382" s="5674" t="s">
        <v>28</v>
      </c>
      <c r="I382" s="5674" t="s">
        <v>1023</v>
      </c>
    </row>
    <row customHeight="1" ht="11.25">
      <c r="A383" s="5674" t="s">
        <v>2369</v>
      </c>
      <c r="B383" s="5674" t="s">
        <v>16</v>
      </c>
      <c r="C383" s="5674" t="s">
        <v>3135</v>
      </c>
      <c r="D383" s="5674" t="s">
        <v>3133</v>
      </c>
      <c r="E383" s="5674" t="s">
        <v>3136</v>
      </c>
      <c r="F383" s="5674" t="s">
        <v>2793</v>
      </c>
      <c r="G383" s="5674" t="s">
        <v>2968</v>
      </c>
      <c r="H383" s="5674" t="s">
        <v>28</v>
      </c>
      <c r="I383" s="5674" t="s">
        <v>1023</v>
      </c>
    </row>
    <row customHeight="1" ht="11.25">
      <c r="A384" s="5674" t="s">
        <v>2369</v>
      </c>
      <c r="B384" s="5674" t="s">
        <v>16</v>
      </c>
      <c r="C384" s="5674" t="s">
        <v>2599</v>
      </c>
      <c r="D384" s="5674" t="s">
        <v>2600</v>
      </c>
      <c r="E384" s="5674" t="s">
        <v>2601</v>
      </c>
      <c r="F384" s="5674" t="s">
        <v>2602</v>
      </c>
      <c r="G384" s="5674" t="s">
        <v>2603</v>
      </c>
      <c r="H384" s="5674" t="s">
        <v>28</v>
      </c>
      <c r="I384" s="5674" t="s">
        <v>1023</v>
      </c>
    </row>
    <row customHeight="1" ht="11.25">
      <c r="A385" s="5674" t="s">
        <v>2369</v>
      </c>
      <c r="B385" s="5674" t="s">
        <v>16</v>
      </c>
      <c r="C385" s="5674" t="s">
        <v>2969</v>
      </c>
      <c r="D385" s="5674" t="s">
        <v>2970</v>
      </c>
      <c r="E385" s="5674" t="s">
        <v>2971</v>
      </c>
      <c r="F385" s="5674" t="s">
        <v>2413</v>
      </c>
      <c r="G385" s="5674" t="s">
        <v>28</v>
      </c>
      <c r="H385" s="5674" t="s">
        <v>28</v>
      </c>
      <c r="I385" s="5674" t="s">
        <v>1023</v>
      </c>
    </row>
    <row customHeight="1" ht="11.25">
      <c r="A386" s="5674" t="s">
        <v>2369</v>
      </c>
      <c r="B386" s="5674" t="s">
        <v>16</v>
      </c>
      <c r="C386" s="5674" t="s">
        <v>3137</v>
      </c>
      <c r="D386" s="5674" t="s">
        <v>3138</v>
      </c>
      <c r="E386" s="5674" t="s">
        <v>3139</v>
      </c>
      <c r="F386" s="5674" t="s">
        <v>2376</v>
      </c>
      <c r="G386" s="5674" t="s">
        <v>28</v>
      </c>
      <c r="H386" s="5674" t="s">
        <v>28</v>
      </c>
      <c r="I386" s="5674" t="s">
        <v>1023</v>
      </c>
    </row>
    <row customHeight="1" ht="11.25">
      <c r="A387" s="5674" t="s">
        <v>2369</v>
      </c>
      <c r="B387" s="5674" t="s">
        <v>16</v>
      </c>
      <c r="C387" s="5674" t="s">
        <v>2975</v>
      </c>
      <c r="D387" s="5674" t="s">
        <v>2976</v>
      </c>
      <c r="E387" s="5674" t="s">
        <v>2977</v>
      </c>
      <c r="F387" s="5674" t="s">
        <v>2372</v>
      </c>
      <c r="G387" s="5674" t="s">
        <v>28</v>
      </c>
      <c r="H387" s="5674" t="s">
        <v>28</v>
      </c>
      <c r="I387" s="5674" t="s">
        <v>1023</v>
      </c>
    </row>
    <row customHeight="1" ht="11.25">
      <c r="A388" s="5674" t="s">
        <v>2369</v>
      </c>
      <c r="B388" s="5674" t="s">
        <v>16</v>
      </c>
      <c r="C388" s="5674" t="s">
        <v>2978</v>
      </c>
      <c r="D388" s="5674" t="s">
        <v>2979</v>
      </c>
      <c r="E388" s="5674" t="s">
        <v>2980</v>
      </c>
      <c r="F388" s="5674" t="s">
        <v>2376</v>
      </c>
      <c r="G388" s="5674" t="s">
        <v>28</v>
      </c>
      <c r="H388" s="5674" t="s">
        <v>28</v>
      </c>
      <c r="I388" s="5674" t="s">
        <v>1023</v>
      </c>
    </row>
    <row customHeight="1" ht="11.25">
      <c r="A389" s="5674" t="s">
        <v>2369</v>
      </c>
      <c r="B389" s="5674" t="s">
        <v>16</v>
      </c>
      <c r="C389" s="5674" t="s">
        <v>2616</v>
      </c>
      <c r="D389" s="5674" t="s">
        <v>2617</v>
      </c>
      <c r="E389" s="5674" t="s">
        <v>2618</v>
      </c>
      <c r="F389" s="5674" t="s">
        <v>2602</v>
      </c>
      <c r="G389" s="5674" t="s">
        <v>28</v>
      </c>
      <c r="H389" s="5674" t="s">
        <v>28</v>
      </c>
      <c r="I389" s="5674" t="s">
        <v>1023</v>
      </c>
    </row>
    <row customHeight="1" ht="11.25">
      <c r="A390" s="5674" t="s">
        <v>2369</v>
      </c>
      <c r="B390" s="5674" t="s">
        <v>16</v>
      </c>
      <c r="C390" s="5674" t="s">
        <v>2622</v>
      </c>
      <c r="D390" s="5674" t="s">
        <v>2623</v>
      </c>
      <c r="E390" s="5674" t="s">
        <v>2624</v>
      </c>
      <c r="F390" s="5674" t="s">
        <v>2602</v>
      </c>
      <c r="G390" s="5674" t="s">
        <v>28</v>
      </c>
      <c r="H390" s="5674" t="s">
        <v>28</v>
      </c>
      <c r="I390" s="5674" t="s">
        <v>1023</v>
      </c>
    </row>
    <row customHeight="1" ht="11.25">
      <c r="A391" s="5674" t="s">
        <v>2369</v>
      </c>
      <c r="B391" s="5674" t="s">
        <v>16</v>
      </c>
      <c r="C391" s="5674" t="s">
        <v>2981</v>
      </c>
      <c r="D391" s="5674" t="s">
        <v>2982</v>
      </c>
      <c r="E391" s="5674" t="s">
        <v>2983</v>
      </c>
      <c r="F391" s="5674" t="s">
        <v>2602</v>
      </c>
      <c r="G391" s="5674" t="s">
        <v>28</v>
      </c>
      <c r="H391" s="5674" t="s">
        <v>28</v>
      </c>
      <c r="I391" s="5674" t="s">
        <v>1023</v>
      </c>
    </row>
    <row customHeight="1" ht="11.25">
      <c r="A392" s="5674" t="s">
        <v>2369</v>
      </c>
      <c r="B392" s="5674" t="s">
        <v>16</v>
      </c>
      <c r="C392" s="5674" t="s">
        <v>2984</v>
      </c>
      <c r="D392" s="5674" t="s">
        <v>2985</v>
      </c>
      <c r="E392" s="5674" t="s">
        <v>2986</v>
      </c>
      <c r="F392" s="5674" t="s">
        <v>2552</v>
      </c>
      <c r="G392" s="5674" t="s">
        <v>2987</v>
      </c>
      <c r="H392" s="5674" t="s">
        <v>28</v>
      </c>
      <c r="I392" s="5674" t="s">
        <v>1023</v>
      </c>
    </row>
    <row customHeight="1" ht="11.25">
      <c r="A393" s="5674" t="s">
        <v>2369</v>
      </c>
      <c r="B393" s="5674" t="s">
        <v>16</v>
      </c>
      <c r="C393" s="5674" t="s">
        <v>2988</v>
      </c>
      <c r="D393" s="5674" t="s">
        <v>2989</v>
      </c>
      <c r="E393" s="5674" t="s">
        <v>2990</v>
      </c>
      <c r="F393" s="5674" t="s">
        <v>2376</v>
      </c>
      <c r="G393" s="5674" t="s">
        <v>2991</v>
      </c>
      <c r="H393" s="5674" t="s">
        <v>28</v>
      </c>
      <c r="I393" s="5674" t="s">
        <v>1023</v>
      </c>
    </row>
    <row customHeight="1" ht="11.25">
      <c r="A394" s="5674" t="s">
        <v>2369</v>
      </c>
      <c r="B394" s="5674" t="s">
        <v>16</v>
      </c>
      <c r="C394" s="5674" t="s">
        <v>2992</v>
      </c>
      <c r="D394" s="5674" t="s">
        <v>2993</v>
      </c>
      <c r="E394" s="5674" t="s">
        <v>2994</v>
      </c>
      <c r="F394" s="5674" t="s">
        <v>2508</v>
      </c>
      <c r="G394" s="5674" t="s">
        <v>28</v>
      </c>
      <c r="H394" s="5674" t="s">
        <v>28</v>
      </c>
      <c r="I394" s="5674" t="s">
        <v>1023</v>
      </c>
    </row>
    <row customHeight="1" ht="11.25">
      <c r="A395" s="5674" t="s">
        <v>2369</v>
      </c>
      <c r="B395" s="5674" t="s">
        <v>16</v>
      </c>
      <c r="C395" s="5674" t="s">
        <v>2995</v>
      </c>
      <c r="D395" s="5674" t="s">
        <v>2996</v>
      </c>
      <c r="E395" s="5674" t="s">
        <v>2997</v>
      </c>
      <c r="F395" s="5674" t="s">
        <v>2793</v>
      </c>
      <c r="G395" s="5674" t="s">
        <v>2998</v>
      </c>
      <c r="H395" s="5674" t="s">
        <v>28</v>
      </c>
      <c r="I395" s="5674" t="s">
        <v>1023</v>
      </c>
    </row>
    <row customHeight="1" ht="11.25">
      <c r="A396" s="5674" t="s">
        <v>2369</v>
      </c>
      <c r="B396" s="5674" t="s">
        <v>16</v>
      </c>
      <c r="C396" s="5674" t="s">
        <v>2999</v>
      </c>
      <c r="D396" s="5674" t="s">
        <v>3000</v>
      </c>
      <c r="E396" s="5674" t="s">
        <v>3001</v>
      </c>
      <c r="F396" s="5674" t="s">
        <v>2434</v>
      </c>
      <c r="G396" s="5674" t="s">
        <v>3002</v>
      </c>
      <c r="H396" s="5674" t="s">
        <v>28</v>
      </c>
      <c r="I396" s="5674" t="s">
        <v>1023</v>
      </c>
    </row>
    <row customHeight="1" ht="11.25">
      <c r="A397" s="5674" t="s">
        <v>2369</v>
      </c>
      <c r="B397" s="5674" t="s">
        <v>16</v>
      </c>
      <c r="C397" s="5674" t="s">
        <v>3140</v>
      </c>
      <c r="D397" s="5674" t="s">
        <v>3141</v>
      </c>
      <c r="E397" s="5674" t="s">
        <v>3142</v>
      </c>
      <c r="F397" s="5674" t="s">
        <v>2372</v>
      </c>
      <c r="G397" s="5674" t="s">
        <v>28</v>
      </c>
      <c r="H397" s="5674" t="s">
        <v>28</v>
      </c>
      <c r="I397" s="5674" t="s">
        <v>1023</v>
      </c>
    </row>
    <row customHeight="1" ht="11.25">
      <c r="A398" s="5674" t="s">
        <v>2369</v>
      </c>
      <c r="B398" s="5674" t="s">
        <v>16</v>
      </c>
      <c r="C398" s="5674" t="s">
        <v>2634</v>
      </c>
      <c r="D398" s="5674" t="s">
        <v>2635</v>
      </c>
      <c r="E398" s="5674" t="s">
        <v>2636</v>
      </c>
      <c r="F398" s="5674" t="s">
        <v>2602</v>
      </c>
      <c r="G398" s="5674" t="s">
        <v>28</v>
      </c>
      <c r="H398" s="5674" t="s">
        <v>28</v>
      </c>
      <c r="I398" s="5674" t="s">
        <v>1023</v>
      </c>
    </row>
    <row customHeight="1" ht="11.25">
      <c r="A399" s="5674" t="s">
        <v>2369</v>
      </c>
      <c r="B399" s="5674" t="s">
        <v>16</v>
      </c>
      <c r="C399" s="5674" t="s">
        <v>3007</v>
      </c>
      <c r="D399" s="5674" t="s">
        <v>3008</v>
      </c>
      <c r="E399" s="5674" t="s">
        <v>3009</v>
      </c>
      <c r="F399" s="5674" t="s">
        <v>2552</v>
      </c>
      <c r="G399" s="5674" t="s">
        <v>28</v>
      </c>
      <c r="H399" s="5674" t="s">
        <v>28</v>
      </c>
      <c r="I399" s="5674" t="s">
        <v>1023</v>
      </c>
    </row>
    <row customHeight="1" ht="11.25">
      <c r="A400" s="5674" t="s">
        <v>2369</v>
      </c>
      <c r="B400" s="5674" t="s">
        <v>16</v>
      </c>
      <c r="C400" s="5674" t="s">
        <v>2647</v>
      </c>
      <c r="D400" s="5674" t="s">
        <v>2648</v>
      </c>
      <c r="E400" s="5674" t="s">
        <v>2649</v>
      </c>
      <c r="F400" s="5674" t="s">
        <v>2413</v>
      </c>
      <c r="G400" s="5674" t="s">
        <v>28</v>
      </c>
      <c r="H400" s="5674" t="s">
        <v>28</v>
      </c>
      <c r="I400" s="5674" t="s">
        <v>1023</v>
      </c>
    </row>
    <row customHeight="1" ht="11.25">
      <c r="A401" s="5674" t="s">
        <v>2369</v>
      </c>
      <c r="B401" s="5674" t="s">
        <v>16</v>
      </c>
      <c r="C401" s="5674" t="s">
        <v>2665</v>
      </c>
      <c r="D401" s="5674" t="s">
        <v>2666</v>
      </c>
      <c r="E401" s="5674" t="s">
        <v>2667</v>
      </c>
      <c r="F401" s="5674" t="s">
        <v>2573</v>
      </c>
      <c r="G401" s="5674" t="s">
        <v>2668</v>
      </c>
      <c r="H401" s="5674" t="s">
        <v>28</v>
      </c>
      <c r="I401" s="5674" t="s">
        <v>1023</v>
      </c>
    </row>
    <row customHeight="1" ht="11.25">
      <c r="A402" s="5674" t="s">
        <v>2369</v>
      </c>
      <c r="B402" s="5674" t="s">
        <v>16</v>
      </c>
      <c r="C402" s="5674" t="s">
        <v>3010</v>
      </c>
      <c r="D402" s="5674" t="s">
        <v>3011</v>
      </c>
      <c r="E402" s="5674" t="s">
        <v>3012</v>
      </c>
      <c r="F402" s="5674" t="s">
        <v>2559</v>
      </c>
      <c r="G402" s="5674" t="s">
        <v>28</v>
      </c>
      <c r="H402" s="5674" t="s">
        <v>28</v>
      </c>
      <c r="I402" s="5674" t="s">
        <v>1023</v>
      </c>
    </row>
    <row customHeight="1" ht="11.25">
      <c r="A403" s="5674" t="s">
        <v>2369</v>
      </c>
      <c r="B403" s="5674" t="s">
        <v>16</v>
      </c>
      <c r="C403" s="5674" t="s">
        <v>3013</v>
      </c>
      <c r="D403" s="5674" t="s">
        <v>3014</v>
      </c>
      <c r="E403" s="5674" t="s">
        <v>3015</v>
      </c>
      <c r="F403" s="5674" t="s">
        <v>2508</v>
      </c>
      <c r="G403" s="5674" t="s">
        <v>28</v>
      </c>
      <c r="H403" s="5674" t="s">
        <v>28</v>
      </c>
      <c r="I403" s="5674" t="s">
        <v>1023</v>
      </c>
    </row>
    <row customHeight="1" ht="11.25">
      <c r="A404" s="5674" t="s">
        <v>2369</v>
      </c>
      <c r="B404" s="5674" t="s">
        <v>16</v>
      </c>
      <c r="C404" s="5674" t="s">
        <v>3016</v>
      </c>
      <c r="D404" s="5674" t="s">
        <v>3017</v>
      </c>
      <c r="E404" s="5674" t="s">
        <v>3018</v>
      </c>
      <c r="F404" s="5674" t="s">
        <v>3019</v>
      </c>
      <c r="G404" s="5674" t="s">
        <v>28</v>
      </c>
      <c r="H404" s="5674" t="s">
        <v>28</v>
      </c>
      <c r="I404" s="5674" t="s">
        <v>1023</v>
      </c>
    </row>
    <row customHeight="1" ht="11.25">
      <c r="A405" s="5674" t="s">
        <v>2369</v>
      </c>
      <c r="B405" s="5674" t="s">
        <v>16</v>
      </c>
      <c r="C405" s="5674" t="s">
        <v>3020</v>
      </c>
      <c r="D405" s="5674" t="s">
        <v>3021</v>
      </c>
      <c r="E405" s="5674" t="s">
        <v>3022</v>
      </c>
      <c r="F405" s="5674" t="s">
        <v>2573</v>
      </c>
      <c r="G405" s="5674" t="s">
        <v>28</v>
      </c>
      <c r="H405" s="5674" t="s">
        <v>28</v>
      </c>
      <c r="I405" s="5674" t="s">
        <v>1023</v>
      </c>
    </row>
    <row customHeight="1" ht="11.25">
      <c r="A406" s="5674" t="s">
        <v>2369</v>
      </c>
      <c r="B406" s="5674" t="s">
        <v>16</v>
      </c>
      <c r="C406" s="5674" t="s">
        <v>3023</v>
      </c>
      <c r="D406" s="5674" t="s">
        <v>3024</v>
      </c>
      <c r="E406" s="5674" t="s">
        <v>3025</v>
      </c>
      <c r="F406" s="5674" t="s">
        <v>2401</v>
      </c>
      <c r="G406" s="5674" t="s">
        <v>28</v>
      </c>
      <c r="H406" s="5674" t="s">
        <v>28</v>
      </c>
      <c r="I406" s="5674" t="s">
        <v>1023</v>
      </c>
    </row>
    <row customHeight="1" ht="11.25">
      <c r="A407" s="5674" t="s">
        <v>2369</v>
      </c>
      <c r="B407" s="5674" t="s">
        <v>16</v>
      </c>
      <c r="C407" s="5674" t="s">
        <v>2684</v>
      </c>
      <c r="D407" s="5674" t="s">
        <v>2685</v>
      </c>
      <c r="E407" s="5674" t="s">
        <v>2686</v>
      </c>
      <c r="F407" s="5674" t="s">
        <v>2552</v>
      </c>
      <c r="G407" s="5674" t="s">
        <v>2435</v>
      </c>
      <c r="H407" s="5674" t="s">
        <v>28</v>
      </c>
      <c r="I407" s="5674" t="s">
        <v>1023</v>
      </c>
    </row>
    <row customHeight="1" ht="11.25">
      <c r="A408" s="5674" t="s">
        <v>2369</v>
      </c>
      <c r="B408" s="5674" t="s">
        <v>16</v>
      </c>
      <c r="C408" s="5674" t="s">
        <v>3143</v>
      </c>
      <c r="D408" s="5674" t="s">
        <v>3144</v>
      </c>
      <c r="E408" s="5674" t="s">
        <v>3145</v>
      </c>
      <c r="F408" s="5674" t="s">
        <v>2690</v>
      </c>
      <c r="G408" s="5674" t="s">
        <v>3146</v>
      </c>
      <c r="H408" s="5674" t="s">
        <v>28</v>
      </c>
      <c r="I408" s="5674" t="s">
        <v>1023</v>
      </c>
    </row>
    <row customHeight="1" ht="11.25">
      <c r="A409" s="5674" t="s">
        <v>2369</v>
      </c>
      <c r="B409" s="5674" t="s">
        <v>16</v>
      </c>
      <c r="C409" s="5674" t="s">
        <v>3026</v>
      </c>
      <c r="D409" s="5674" t="s">
        <v>3027</v>
      </c>
      <c r="E409" s="5674" t="s">
        <v>3028</v>
      </c>
      <c r="F409" s="5674" t="s">
        <v>2552</v>
      </c>
      <c r="G409" s="5674" t="s">
        <v>28</v>
      </c>
      <c r="H409" s="5674" t="s">
        <v>28</v>
      </c>
      <c r="I409" s="5674" t="s">
        <v>1023</v>
      </c>
    </row>
    <row customHeight="1" ht="11.25">
      <c r="A410" s="5674" t="s">
        <v>2369</v>
      </c>
      <c r="B410" s="5674" t="s">
        <v>16</v>
      </c>
      <c r="C410" s="5674" t="s">
        <v>2708</v>
      </c>
      <c r="D410" s="5674" t="s">
        <v>2709</v>
      </c>
      <c r="E410" s="5674" t="s">
        <v>2710</v>
      </c>
      <c r="F410" s="5674" t="s">
        <v>2711</v>
      </c>
      <c r="G410" s="5674" t="s">
        <v>28</v>
      </c>
      <c r="H410" s="5674" t="s">
        <v>28</v>
      </c>
      <c r="I410" s="5674" t="s">
        <v>1023</v>
      </c>
    </row>
    <row customHeight="1" ht="11.25">
      <c r="A411" s="5674" t="s">
        <v>2369</v>
      </c>
      <c r="B411" s="5674" t="s">
        <v>16</v>
      </c>
      <c r="C411" s="5674" t="s">
        <v>3032</v>
      </c>
      <c r="D411" s="5674" t="s">
        <v>3033</v>
      </c>
      <c r="E411" s="5674" t="s">
        <v>3034</v>
      </c>
      <c r="F411" s="5674" t="s">
        <v>2401</v>
      </c>
      <c r="G411" s="5674" t="s">
        <v>28</v>
      </c>
      <c r="H411" s="5674" t="s">
        <v>28</v>
      </c>
      <c r="I411" s="5674" t="s">
        <v>1023</v>
      </c>
    </row>
    <row customHeight="1" ht="11.25">
      <c r="A412" s="5674" t="s">
        <v>2369</v>
      </c>
      <c r="B412" s="5674" t="s">
        <v>16</v>
      </c>
      <c r="C412" s="5674" t="s">
        <v>3035</v>
      </c>
      <c r="D412" s="5674" t="s">
        <v>3036</v>
      </c>
      <c r="E412" s="5674" t="s">
        <v>3037</v>
      </c>
      <c r="F412" s="5674" t="s">
        <v>2602</v>
      </c>
      <c r="G412" s="5674" t="s">
        <v>28</v>
      </c>
      <c r="H412" s="5674" t="s">
        <v>28</v>
      </c>
      <c r="I412" s="5674" t="s">
        <v>1023</v>
      </c>
    </row>
    <row customHeight="1" ht="11.25">
      <c r="A413" s="5674" t="s">
        <v>2369</v>
      </c>
      <c r="B413" s="5674" t="s">
        <v>16</v>
      </c>
      <c r="C413" s="5674" t="s">
        <v>3044</v>
      </c>
      <c r="D413" s="5674" t="s">
        <v>3045</v>
      </c>
      <c r="E413" s="5674" t="s">
        <v>3046</v>
      </c>
      <c r="F413" s="5674" t="s">
        <v>2479</v>
      </c>
      <c r="G413" s="5674" t="s">
        <v>28</v>
      </c>
      <c r="H413" s="5674" t="s">
        <v>28</v>
      </c>
      <c r="I413" s="5674" t="s">
        <v>1023</v>
      </c>
    </row>
    <row customHeight="1" ht="11.25">
      <c r="A414" s="5674" t="s">
        <v>2369</v>
      </c>
      <c r="B414" s="5674" t="s">
        <v>16</v>
      </c>
      <c r="C414" s="5674" t="s">
        <v>3047</v>
      </c>
      <c r="D414" s="5674" t="s">
        <v>3048</v>
      </c>
      <c r="E414" s="5674" t="s">
        <v>3049</v>
      </c>
      <c r="F414" s="5674" t="s">
        <v>2372</v>
      </c>
      <c r="G414" s="5674" t="s">
        <v>28</v>
      </c>
      <c r="H414" s="5674" t="s">
        <v>28</v>
      </c>
      <c r="I414" s="5674" t="s">
        <v>1023</v>
      </c>
    </row>
    <row customHeight="1" ht="11.25">
      <c r="A415" s="5674" t="s">
        <v>2369</v>
      </c>
      <c r="B415" s="5674" t="s">
        <v>16</v>
      </c>
      <c r="C415" s="5674" t="s">
        <v>3053</v>
      </c>
      <c r="D415" s="5674" t="s">
        <v>3054</v>
      </c>
      <c r="E415" s="5674" t="s">
        <v>3055</v>
      </c>
      <c r="F415" s="5674" t="s">
        <v>2425</v>
      </c>
      <c r="G415" s="5674" t="s">
        <v>3056</v>
      </c>
      <c r="H415" s="5674" t="s">
        <v>28</v>
      </c>
      <c r="I415" s="5674" t="s">
        <v>1023</v>
      </c>
    </row>
    <row customHeight="1" ht="11.25">
      <c r="A416" s="5674" t="s">
        <v>2369</v>
      </c>
      <c r="B416" s="5674" t="s">
        <v>16</v>
      </c>
      <c r="C416" s="5674" t="s">
        <v>3057</v>
      </c>
      <c r="D416" s="5674" t="s">
        <v>3058</v>
      </c>
      <c r="E416" s="5674" t="s">
        <v>2371</v>
      </c>
      <c r="F416" s="5674" t="s">
        <v>2372</v>
      </c>
      <c r="G416" s="5674" t="s">
        <v>28</v>
      </c>
      <c r="H416" s="5674" t="s">
        <v>28</v>
      </c>
      <c r="I416" s="5674" t="s">
        <v>1023</v>
      </c>
    </row>
    <row customHeight="1" ht="11.25">
      <c r="A417" s="5674" t="s">
        <v>2369</v>
      </c>
      <c r="B417" s="5674" t="s">
        <v>16</v>
      </c>
      <c r="C417" s="5674" t="s">
        <v>3059</v>
      </c>
      <c r="D417" s="5674" t="s">
        <v>3060</v>
      </c>
      <c r="E417" s="5674" t="s">
        <v>3061</v>
      </c>
      <c r="F417" s="5674" t="s">
        <v>2376</v>
      </c>
      <c r="G417" s="5674" t="s">
        <v>28</v>
      </c>
      <c r="H417" s="5674" t="s">
        <v>28</v>
      </c>
      <c r="I417" s="5674" t="s">
        <v>1023</v>
      </c>
    </row>
    <row customHeight="1" ht="11.25">
      <c r="A418" s="5674" t="s">
        <v>2369</v>
      </c>
      <c r="B418" s="5674" t="s">
        <v>16</v>
      </c>
      <c r="C418" s="5674" t="s">
        <v>3062</v>
      </c>
      <c r="D418" s="5674" t="s">
        <v>3063</v>
      </c>
      <c r="E418" s="5674" t="s">
        <v>3064</v>
      </c>
      <c r="F418" s="5674" t="s">
        <v>2376</v>
      </c>
      <c r="G418" s="5674" t="s">
        <v>28</v>
      </c>
      <c r="H418" s="5674" t="s">
        <v>28</v>
      </c>
      <c r="I418" s="5674" t="s">
        <v>1023</v>
      </c>
    </row>
    <row customHeight="1" ht="11.25">
      <c r="A419" s="5674" t="s">
        <v>2369</v>
      </c>
      <c r="B419" s="5674" t="s">
        <v>16</v>
      </c>
      <c r="C419" s="5674" t="s">
        <v>2715</v>
      </c>
      <c r="D419" s="5674" t="s">
        <v>2716</v>
      </c>
      <c r="E419" s="5674" t="s">
        <v>2717</v>
      </c>
      <c r="F419" s="5674" t="s">
        <v>2384</v>
      </c>
      <c r="G419" s="5674" t="s">
        <v>28</v>
      </c>
      <c r="H419" s="5674" t="s">
        <v>28</v>
      </c>
      <c r="I419" s="5674" t="s">
        <v>1023</v>
      </c>
    </row>
    <row customHeight="1" ht="11.25">
      <c r="A420" s="5674" t="s">
        <v>2369</v>
      </c>
      <c r="B420" s="5674" t="s">
        <v>16</v>
      </c>
      <c r="C420" s="5674" t="s">
        <v>2726</v>
      </c>
      <c r="D420" s="5674" t="s">
        <v>2727</v>
      </c>
      <c r="E420" s="5674" t="s">
        <v>2728</v>
      </c>
      <c r="F420" s="5674" t="s">
        <v>2697</v>
      </c>
      <c r="G420" s="5674" t="s">
        <v>2729</v>
      </c>
      <c r="H420" s="5674" t="s">
        <v>28</v>
      </c>
      <c r="I420" s="5674" t="s">
        <v>1023</v>
      </c>
    </row>
    <row customHeight="1" ht="11.25">
      <c r="A421" s="5674" t="s">
        <v>2369</v>
      </c>
      <c r="B421" s="5674" t="s">
        <v>16</v>
      </c>
      <c r="C421" s="5674" t="s">
        <v>2730</v>
      </c>
      <c r="D421" s="5674" t="s">
        <v>2731</v>
      </c>
      <c r="E421" s="5674" t="s">
        <v>2732</v>
      </c>
      <c r="F421" s="5674" t="s">
        <v>2425</v>
      </c>
      <c r="G421" s="5674" t="s">
        <v>2733</v>
      </c>
      <c r="H421" s="5674" t="s">
        <v>28</v>
      </c>
      <c r="I421" s="5674" t="s">
        <v>1023</v>
      </c>
    </row>
    <row customHeight="1" ht="11.25">
      <c r="A422" s="5674" t="s">
        <v>2369</v>
      </c>
      <c r="B422" s="5674" t="s">
        <v>16</v>
      </c>
      <c r="C422" s="5674" t="s">
        <v>3071</v>
      </c>
      <c r="D422" s="5674" t="s">
        <v>3072</v>
      </c>
      <c r="E422" s="5674" t="s">
        <v>3073</v>
      </c>
      <c r="F422" s="5674" t="s">
        <v>3074</v>
      </c>
      <c r="G422" s="5674" t="s">
        <v>28</v>
      </c>
      <c r="H422" s="5674" t="s">
        <v>28</v>
      </c>
      <c r="I422" s="5674" t="s">
        <v>1023</v>
      </c>
    </row>
    <row customHeight="1" ht="11.25">
      <c r="A423" s="5674" t="s">
        <v>2369</v>
      </c>
      <c r="B423" s="5674" t="s">
        <v>16</v>
      </c>
      <c r="C423" s="5674" t="s">
        <v>3075</v>
      </c>
      <c r="D423" s="5674" t="s">
        <v>3076</v>
      </c>
      <c r="E423" s="5674" t="s">
        <v>3077</v>
      </c>
      <c r="F423" s="5674" t="s">
        <v>2508</v>
      </c>
      <c r="G423" s="5674" t="s">
        <v>28</v>
      </c>
      <c r="H423" s="5674" t="s">
        <v>28</v>
      </c>
      <c r="I423" s="5674" t="s">
        <v>1023</v>
      </c>
    </row>
    <row customHeight="1" ht="11.25">
      <c r="A424" s="5674" t="s">
        <v>2369</v>
      </c>
      <c r="B424" s="5674" t="s">
        <v>16</v>
      </c>
      <c r="C424" s="5674" t="s">
        <v>2744</v>
      </c>
      <c r="D424" s="5674" t="s">
        <v>2745</v>
      </c>
      <c r="E424" s="5674" t="s">
        <v>2746</v>
      </c>
      <c r="F424" s="5674" t="s">
        <v>2573</v>
      </c>
      <c r="G424" s="5674" t="s">
        <v>28</v>
      </c>
      <c r="H424" s="5674" t="s">
        <v>28</v>
      </c>
      <c r="I424" s="5674" t="s">
        <v>1023</v>
      </c>
    </row>
    <row customHeight="1" ht="11.25">
      <c r="A425" s="5674" t="s">
        <v>2369</v>
      </c>
      <c r="B425" s="5674" t="s">
        <v>16</v>
      </c>
      <c r="C425" s="5674" t="s">
        <v>2747</v>
      </c>
      <c r="D425" s="5674" t="s">
        <v>2748</v>
      </c>
      <c r="E425" s="5674" t="s">
        <v>2749</v>
      </c>
      <c r="F425" s="5674" t="s">
        <v>2750</v>
      </c>
      <c r="G425" s="5674" t="s">
        <v>2751</v>
      </c>
      <c r="H425" s="5674" t="s">
        <v>28</v>
      </c>
      <c r="I425" s="5674" t="s">
        <v>1023</v>
      </c>
    </row>
    <row customHeight="1" ht="11.25">
      <c r="A426" s="5674" t="s">
        <v>2369</v>
      </c>
      <c r="B426" s="5674" t="s">
        <v>16</v>
      </c>
      <c r="C426" s="5674" t="s">
        <v>2752</v>
      </c>
      <c r="D426" s="5674" t="s">
        <v>2753</v>
      </c>
      <c r="E426" s="5674" t="s">
        <v>2754</v>
      </c>
      <c r="F426" s="5674" t="s">
        <v>2573</v>
      </c>
      <c r="G426" s="5674" t="s">
        <v>28</v>
      </c>
      <c r="H426" s="5674" t="s">
        <v>28</v>
      </c>
      <c r="I426" s="5674" t="s">
        <v>1023</v>
      </c>
    </row>
    <row customHeight="1" ht="11.25">
      <c r="A427" s="5674" t="s">
        <v>2369</v>
      </c>
      <c r="B427" s="5674" t="s">
        <v>16</v>
      </c>
      <c r="C427" s="5674" t="s">
        <v>2758</v>
      </c>
      <c r="D427" s="5674" t="s">
        <v>2759</v>
      </c>
      <c r="E427" s="5674" t="s">
        <v>2760</v>
      </c>
      <c r="F427" s="5674" t="s">
        <v>2508</v>
      </c>
      <c r="G427" s="5674" t="s">
        <v>28</v>
      </c>
      <c r="H427" s="5674" t="s">
        <v>28</v>
      </c>
      <c r="I427" s="5674" t="s">
        <v>1023</v>
      </c>
    </row>
    <row customHeight="1" ht="11.25">
      <c r="A428" s="5674" t="s">
        <v>2369</v>
      </c>
      <c r="B428" s="5674" t="s">
        <v>16</v>
      </c>
      <c r="C428" s="5674" t="s">
        <v>3078</v>
      </c>
      <c r="D428" s="5674" t="s">
        <v>3079</v>
      </c>
      <c r="E428" s="5674" t="s">
        <v>3080</v>
      </c>
      <c r="F428" s="5674" t="s">
        <v>2890</v>
      </c>
      <c r="G428" s="5674" t="s">
        <v>28</v>
      </c>
      <c r="H428" s="5674" t="s">
        <v>28</v>
      </c>
      <c r="I428" s="5674" t="s">
        <v>1023</v>
      </c>
    </row>
    <row customHeight="1" ht="11.25">
      <c r="A429" s="5674" t="s">
        <v>2369</v>
      </c>
      <c r="B429" s="5674" t="s">
        <v>16</v>
      </c>
      <c r="C429" s="5674" t="s">
        <v>3081</v>
      </c>
      <c r="D429" s="5674" t="s">
        <v>3082</v>
      </c>
      <c r="E429" s="5674" t="s">
        <v>3083</v>
      </c>
      <c r="F429" s="5674" t="s">
        <v>2890</v>
      </c>
      <c r="G429" s="5674" t="s">
        <v>28</v>
      </c>
      <c r="H429" s="5674" t="s">
        <v>28</v>
      </c>
      <c r="I429" s="5674" t="s">
        <v>1023</v>
      </c>
    </row>
    <row customHeight="1" ht="11.25">
      <c r="A430" s="5674" t="s">
        <v>2369</v>
      </c>
      <c r="B430" s="5674" t="s">
        <v>16</v>
      </c>
      <c r="C430" s="5674" t="s">
        <v>3084</v>
      </c>
      <c r="D430" s="5674" t="s">
        <v>3085</v>
      </c>
      <c r="E430" s="5674" t="s">
        <v>3086</v>
      </c>
      <c r="F430" s="5674" t="s">
        <v>2401</v>
      </c>
      <c r="G430" s="5674" t="s">
        <v>28</v>
      </c>
      <c r="H430" s="5674" t="s">
        <v>28</v>
      </c>
      <c r="I430" s="5674" t="s">
        <v>1023</v>
      </c>
    </row>
    <row customHeight="1" ht="11.25">
      <c r="A431" s="5674" t="s">
        <v>2369</v>
      </c>
      <c r="B431" s="5674" t="s">
        <v>16</v>
      </c>
      <c r="C431" s="5674" t="s">
        <v>2761</v>
      </c>
      <c r="D431" s="5674" t="s">
        <v>2762</v>
      </c>
      <c r="E431" s="5674" t="s">
        <v>2763</v>
      </c>
      <c r="F431" s="5674" t="s">
        <v>2380</v>
      </c>
      <c r="G431" s="5674" t="s">
        <v>28</v>
      </c>
      <c r="H431" s="5674" t="s">
        <v>28</v>
      </c>
      <c r="I431" s="5674" t="s">
        <v>1023</v>
      </c>
    </row>
    <row customHeight="1" ht="11.25">
      <c r="A432" s="5674" t="s">
        <v>2369</v>
      </c>
      <c r="B432" s="5674" t="s">
        <v>16</v>
      </c>
      <c r="C432" s="5674" t="s">
        <v>2764</v>
      </c>
      <c r="D432" s="5674" t="s">
        <v>2765</v>
      </c>
      <c r="E432" s="5674" t="s">
        <v>2766</v>
      </c>
      <c r="F432" s="5674" t="s">
        <v>2767</v>
      </c>
      <c r="G432" s="5674" t="s">
        <v>28</v>
      </c>
      <c r="H432" s="5674" t="s">
        <v>28</v>
      </c>
      <c r="I432" s="5674" t="s">
        <v>1023</v>
      </c>
    </row>
    <row customHeight="1" ht="11.25">
      <c r="A433" s="5674" t="s">
        <v>2369</v>
      </c>
      <c r="B433" s="5674" t="s">
        <v>16</v>
      </c>
      <c r="C433" s="5674" t="s">
        <v>3096</v>
      </c>
      <c r="D433" s="5674" t="s">
        <v>3097</v>
      </c>
      <c r="E433" s="5674" t="s">
        <v>3098</v>
      </c>
      <c r="F433" s="5674" t="s">
        <v>2950</v>
      </c>
      <c r="G433" s="5674" t="s">
        <v>3099</v>
      </c>
      <c r="H433" s="5674" t="s">
        <v>28</v>
      </c>
      <c r="I433" s="5674" t="s">
        <v>1023</v>
      </c>
    </row>
    <row customHeight="1" ht="11.25">
      <c r="A434" s="5674" t="s">
        <v>2369</v>
      </c>
      <c r="B434" s="5674" t="s">
        <v>16</v>
      </c>
      <c r="C434" s="5674" t="s">
        <v>3100</v>
      </c>
      <c r="D434" s="5674" t="s">
        <v>3101</v>
      </c>
      <c r="E434" s="5674" t="s">
        <v>3102</v>
      </c>
      <c r="F434" s="5674" t="s">
        <v>2479</v>
      </c>
      <c r="G434" s="5674" t="s">
        <v>28</v>
      </c>
      <c r="H434" s="5674" t="s">
        <v>28</v>
      </c>
      <c r="I434" s="5674" t="s">
        <v>1023</v>
      </c>
    </row>
    <row customHeight="1" ht="11.25">
      <c r="A435" s="5674" t="s">
        <v>2369</v>
      </c>
      <c r="B435" s="5674" t="s">
        <v>16</v>
      </c>
      <c r="C435" s="5674" t="s">
        <v>3103</v>
      </c>
      <c r="D435" s="5674" t="s">
        <v>3104</v>
      </c>
      <c r="E435" s="5674" t="s">
        <v>3105</v>
      </c>
      <c r="F435" s="5674" t="s">
        <v>2500</v>
      </c>
      <c r="G435" s="5674" t="s">
        <v>28</v>
      </c>
      <c r="H435" s="5674" t="s">
        <v>28</v>
      </c>
      <c r="I435" s="5674" t="s">
        <v>1023</v>
      </c>
    </row>
    <row customHeight="1" ht="11.25">
      <c r="A436" s="5674" t="s">
        <v>2369</v>
      </c>
      <c r="B436" s="5674" t="s">
        <v>16</v>
      </c>
      <c r="C436" s="5674" t="s">
        <v>3112</v>
      </c>
      <c r="D436" s="5674" t="s">
        <v>3113</v>
      </c>
      <c r="E436" s="5674" t="s">
        <v>3114</v>
      </c>
      <c r="F436" s="5674" t="s">
        <v>2890</v>
      </c>
      <c r="G436" s="5674" t="s">
        <v>3115</v>
      </c>
      <c r="H436" s="5674" t="s">
        <v>28</v>
      </c>
      <c r="I436" s="5674" t="s">
        <v>1023</v>
      </c>
    </row>
    <row customHeight="1" ht="11.25">
      <c r="A437" s="5674" t="s">
        <v>2369</v>
      </c>
      <c r="B437" s="5674" t="s">
        <v>16</v>
      </c>
      <c r="C437" s="5674" t="s">
        <v>3116</v>
      </c>
      <c r="D437" s="5674" t="s">
        <v>3117</v>
      </c>
      <c r="E437" s="5674" t="s">
        <v>3118</v>
      </c>
      <c r="F437" s="5674" t="s">
        <v>2434</v>
      </c>
      <c r="G437" s="5674" t="s">
        <v>28</v>
      </c>
      <c r="H437" s="5674" t="s">
        <v>28</v>
      </c>
      <c r="I437" s="5674" t="s">
        <v>1023</v>
      </c>
    </row>
    <row customHeight="1" ht="11.25">
      <c r="A438" s="5674" t="s">
        <v>2369</v>
      </c>
      <c r="B438" s="5674" t="s">
        <v>16</v>
      </c>
      <c r="C438" s="5674" t="s">
        <v>2794</v>
      </c>
      <c r="D438" s="5674" t="s">
        <v>2795</v>
      </c>
      <c r="E438" s="5674" t="s">
        <v>2796</v>
      </c>
      <c r="F438" s="5674" t="s">
        <v>2401</v>
      </c>
      <c r="G438" s="5674" t="s">
        <v>28</v>
      </c>
      <c r="H438" s="5674" t="s">
        <v>28</v>
      </c>
      <c r="I438" s="5674" t="s">
        <v>1023</v>
      </c>
    </row>
    <row customHeight="1" ht="11.25">
      <c r="A439" s="5674" t="s">
        <v>2369</v>
      </c>
      <c r="B439" s="5674" t="s">
        <v>16</v>
      </c>
      <c r="C439" s="5674" t="s">
        <v>28</v>
      </c>
      <c r="D439" s="5674" t="s">
        <v>2370</v>
      </c>
      <c r="E439" s="5674" t="s">
        <v>2371</v>
      </c>
      <c r="F439" s="5674" t="s">
        <v>2372</v>
      </c>
      <c r="G439" s="5674" t="s">
        <v>28</v>
      </c>
      <c r="H439" s="5674" t="s">
        <v>28</v>
      </c>
      <c r="I439" s="5674" t="s">
        <v>1741</v>
      </c>
    </row>
    <row customHeight="1" ht="11.25">
      <c r="A440" s="5674" t="s">
        <v>2369</v>
      </c>
      <c r="B440" s="5674" t="s">
        <v>16</v>
      </c>
      <c r="C440" s="5674" t="s">
        <v>3147</v>
      </c>
      <c r="D440" s="5674" t="s">
        <v>3148</v>
      </c>
      <c r="E440" s="5674" t="s">
        <v>3149</v>
      </c>
      <c r="F440" s="5674" t="s">
        <v>692</v>
      </c>
      <c r="G440" s="5674" t="s">
        <v>3150</v>
      </c>
      <c r="H440" s="5674" t="s">
        <v>28</v>
      </c>
      <c r="I440" s="5674" t="s">
        <v>1741</v>
      </c>
    </row>
    <row customHeight="1" ht="11.25">
      <c r="A441" s="5674" t="s">
        <v>2369</v>
      </c>
      <c r="B441" s="5674" t="s">
        <v>16</v>
      </c>
      <c r="C441" s="5674" t="s">
        <v>2515</v>
      </c>
      <c r="D441" s="5674" t="s">
        <v>2516</v>
      </c>
      <c r="E441" s="5674" t="s">
        <v>2517</v>
      </c>
      <c r="F441" s="5674" t="s">
        <v>54</v>
      </c>
      <c r="G441" s="5674" t="s">
        <v>28</v>
      </c>
      <c r="H441" s="5674" t="s">
        <v>28</v>
      </c>
      <c r="I441" s="5674" t="s">
        <v>1741</v>
      </c>
    </row>
    <row customHeight="1" ht="11.25">
      <c r="A442" s="5674" t="s">
        <v>2369</v>
      </c>
      <c r="B442" s="5674" t="s">
        <v>16</v>
      </c>
      <c r="C442" s="5674" t="s">
        <v>2864</v>
      </c>
      <c r="D442" s="5674" t="s">
        <v>2865</v>
      </c>
      <c r="E442" s="5674" t="s">
        <v>2866</v>
      </c>
      <c r="F442" s="5674" t="s">
        <v>2602</v>
      </c>
      <c r="G442" s="5674" t="s">
        <v>28</v>
      </c>
      <c r="H442" s="5674" t="s">
        <v>28</v>
      </c>
      <c r="I442" s="5674" t="s">
        <v>1741</v>
      </c>
    </row>
    <row customHeight="1" ht="11.25">
      <c r="A443" s="5674" t="s">
        <v>2369</v>
      </c>
      <c r="B443" s="5674" t="s">
        <v>16</v>
      </c>
      <c r="C443" s="5674" t="s">
        <v>3151</v>
      </c>
      <c r="D443" s="5674" t="s">
        <v>3152</v>
      </c>
      <c r="E443" s="5674" t="s">
        <v>3153</v>
      </c>
      <c r="F443" s="5674" t="s">
        <v>2615</v>
      </c>
      <c r="G443" s="5674" t="s">
        <v>3154</v>
      </c>
      <c r="H443" s="5674" t="s">
        <v>28</v>
      </c>
      <c r="I443" s="5674" t="s">
        <v>1741</v>
      </c>
    </row>
    <row customHeight="1" ht="11.25">
      <c r="A444" s="5674" t="s">
        <v>2369</v>
      </c>
      <c r="B444" s="5674" t="s">
        <v>16</v>
      </c>
      <c r="C444" s="5674" t="s">
        <v>2526</v>
      </c>
      <c r="D444" s="5674" t="s">
        <v>2527</v>
      </c>
      <c r="E444" s="5674" t="s">
        <v>2528</v>
      </c>
      <c r="F444" s="5674" t="s">
        <v>2401</v>
      </c>
      <c r="G444" s="5674" t="s">
        <v>28</v>
      </c>
      <c r="H444" s="5674" t="s">
        <v>28</v>
      </c>
      <c r="I444" s="5674" t="s">
        <v>1741</v>
      </c>
    </row>
    <row customHeight="1" ht="11.25">
      <c r="A445" s="5674" t="s">
        <v>2369</v>
      </c>
      <c r="B445" s="5674" t="s">
        <v>16</v>
      </c>
      <c r="C445" s="5674" t="s">
        <v>3155</v>
      </c>
      <c r="D445" s="5674" t="s">
        <v>3156</v>
      </c>
      <c r="E445" s="5674" t="s">
        <v>3157</v>
      </c>
      <c r="F445" s="5674" t="s">
        <v>2500</v>
      </c>
      <c r="G445" s="5674" t="s">
        <v>28</v>
      </c>
      <c r="H445" s="5674" t="s">
        <v>28</v>
      </c>
      <c r="I445" s="5674" t="s">
        <v>1741</v>
      </c>
    </row>
    <row customHeight="1" ht="11.25">
      <c r="A446" s="5674" t="s">
        <v>2369</v>
      </c>
      <c r="B446" s="5674" t="s">
        <v>16</v>
      </c>
      <c r="C446" s="5674" t="s">
        <v>2533</v>
      </c>
      <c r="D446" s="5674" t="s">
        <v>2534</v>
      </c>
      <c r="E446" s="5674" t="s">
        <v>2535</v>
      </c>
      <c r="F446" s="5674" t="s">
        <v>2409</v>
      </c>
      <c r="G446" s="5674" t="s">
        <v>28</v>
      </c>
      <c r="H446" s="5674" t="s">
        <v>28</v>
      </c>
      <c r="I446" s="5674" t="s">
        <v>1741</v>
      </c>
    </row>
    <row customHeight="1" ht="11.25">
      <c r="A447" s="5674" t="s">
        <v>2369</v>
      </c>
      <c r="B447" s="5674" t="s">
        <v>16</v>
      </c>
      <c r="C447" s="5674" t="s">
        <v>2536</v>
      </c>
      <c r="D447" s="5674" t="s">
        <v>2537</v>
      </c>
      <c r="E447" s="5674" t="s">
        <v>2538</v>
      </c>
      <c r="F447" s="5674" t="s">
        <v>2409</v>
      </c>
      <c r="G447" s="5674" t="s">
        <v>28</v>
      </c>
      <c r="H447" s="5674" t="s">
        <v>28</v>
      </c>
      <c r="I447" s="5674" t="s">
        <v>1741</v>
      </c>
    </row>
    <row customHeight="1" ht="11.25">
      <c r="A448" s="5674" t="s">
        <v>2369</v>
      </c>
      <c r="B448" s="5674" t="s">
        <v>16</v>
      </c>
      <c r="C448" s="5674" t="s">
        <v>3158</v>
      </c>
      <c r="D448" s="5674" t="s">
        <v>3159</v>
      </c>
      <c r="E448" s="5674" t="s">
        <v>3160</v>
      </c>
      <c r="F448" s="5674" t="s">
        <v>2542</v>
      </c>
      <c r="G448" s="5674" t="s">
        <v>3161</v>
      </c>
      <c r="H448" s="5674" t="s">
        <v>28</v>
      </c>
      <c r="I448" s="5674" t="s">
        <v>1741</v>
      </c>
    </row>
    <row customHeight="1" ht="11.25">
      <c r="A449" s="5674" t="s">
        <v>2369</v>
      </c>
      <c r="B449" s="5674" t="s">
        <v>16</v>
      </c>
      <c r="C449" s="5674" t="s">
        <v>3162</v>
      </c>
      <c r="D449" s="5674" t="s">
        <v>3163</v>
      </c>
      <c r="E449" s="5674" t="s">
        <v>3164</v>
      </c>
      <c r="F449" s="5674" t="s">
        <v>2525</v>
      </c>
      <c r="G449" s="5674" t="s">
        <v>28</v>
      </c>
      <c r="H449" s="5674" t="s">
        <v>28</v>
      </c>
      <c r="I449" s="5674" t="s">
        <v>1741</v>
      </c>
    </row>
    <row customHeight="1" ht="11.25">
      <c r="A450" s="5674" t="s">
        <v>2369</v>
      </c>
      <c r="B450" s="5674" t="s">
        <v>16</v>
      </c>
      <c r="C450" s="5674" t="s">
        <v>3165</v>
      </c>
      <c r="D450" s="5674" t="s">
        <v>3166</v>
      </c>
      <c r="E450" s="5674" t="s">
        <v>3167</v>
      </c>
      <c r="F450" s="5674" t="s">
        <v>2413</v>
      </c>
      <c r="G450" s="5674" t="s">
        <v>28</v>
      </c>
      <c r="H450" s="5674" t="s">
        <v>28</v>
      </c>
      <c r="I450" s="5674" t="s">
        <v>1741</v>
      </c>
    </row>
    <row customHeight="1" ht="11.25">
      <c r="A451" s="5674" t="s">
        <v>2369</v>
      </c>
      <c r="B451" s="5674" t="s">
        <v>16</v>
      </c>
      <c r="C451" s="5674" t="s">
        <v>3168</v>
      </c>
      <c r="D451" s="5674" t="s">
        <v>3169</v>
      </c>
      <c r="E451" s="5674" t="s">
        <v>3170</v>
      </c>
      <c r="F451" s="5674" t="s">
        <v>2372</v>
      </c>
      <c r="G451" s="5674" t="s">
        <v>3171</v>
      </c>
      <c r="H451" s="5674" t="s">
        <v>28</v>
      </c>
      <c r="I451" s="5674" t="s">
        <v>1741</v>
      </c>
    </row>
    <row customHeight="1" ht="11.25">
      <c r="A452" s="5674" t="s">
        <v>2369</v>
      </c>
      <c r="B452" s="5674" t="s">
        <v>16</v>
      </c>
      <c r="C452" s="5674" t="s">
        <v>3172</v>
      </c>
      <c r="D452" s="5674" t="s">
        <v>3173</v>
      </c>
      <c r="E452" s="5674" t="s">
        <v>3174</v>
      </c>
      <c r="F452" s="5674" t="s">
        <v>2566</v>
      </c>
      <c r="G452" s="5674" t="s">
        <v>3175</v>
      </c>
      <c r="H452" s="5674" t="s">
        <v>28</v>
      </c>
      <c r="I452" s="5674" t="s">
        <v>1741</v>
      </c>
    </row>
    <row customHeight="1" ht="11.25">
      <c r="A453" s="5674" t="s">
        <v>2369</v>
      </c>
      <c r="B453" s="5674" t="s">
        <v>16</v>
      </c>
      <c r="C453" s="5674" t="s">
        <v>3176</v>
      </c>
      <c r="D453" s="5674" t="s">
        <v>3177</v>
      </c>
      <c r="E453" s="5674" t="s">
        <v>3178</v>
      </c>
      <c r="F453" s="5674" t="s">
        <v>2615</v>
      </c>
      <c r="G453" s="5674" t="s">
        <v>3179</v>
      </c>
      <c r="H453" s="5674" t="s">
        <v>28</v>
      </c>
      <c r="I453" s="5674" t="s">
        <v>1741</v>
      </c>
    </row>
    <row customHeight="1" ht="11.25">
      <c r="A454" s="5674" t="s">
        <v>2369</v>
      </c>
      <c r="B454" s="5674" t="s">
        <v>16</v>
      </c>
      <c r="C454" s="5674" t="s">
        <v>3180</v>
      </c>
      <c r="D454" s="5674" t="s">
        <v>3181</v>
      </c>
      <c r="E454" s="5674" t="s">
        <v>3182</v>
      </c>
      <c r="F454" s="5674" t="s">
        <v>2643</v>
      </c>
      <c r="G454" s="5674" t="s">
        <v>3183</v>
      </c>
      <c r="H454" s="5674" t="s">
        <v>28</v>
      </c>
      <c r="I454" s="5674" t="s">
        <v>1741</v>
      </c>
    </row>
    <row customHeight="1" ht="11.25">
      <c r="A455" s="5674" t="s">
        <v>2369</v>
      </c>
      <c r="B455" s="5674" t="s">
        <v>16</v>
      </c>
      <c r="C455" s="5674" t="s">
        <v>3184</v>
      </c>
      <c r="D455" s="5674" t="s">
        <v>3185</v>
      </c>
      <c r="E455" s="5674" t="s">
        <v>3186</v>
      </c>
      <c r="F455" s="5674" t="s">
        <v>2711</v>
      </c>
      <c r="G455" s="5674" t="s">
        <v>3187</v>
      </c>
      <c r="H455" s="5674" t="s">
        <v>28</v>
      </c>
      <c r="I455" s="5674" t="s">
        <v>1741</v>
      </c>
    </row>
    <row customHeight="1" ht="11.25">
      <c r="A456" s="5674" t="s">
        <v>2369</v>
      </c>
      <c r="B456" s="5674" t="s">
        <v>16</v>
      </c>
      <c r="C456" s="5674" t="s">
        <v>3188</v>
      </c>
      <c r="D456" s="5674" t="s">
        <v>3189</v>
      </c>
      <c r="E456" s="5674" t="s">
        <v>3190</v>
      </c>
      <c r="F456" s="5674" t="s">
        <v>2879</v>
      </c>
      <c r="G456" s="5674" t="s">
        <v>3191</v>
      </c>
      <c r="H456" s="5674" t="s">
        <v>28</v>
      </c>
      <c r="I456" s="5674" t="s">
        <v>1741</v>
      </c>
    </row>
    <row customHeight="1" ht="11.25">
      <c r="A457" s="5674" t="s">
        <v>2369</v>
      </c>
      <c r="B457" s="5674" t="s">
        <v>16</v>
      </c>
      <c r="C457" s="5674" t="s">
        <v>2981</v>
      </c>
      <c r="D457" s="5674" t="s">
        <v>2982</v>
      </c>
      <c r="E457" s="5674" t="s">
        <v>2983</v>
      </c>
      <c r="F457" s="5674" t="s">
        <v>2602</v>
      </c>
      <c r="G457" s="5674" t="s">
        <v>28</v>
      </c>
      <c r="H457" s="5674" t="s">
        <v>28</v>
      </c>
      <c r="I457" s="5674" t="s">
        <v>1741</v>
      </c>
    </row>
    <row customHeight="1" ht="11.25">
      <c r="A458" s="5674" t="s">
        <v>2369</v>
      </c>
      <c r="B458" s="5674" t="s">
        <v>16</v>
      </c>
      <c r="C458" s="5674" t="s">
        <v>3192</v>
      </c>
      <c r="D458" s="5674" t="s">
        <v>3193</v>
      </c>
      <c r="E458" s="5674" t="s">
        <v>3194</v>
      </c>
      <c r="F458" s="5674" t="s">
        <v>2793</v>
      </c>
      <c r="G458" s="5674" t="s">
        <v>3195</v>
      </c>
      <c r="H458" s="5674" t="s">
        <v>28</v>
      </c>
      <c r="I458" s="5674" t="s">
        <v>1741</v>
      </c>
    </row>
    <row customHeight="1" ht="11.25">
      <c r="A459" s="5674" t="s">
        <v>2369</v>
      </c>
      <c r="B459" s="5674" t="s">
        <v>16</v>
      </c>
      <c r="C459" s="5674" t="s">
        <v>3196</v>
      </c>
      <c r="D459" s="5674" t="s">
        <v>3197</v>
      </c>
      <c r="E459" s="5674" t="s">
        <v>3198</v>
      </c>
      <c r="F459" s="5674" t="s">
        <v>2434</v>
      </c>
      <c r="G459" s="5674" t="s">
        <v>28</v>
      </c>
      <c r="H459" s="5674" t="s">
        <v>28</v>
      </c>
      <c r="I459" s="5674" t="s">
        <v>1741</v>
      </c>
    </row>
    <row customHeight="1" ht="11.25">
      <c r="A460" s="5674" t="s">
        <v>2369</v>
      </c>
      <c r="B460" s="5674" t="s">
        <v>16</v>
      </c>
      <c r="C460" s="5674" t="s">
        <v>3199</v>
      </c>
      <c r="D460" s="5674" t="s">
        <v>3200</v>
      </c>
      <c r="E460" s="5674" t="s">
        <v>3201</v>
      </c>
      <c r="F460" s="5674" t="s">
        <v>2376</v>
      </c>
      <c r="G460" s="5674" t="s">
        <v>3202</v>
      </c>
      <c r="H460" s="5674" t="s">
        <v>28</v>
      </c>
      <c r="I460" s="5674" t="s">
        <v>1741</v>
      </c>
    </row>
    <row customHeight="1" ht="11.25">
      <c r="A461" s="5674" t="s">
        <v>2369</v>
      </c>
      <c r="B461" s="5674" t="s">
        <v>16</v>
      </c>
      <c r="C461" s="5674" t="s">
        <v>3203</v>
      </c>
      <c r="D461" s="5674" t="s">
        <v>3204</v>
      </c>
      <c r="E461" s="5674" t="s">
        <v>3205</v>
      </c>
      <c r="F461" s="5674" t="s">
        <v>2690</v>
      </c>
      <c r="G461" s="5674" t="s">
        <v>28</v>
      </c>
      <c r="H461" s="5674" t="s">
        <v>28</v>
      </c>
      <c r="I461" s="5674" t="s">
        <v>1741</v>
      </c>
    </row>
    <row customHeight="1" ht="11.25">
      <c r="A462" s="5674" t="s">
        <v>2369</v>
      </c>
      <c r="B462" s="5674" t="s">
        <v>16</v>
      </c>
      <c r="C462" s="5674" t="s">
        <v>3206</v>
      </c>
      <c r="D462" s="5674" t="s">
        <v>3207</v>
      </c>
      <c r="E462" s="5674" t="s">
        <v>3208</v>
      </c>
      <c r="F462" s="5674" t="s">
        <v>2525</v>
      </c>
      <c r="G462" s="5674" t="s">
        <v>3209</v>
      </c>
      <c r="H462" s="5674" t="s">
        <v>28</v>
      </c>
      <c r="I462" s="5674" t="s">
        <v>1741</v>
      </c>
    </row>
    <row customHeight="1" ht="11.25">
      <c r="A463" s="5674" t="s">
        <v>2369</v>
      </c>
      <c r="B463" s="5674" t="s">
        <v>16</v>
      </c>
      <c r="C463" s="5674" t="s">
        <v>3210</v>
      </c>
      <c r="D463" s="5674" t="s">
        <v>3211</v>
      </c>
      <c r="E463" s="5674" t="s">
        <v>3212</v>
      </c>
      <c r="F463" s="5674" t="s">
        <v>2632</v>
      </c>
      <c r="G463" s="5674" t="s">
        <v>28</v>
      </c>
      <c r="H463" s="5674" t="s">
        <v>28</v>
      </c>
      <c r="I463" s="5674" t="s">
        <v>1741</v>
      </c>
    </row>
    <row customHeight="1" ht="11.25">
      <c r="A464" s="5674" t="s">
        <v>2369</v>
      </c>
      <c r="B464" s="5674" t="s">
        <v>16</v>
      </c>
      <c r="C464" s="5674" t="s">
        <v>3213</v>
      </c>
      <c r="D464" s="5674" t="s">
        <v>3214</v>
      </c>
      <c r="E464" s="5674" t="s">
        <v>3215</v>
      </c>
      <c r="F464" s="5674" t="s">
        <v>2376</v>
      </c>
      <c r="G464" s="5674" t="s">
        <v>3216</v>
      </c>
      <c r="H464" s="5674" t="s">
        <v>28</v>
      </c>
      <c r="I464" s="5674" t="s">
        <v>1741</v>
      </c>
    </row>
    <row customHeight="1" ht="11.25">
      <c r="A465" s="5674" t="s">
        <v>2369</v>
      </c>
      <c r="B465" s="5674" t="s">
        <v>16</v>
      </c>
      <c r="C465" s="5674" t="s">
        <v>3217</v>
      </c>
      <c r="D465" s="5674" t="s">
        <v>3218</v>
      </c>
      <c r="E465" s="5674" t="s">
        <v>3219</v>
      </c>
      <c r="F465" s="5674" t="s">
        <v>2372</v>
      </c>
      <c r="G465" s="5674" t="s">
        <v>3220</v>
      </c>
      <c r="H465" s="5674" t="s">
        <v>28</v>
      </c>
      <c r="I465" s="5674" t="s">
        <v>1741</v>
      </c>
    </row>
    <row customHeight="1" ht="11.25">
      <c r="A466" s="5674" t="s">
        <v>2369</v>
      </c>
      <c r="B466" s="5674" t="s">
        <v>16</v>
      </c>
      <c r="C466" s="5674" t="s">
        <v>3221</v>
      </c>
      <c r="D466" s="5674" t="s">
        <v>3222</v>
      </c>
      <c r="E466" s="5674" t="s">
        <v>3223</v>
      </c>
      <c r="F466" s="5674" t="s">
        <v>2479</v>
      </c>
      <c r="G466" s="5674" t="s">
        <v>28</v>
      </c>
      <c r="H466" s="5674" t="s">
        <v>28</v>
      </c>
      <c r="I466" s="5674" t="s">
        <v>1741</v>
      </c>
    </row>
    <row customHeight="1" ht="11.25">
      <c r="A467" s="5674" t="s">
        <v>2369</v>
      </c>
      <c r="B467" s="5674" t="s">
        <v>16</v>
      </c>
      <c r="C467" s="5674" t="s">
        <v>3224</v>
      </c>
      <c r="D467" s="5674" t="s">
        <v>3225</v>
      </c>
      <c r="E467" s="5674" t="s">
        <v>3226</v>
      </c>
      <c r="F467" s="5674" t="s">
        <v>2434</v>
      </c>
      <c r="G467" s="5674" t="s">
        <v>28</v>
      </c>
      <c r="H467" s="5674" t="s">
        <v>28</v>
      </c>
      <c r="I467" s="5674" t="s">
        <v>1741</v>
      </c>
    </row>
    <row customHeight="1" ht="11.25">
      <c r="A468" s="5674" t="s">
        <v>2369</v>
      </c>
      <c r="B468" s="5674" t="s">
        <v>16</v>
      </c>
      <c r="C468" s="5674" t="s">
        <v>3227</v>
      </c>
      <c r="D468" s="5674" t="s">
        <v>3228</v>
      </c>
      <c r="E468" s="5674" t="s">
        <v>3229</v>
      </c>
      <c r="F468" s="5674" t="s">
        <v>2401</v>
      </c>
      <c r="G468" s="5674" t="s">
        <v>3230</v>
      </c>
      <c r="H468" s="5674" t="s">
        <v>28</v>
      </c>
      <c r="I468" s="5674" t="s">
        <v>1741</v>
      </c>
    </row>
    <row customHeight="1" ht="11.25">
      <c r="A469" s="5674" t="s">
        <v>2369</v>
      </c>
      <c r="B469" s="5674" t="s">
        <v>16</v>
      </c>
      <c r="C469" s="5674" t="s">
        <v>3026</v>
      </c>
      <c r="D469" s="5674" t="s">
        <v>3027</v>
      </c>
      <c r="E469" s="5674" t="s">
        <v>3028</v>
      </c>
      <c r="F469" s="5674" t="s">
        <v>2552</v>
      </c>
      <c r="G469" s="5674" t="s">
        <v>28</v>
      </c>
      <c r="H469" s="5674" t="s">
        <v>28</v>
      </c>
      <c r="I469" s="5674" t="s">
        <v>1741</v>
      </c>
    </row>
    <row customHeight="1" ht="11.25">
      <c r="A470" s="5674" t="s">
        <v>2369</v>
      </c>
      <c r="B470" s="5674" t="s">
        <v>16</v>
      </c>
      <c r="C470" s="5674" t="s">
        <v>3231</v>
      </c>
      <c r="D470" s="5674" t="s">
        <v>3232</v>
      </c>
      <c r="E470" s="5674" t="s">
        <v>3233</v>
      </c>
      <c r="F470" s="5674" t="s">
        <v>2372</v>
      </c>
      <c r="G470" s="5674" t="s">
        <v>3234</v>
      </c>
      <c r="H470" s="5674" t="s">
        <v>28</v>
      </c>
      <c r="I470" s="5674" t="s">
        <v>1741</v>
      </c>
    </row>
    <row customHeight="1" ht="11.25">
      <c r="A471" s="5674" t="s">
        <v>2369</v>
      </c>
      <c r="B471" s="5674" t="s">
        <v>16</v>
      </c>
      <c r="C471" s="5674" t="s">
        <v>3235</v>
      </c>
      <c r="D471" s="5674" t="s">
        <v>3236</v>
      </c>
      <c r="E471" s="5674" t="s">
        <v>3237</v>
      </c>
      <c r="F471" s="5674" t="s">
        <v>2573</v>
      </c>
      <c r="G471" s="5674" t="s">
        <v>3238</v>
      </c>
      <c r="H471" s="5674" t="s">
        <v>28</v>
      </c>
      <c r="I471" s="5674" t="s">
        <v>1741</v>
      </c>
    </row>
    <row customHeight="1" ht="11.25">
      <c r="A472" s="5674" t="s">
        <v>2369</v>
      </c>
      <c r="B472" s="5674" t="s">
        <v>16</v>
      </c>
      <c r="C472" s="5674" t="s">
        <v>3239</v>
      </c>
      <c r="D472" s="5674" t="s">
        <v>3240</v>
      </c>
      <c r="E472" s="5674" t="s">
        <v>3241</v>
      </c>
      <c r="F472" s="5674" t="s">
        <v>2615</v>
      </c>
      <c r="G472" s="5674" t="s">
        <v>3242</v>
      </c>
      <c r="H472" s="5674" t="s">
        <v>28</v>
      </c>
      <c r="I472" s="5674" t="s">
        <v>1741</v>
      </c>
    </row>
    <row customHeight="1" ht="11.25">
      <c r="A473" s="5674" t="s">
        <v>2369</v>
      </c>
      <c r="B473" s="5674" t="s">
        <v>16</v>
      </c>
      <c r="C473" s="5674" t="s">
        <v>3243</v>
      </c>
      <c r="D473" s="5674" t="s">
        <v>3244</v>
      </c>
      <c r="E473" s="5674" t="s">
        <v>3245</v>
      </c>
      <c r="F473" s="5674" t="s">
        <v>2643</v>
      </c>
      <c r="G473" s="5674" t="s">
        <v>3246</v>
      </c>
      <c r="H473" s="5674" t="s">
        <v>28</v>
      </c>
      <c r="I473" s="5674" t="s">
        <v>1741</v>
      </c>
    </row>
    <row customHeight="1" ht="11.25">
      <c r="A474" s="5674" t="s">
        <v>2369</v>
      </c>
      <c r="B474" s="5674" t="s">
        <v>16</v>
      </c>
      <c r="C474" s="5674" t="s">
        <v>3247</v>
      </c>
      <c r="D474" s="5674" t="s">
        <v>3248</v>
      </c>
      <c r="E474" s="5674" t="s">
        <v>3249</v>
      </c>
      <c r="F474" s="5674" t="s">
        <v>2508</v>
      </c>
      <c r="G474" s="5674" t="s">
        <v>3250</v>
      </c>
      <c r="H474" s="5674" t="s">
        <v>28</v>
      </c>
      <c r="I474" s="5674" t="s">
        <v>1741</v>
      </c>
    </row>
    <row customHeight="1" ht="11.25">
      <c r="A475" s="5674" t="s">
        <v>2369</v>
      </c>
      <c r="B475" s="5674" t="s">
        <v>16</v>
      </c>
      <c r="C475" s="5674" t="s">
        <v>3251</v>
      </c>
      <c r="D475" s="5674" t="s">
        <v>3252</v>
      </c>
      <c r="E475" s="5674" t="s">
        <v>3253</v>
      </c>
      <c r="F475" s="5674" t="s">
        <v>2566</v>
      </c>
      <c r="G475" s="5674" t="s">
        <v>3254</v>
      </c>
      <c r="H475" s="5674" t="s">
        <v>28</v>
      </c>
      <c r="I475" s="5674" t="s">
        <v>1741</v>
      </c>
    </row>
    <row customHeight="1" ht="11.25">
      <c r="A476" s="5674" t="s">
        <v>2369</v>
      </c>
      <c r="B476" s="5674" t="s">
        <v>16</v>
      </c>
      <c r="C476" s="5674" t="s">
        <v>3255</v>
      </c>
      <c r="D476" s="5674" t="s">
        <v>3256</v>
      </c>
      <c r="E476" s="5674" t="s">
        <v>3257</v>
      </c>
      <c r="F476" s="5674" t="s">
        <v>2425</v>
      </c>
      <c r="G476" s="5674" t="s">
        <v>3258</v>
      </c>
      <c r="H476" s="5674" t="s">
        <v>28</v>
      </c>
      <c r="I476" s="5674" t="s">
        <v>1741</v>
      </c>
    </row>
    <row customHeight="1" ht="11.25">
      <c r="A477" s="5674" t="s">
        <v>2369</v>
      </c>
      <c r="B477" s="5674" t="s">
        <v>16</v>
      </c>
      <c r="C477" s="5674" t="s">
        <v>3259</v>
      </c>
      <c r="D477" s="5674" t="s">
        <v>3260</v>
      </c>
      <c r="E477" s="5674" t="s">
        <v>3261</v>
      </c>
      <c r="F477" s="5674" t="s">
        <v>2643</v>
      </c>
      <c r="G477" s="5674" t="s">
        <v>28</v>
      </c>
      <c r="H477" s="5674" t="s">
        <v>28</v>
      </c>
      <c r="I477" s="5674" t="s">
        <v>1741</v>
      </c>
    </row>
    <row customHeight="1" ht="11.25">
      <c r="A478" s="5674" t="s">
        <v>2369</v>
      </c>
      <c r="B478" s="5674" t="s">
        <v>16</v>
      </c>
      <c r="C478" s="5674" t="s">
        <v>3262</v>
      </c>
      <c r="D478" s="5674" t="s">
        <v>3263</v>
      </c>
      <c r="E478" s="5674" t="s">
        <v>3264</v>
      </c>
      <c r="F478" s="5674" t="s">
        <v>2566</v>
      </c>
      <c r="G478" s="5674" t="s">
        <v>3265</v>
      </c>
      <c r="H478" s="5674" t="s">
        <v>28</v>
      </c>
      <c r="I478" s="5674" t="s">
        <v>1741</v>
      </c>
    </row>
    <row customHeight="1" ht="11.25">
      <c r="A479" s="5674" t="s">
        <v>2369</v>
      </c>
      <c r="B479" s="5674" t="s">
        <v>16</v>
      </c>
      <c r="C479" s="5674" t="s">
        <v>3266</v>
      </c>
      <c r="D479" s="5674" t="s">
        <v>3267</v>
      </c>
      <c r="E479" s="5674" t="s">
        <v>3268</v>
      </c>
      <c r="F479" s="5674" t="s">
        <v>2413</v>
      </c>
      <c r="G479" s="5674" t="s">
        <v>3269</v>
      </c>
      <c r="H479" s="5674" t="s">
        <v>28</v>
      </c>
      <c r="I479" s="5674" t="s">
        <v>1741</v>
      </c>
    </row>
    <row customHeight="1" ht="11.25">
      <c r="A480" s="5674" t="s">
        <v>2369</v>
      </c>
      <c r="B480" s="5674" t="s">
        <v>16</v>
      </c>
      <c r="C480" s="5674" t="s">
        <v>3270</v>
      </c>
      <c r="D480" s="5674" t="s">
        <v>3271</v>
      </c>
      <c r="E480" s="5674" t="s">
        <v>3272</v>
      </c>
      <c r="F480" s="5674" t="s">
        <v>2376</v>
      </c>
      <c r="G480" s="5674" t="s">
        <v>3273</v>
      </c>
      <c r="H480" s="5674" t="s">
        <v>28</v>
      </c>
      <c r="I480" s="5674" t="s">
        <v>1741</v>
      </c>
    </row>
    <row customHeight="1" ht="11.25">
      <c r="A481" s="5674" t="s">
        <v>2369</v>
      </c>
      <c r="B481" s="5674" t="s">
        <v>16</v>
      </c>
      <c r="C481" s="5674" t="s">
        <v>3274</v>
      </c>
      <c r="D481" s="5674" t="s">
        <v>3275</v>
      </c>
      <c r="E481" s="5674" t="s">
        <v>3276</v>
      </c>
      <c r="F481" s="5674" t="s">
        <v>2376</v>
      </c>
      <c r="G481" s="5674" t="s">
        <v>3277</v>
      </c>
      <c r="H481" s="5674" t="s">
        <v>28</v>
      </c>
      <c r="I481" s="5674" t="s">
        <v>1741</v>
      </c>
    </row>
    <row customHeight="1" ht="11.25">
      <c r="A482" s="5674" t="s">
        <v>2369</v>
      </c>
      <c r="B482" s="5674" t="s">
        <v>16</v>
      </c>
      <c r="C482" s="5674" t="s">
        <v>3278</v>
      </c>
      <c r="D482" s="5674" t="s">
        <v>3279</v>
      </c>
      <c r="E482" s="5674" t="s">
        <v>3280</v>
      </c>
      <c r="F482" s="5674" t="s">
        <v>2500</v>
      </c>
      <c r="G482" s="5674" t="s">
        <v>3281</v>
      </c>
      <c r="H482" s="5674" t="s">
        <v>28</v>
      </c>
      <c r="I482" s="5674" t="s">
        <v>1741</v>
      </c>
    </row>
    <row customHeight="1" ht="11.25">
      <c r="A483" s="5674" t="s">
        <v>2369</v>
      </c>
      <c r="B483" s="5674" t="s">
        <v>16</v>
      </c>
      <c r="C483" s="5674" t="s">
        <v>3282</v>
      </c>
      <c r="D483" s="5674" t="s">
        <v>3283</v>
      </c>
      <c r="E483" s="5674" t="s">
        <v>3284</v>
      </c>
      <c r="F483" s="5674" t="s">
        <v>3074</v>
      </c>
      <c r="G483" s="5674" t="s">
        <v>3285</v>
      </c>
      <c r="H483" s="5674" t="s">
        <v>28</v>
      </c>
      <c r="I483" s="5674" t="s">
        <v>1741</v>
      </c>
    </row>
    <row customHeight="1" ht="11.25">
      <c r="A484" s="5674" t="s">
        <v>2369</v>
      </c>
      <c r="B484" s="5674" t="s">
        <v>16</v>
      </c>
      <c r="C484" s="5674" t="s">
        <v>3286</v>
      </c>
      <c r="D484" s="5674" t="s">
        <v>3287</v>
      </c>
      <c r="E484" s="5674" t="s">
        <v>3288</v>
      </c>
      <c r="F484" s="5674" t="s">
        <v>2434</v>
      </c>
      <c r="G484" s="5674" t="s">
        <v>28</v>
      </c>
      <c r="H484" s="5674" t="s">
        <v>28</v>
      </c>
      <c r="I484" s="5674" t="s">
        <v>1741</v>
      </c>
    </row>
    <row customHeight="1" ht="11.25">
      <c r="A485" s="5674" t="s">
        <v>2369</v>
      </c>
      <c r="B485" s="5674" t="s">
        <v>16</v>
      </c>
      <c r="C485" s="5674" t="s">
        <v>3289</v>
      </c>
      <c r="D485" s="5674" t="s">
        <v>3290</v>
      </c>
      <c r="E485" s="5674" t="s">
        <v>3291</v>
      </c>
      <c r="F485" s="5674" t="s">
        <v>2542</v>
      </c>
      <c r="G485" s="5674" t="s">
        <v>28</v>
      </c>
      <c r="H485" s="5674" t="s">
        <v>28</v>
      </c>
      <c r="I485" s="5674" t="s">
        <v>1741</v>
      </c>
    </row>
    <row customHeight="1" ht="11.25">
      <c r="A486" s="5674" t="s">
        <v>2369</v>
      </c>
      <c r="B486" s="5674" t="s">
        <v>16</v>
      </c>
      <c r="C486" s="5674" t="s">
        <v>3292</v>
      </c>
      <c r="D486" s="5674" t="s">
        <v>3293</v>
      </c>
      <c r="E486" s="5674" t="s">
        <v>3294</v>
      </c>
      <c r="F486" s="5674" t="s">
        <v>2376</v>
      </c>
      <c r="G486" s="5674" t="s">
        <v>28</v>
      </c>
      <c r="H486" s="5674" t="s">
        <v>28</v>
      </c>
      <c r="I486" s="5674" t="s">
        <v>1741</v>
      </c>
    </row>
    <row customHeight="1" ht="11.25">
      <c r="A487" s="5674" t="s">
        <v>2369</v>
      </c>
      <c r="B487" s="5674" t="s">
        <v>16</v>
      </c>
      <c r="C487" s="5674" t="s">
        <v>3295</v>
      </c>
      <c r="D487" s="5674" t="s">
        <v>3296</v>
      </c>
      <c r="E487" s="5674" t="s">
        <v>3297</v>
      </c>
      <c r="F487" s="5674" t="s">
        <v>2767</v>
      </c>
      <c r="G487" s="5674" t="s">
        <v>28</v>
      </c>
      <c r="H487" s="5674" t="s">
        <v>28</v>
      </c>
      <c r="I487" s="5674" t="s">
        <v>1741</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C129712-D4BD-840C-4AD3-0BDC706183AB}" mc:Ignorable="x14ac xr xr2 xr3">
  <sheetPr>
    <tabColor rgb="FFFFCC99"/>
  </sheetPr>
  <dimension ref="A1:G107"/>
  <sheetViews>
    <sheetView topLeftCell="A1" showGridLines="0" workbookViewId="0">
      <selection activeCell="A1" sqref="A1"/>
    </sheetView>
  </sheetViews>
  <sheetFormatPr customHeight="1" defaultRowHeight="11.25"/>
  <cols>
    <col min="1" max="1" style="46950" width="9.140625"/>
  </cols>
  <sheetData>
    <row customHeight="1" ht="11.25">
      <c r="A1" s="885" t="s">
        <v>3298</v>
      </c>
      <c r="B1" s="574" t="s">
        <v>3299</v>
      </c>
      <c r="C1" s="574" t="s">
        <v>3300</v>
      </c>
      <c r="D1" s="574" t="s">
        <v>3301</v>
      </c>
      <c r="E1" s="461" t="s">
        <v>3302</v>
      </c>
      <c r="F1" s="461" t="s">
        <v>3303</v>
      </c>
      <c r="G1" s="461" t="s">
        <v>3304</v>
      </c>
    </row>
    <row customHeight="1" ht="11.25">
      <c r="A2" s="885" t="s">
        <v>16</v>
      </c>
      <c r="B2" s="0" t="s">
        <v>102</v>
      </c>
      <c r="C2" s="0" t="s">
        <v>103</v>
      </c>
      <c r="D2" s="0" t="s">
        <v>102</v>
      </c>
      <c r="E2" s="0" t="s">
        <v>103</v>
      </c>
      <c r="F2" s="0" t="s">
        <v>3305</v>
      </c>
      <c r="G2" s="0" t="s">
        <v>101</v>
      </c>
    </row>
    <row customHeight="1" ht="11.25">
      <c r="A3" s="885" t="s">
        <v>16</v>
      </c>
      <c r="B3" s="0" t="s">
        <v>3306</v>
      </c>
      <c r="C3" s="0" t="s">
        <v>3307</v>
      </c>
      <c r="D3" s="0" t="s">
        <v>3306</v>
      </c>
      <c r="E3" s="0" t="s">
        <v>3307</v>
      </c>
      <c r="F3" s="0" t="s">
        <v>3308</v>
      </c>
      <c r="G3" s="0" t="s">
        <v>105</v>
      </c>
    </row>
    <row customHeight="1" ht="11.25">
      <c r="A4" s="885" t="s">
        <v>16</v>
      </c>
      <c r="B4" s="0" t="s">
        <v>3309</v>
      </c>
      <c r="C4" s="0" t="s">
        <v>3310</v>
      </c>
      <c r="D4" s="0" t="s">
        <v>3309</v>
      </c>
      <c r="E4" s="0" t="s">
        <v>3310</v>
      </c>
      <c r="F4" s="0" t="s">
        <v>3308</v>
      </c>
      <c r="G4" s="0" t="s">
        <v>92</v>
      </c>
    </row>
    <row customHeight="1" ht="11.25">
      <c r="A5" s="885" t="s">
        <v>16</v>
      </c>
      <c r="B5" s="0" t="s">
        <v>3311</v>
      </c>
      <c r="C5" s="0" t="s">
        <v>3312</v>
      </c>
      <c r="D5" s="0" t="s">
        <v>3311</v>
      </c>
      <c r="E5" s="0" t="s">
        <v>3312</v>
      </c>
      <c r="F5" s="0" t="s">
        <v>3308</v>
      </c>
      <c r="G5" s="0" t="s">
        <v>93</v>
      </c>
    </row>
    <row customHeight="1" ht="11.25">
      <c r="A6" s="885" t="s">
        <v>16</v>
      </c>
      <c r="B6" s="0" t="s">
        <v>156</v>
      </c>
      <c r="C6" s="0" t="s">
        <v>157</v>
      </c>
      <c r="D6" s="0" t="s">
        <v>156</v>
      </c>
      <c r="E6" s="0" t="s">
        <v>157</v>
      </c>
      <c r="F6" s="0" t="s">
        <v>3308</v>
      </c>
      <c r="G6" s="0" t="s">
        <v>120</v>
      </c>
    </row>
    <row customHeight="1" ht="11.25">
      <c r="A7" s="885" t="s">
        <v>16</v>
      </c>
      <c r="B7" s="0" t="s">
        <v>152</v>
      </c>
      <c r="C7" s="0" t="s">
        <v>153</v>
      </c>
      <c r="D7" s="0" t="s">
        <v>152</v>
      </c>
      <c r="E7" s="0" t="s">
        <v>153</v>
      </c>
      <c r="F7" s="0" t="s">
        <v>3308</v>
      </c>
      <c r="G7" s="0" t="s">
        <v>94</v>
      </c>
    </row>
    <row customHeight="1" ht="11.25">
      <c r="A8" s="885" t="s">
        <v>16</v>
      </c>
      <c r="B8" s="0" t="s">
        <v>3313</v>
      </c>
      <c r="C8" s="0" t="s">
        <v>3314</v>
      </c>
      <c r="D8" s="0" t="s">
        <v>3313</v>
      </c>
      <c r="E8" s="0" t="s">
        <v>3314</v>
      </c>
      <c r="F8" s="0" t="s">
        <v>3308</v>
      </c>
      <c r="G8" s="0" t="s">
        <v>95</v>
      </c>
    </row>
    <row customHeight="1" ht="11.25">
      <c r="A9" s="885" t="s">
        <v>16</v>
      </c>
      <c r="B9" s="0" t="s">
        <v>3315</v>
      </c>
      <c r="C9" s="0" t="s">
        <v>3316</v>
      </c>
      <c r="D9" s="0" t="s">
        <v>3317</v>
      </c>
      <c r="E9" s="0" t="s">
        <v>3318</v>
      </c>
      <c r="F9" s="0" t="s">
        <v>3319</v>
      </c>
      <c r="G9" s="0" t="s">
        <v>134</v>
      </c>
    </row>
    <row customHeight="1" ht="11.25">
      <c r="A10" s="885" t="s">
        <v>16</v>
      </c>
      <c r="B10" s="0" t="s">
        <v>3315</v>
      </c>
      <c r="C10" s="0" t="s">
        <v>3316</v>
      </c>
      <c r="D10" s="0" t="s">
        <v>3315</v>
      </c>
      <c r="E10" s="0" t="s">
        <v>3316</v>
      </c>
      <c r="F10" s="0" t="s">
        <v>3320</v>
      </c>
      <c r="G10" s="0" t="s">
        <v>139</v>
      </c>
    </row>
    <row customHeight="1" ht="11.25">
      <c r="A11" s="885" t="s">
        <v>16</v>
      </c>
      <c r="B11" s="0" t="s">
        <v>3315</v>
      </c>
      <c r="C11" s="0" t="s">
        <v>3316</v>
      </c>
      <c r="D11" s="0" t="s">
        <v>3321</v>
      </c>
      <c r="E11" s="0" t="s">
        <v>3322</v>
      </c>
      <c r="F11" s="0" t="s">
        <v>3319</v>
      </c>
      <c r="G11" s="0" t="s">
        <v>145</v>
      </c>
    </row>
    <row customHeight="1" ht="11.25">
      <c r="A12" s="885" t="s">
        <v>16</v>
      </c>
      <c r="B12" s="0" t="s">
        <v>3315</v>
      </c>
      <c r="C12" s="0" t="s">
        <v>3316</v>
      </c>
      <c r="D12" s="0" t="s">
        <v>3323</v>
      </c>
      <c r="E12" s="0" t="s">
        <v>3324</v>
      </c>
      <c r="F12" s="0" t="s">
        <v>3325</v>
      </c>
      <c r="G12" s="0" t="s">
        <v>150</v>
      </c>
    </row>
    <row customHeight="1" ht="11.25">
      <c r="A13" s="885" t="s">
        <v>16</v>
      </c>
      <c r="B13" s="0" t="s">
        <v>3315</v>
      </c>
      <c r="C13" s="0" t="s">
        <v>3316</v>
      </c>
      <c r="D13" s="0" t="s">
        <v>3326</v>
      </c>
      <c r="E13" s="0" t="s">
        <v>3327</v>
      </c>
      <c r="F13" s="0" t="s">
        <v>3319</v>
      </c>
      <c r="G13" s="0" t="s">
        <v>154</v>
      </c>
    </row>
    <row customHeight="1" ht="11.25">
      <c r="A14" s="885" t="s">
        <v>16</v>
      </c>
      <c r="B14" s="0" t="s">
        <v>3315</v>
      </c>
      <c r="C14" s="0" t="s">
        <v>3316</v>
      </c>
      <c r="D14" s="0" t="s">
        <v>3328</v>
      </c>
      <c r="E14" s="0" t="s">
        <v>3329</v>
      </c>
      <c r="F14" s="0" t="s">
        <v>3319</v>
      </c>
      <c r="G14" s="0" t="s">
        <v>158</v>
      </c>
    </row>
    <row customHeight="1" ht="11.25">
      <c r="A15" s="885" t="s">
        <v>16</v>
      </c>
      <c r="B15" s="0" t="s">
        <v>3315</v>
      </c>
      <c r="C15" s="0" t="s">
        <v>3316</v>
      </c>
      <c r="D15" s="0" t="s">
        <v>3330</v>
      </c>
      <c r="E15" s="0" t="s">
        <v>3331</v>
      </c>
      <c r="F15" s="0" t="s">
        <v>3319</v>
      </c>
      <c r="G15" s="0" t="s">
        <v>204</v>
      </c>
    </row>
    <row customHeight="1" ht="11.25">
      <c r="A16" s="885" t="s">
        <v>16</v>
      </c>
      <c r="B16" s="0" t="s">
        <v>3315</v>
      </c>
      <c r="C16" s="0" t="s">
        <v>3316</v>
      </c>
      <c r="D16" s="0" t="s">
        <v>3332</v>
      </c>
      <c r="E16" s="0" t="s">
        <v>3333</v>
      </c>
      <c r="F16" s="0" t="s">
        <v>3319</v>
      </c>
      <c r="G16" s="0" t="s">
        <v>1586</v>
      </c>
    </row>
    <row customHeight="1" ht="11.25">
      <c r="A17" s="885" t="s">
        <v>16</v>
      </c>
      <c r="B17" s="0" t="s">
        <v>114</v>
      </c>
      <c r="C17" s="0" t="s">
        <v>115</v>
      </c>
      <c r="D17" s="0" t="s">
        <v>114</v>
      </c>
      <c r="E17" s="0" t="s">
        <v>115</v>
      </c>
      <c r="F17" s="0" t="s">
        <v>3305</v>
      </c>
      <c r="G17" s="0" t="s">
        <v>113</v>
      </c>
    </row>
    <row customHeight="1" ht="11.25">
      <c r="A18" s="885" t="s">
        <v>16</v>
      </c>
      <c r="B18" s="0" t="s">
        <v>3334</v>
      </c>
      <c r="C18" s="0" t="s">
        <v>3335</v>
      </c>
      <c r="D18" s="0" t="s">
        <v>3336</v>
      </c>
      <c r="E18" s="0" t="s">
        <v>3337</v>
      </c>
      <c r="F18" s="0" t="s">
        <v>3319</v>
      </c>
      <c r="G18" s="0" t="s">
        <v>1603</v>
      </c>
    </row>
    <row customHeight="1" ht="11.25">
      <c r="A19" s="885" t="s">
        <v>16</v>
      </c>
      <c r="B19" s="0" t="s">
        <v>3334</v>
      </c>
      <c r="C19" s="0" t="s">
        <v>3335</v>
      </c>
      <c r="D19" s="0" t="s">
        <v>3338</v>
      </c>
      <c r="E19" s="0" t="s">
        <v>3339</v>
      </c>
      <c r="F19" s="0" t="s">
        <v>3340</v>
      </c>
      <c r="G19" s="0" t="s">
        <v>1617</v>
      </c>
    </row>
    <row customHeight="1" ht="11.25">
      <c r="A20" s="885" t="s">
        <v>16</v>
      </c>
      <c r="B20" s="0" t="s">
        <v>3334</v>
      </c>
      <c r="C20" s="0" t="s">
        <v>3335</v>
      </c>
      <c r="D20" s="0" t="s">
        <v>3334</v>
      </c>
      <c r="E20" s="0" t="s">
        <v>3335</v>
      </c>
      <c r="F20" s="0" t="s">
        <v>3320</v>
      </c>
      <c r="G20" s="0" t="s">
        <v>1629</v>
      </c>
    </row>
    <row customHeight="1" ht="11.25">
      <c r="A21" s="885" t="s">
        <v>16</v>
      </c>
      <c r="B21" s="0" t="s">
        <v>3334</v>
      </c>
      <c r="C21" s="0" t="s">
        <v>3335</v>
      </c>
      <c r="D21" s="0" t="s">
        <v>3341</v>
      </c>
      <c r="E21" s="0" t="s">
        <v>3342</v>
      </c>
      <c r="F21" s="0" t="s">
        <v>3340</v>
      </c>
      <c r="G21" s="0" t="s">
        <v>1638</v>
      </c>
    </row>
    <row customHeight="1" ht="11.25">
      <c r="A22" s="885" t="s">
        <v>16</v>
      </c>
      <c r="B22" s="0" t="s">
        <v>3334</v>
      </c>
      <c r="C22" s="0" t="s">
        <v>3335</v>
      </c>
      <c r="D22" s="0" t="s">
        <v>3343</v>
      </c>
      <c r="E22" s="0" t="s">
        <v>3344</v>
      </c>
      <c r="F22" s="0" t="s">
        <v>3319</v>
      </c>
      <c r="G22" s="0" t="s">
        <v>1654</v>
      </c>
    </row>
    <row customHeight="1" ht="11.25">
      <c r="A23" s="885" t="s">
        <v>16</v>
      </c>
      <c r="B23" s="0" t="s">
        <v>3334</v>
      </c>
      <c r="C23" s="0" t="s">
        <v>3335</v>
      </c>
      <c r="D23" s="0" t="s">
        <v>3345</v>
      </c>
      <c r="E23" s="0" t="s">
        <v>3346</v>
      </c>
      <c r="F23" s="0" t="s">
        <v>3325</v>
      </c>
      <c r="G23" s="0" t="s">
        <v>1661</v>
      </c>
    </row>
    <row customHeight="1" ht="11.25">
      <c r="A24" s="885" t="s">
        <v>16</v>
      </c>
      <c r="B24" s="0" t="s">
        <v>3334</v>
      </c>
      <c r="C24" s="0" t="s">
        <v>3335</v>
      </c>
      <c r="D24" s="0" t="s">
        <v>3347</v>
      </c>
      <c r="E24" s="0" t="s">
        <v>3348</v>
      </c>
      <c r="F24" s="0" t="s">
        <v>3319</v>
      </c>
      <c r="G24" s="0" t="s">
        <v>1669</v>
      </c>
    </row>
    <row customHeight="1" ht="11.25">
      <c r="A25" s="885" t="s">
        <v>16</v>
      </c>
      <c r="B25" s="0" t="s">
        <v>3334</v>
      </c>
      <c r="C25" s="0" t="s">
        <v>3335</v>
      </c>
      <c r="D25" s="0" t="s">
        <v>3349</v>
      </c>
      <c r="E25" s="0" t="s">
        <v>3350</v>
      </c>
      <c r="F25" s="0" t="s">
        <v>3319</v>
      </c>
      <c r="G25" s="0" t="s">
        <v>1676</v>
      </c>
    </row>
    <row customHeight="1" ht="11.25">
      <c r="A26" s="885" t="s">
        <v>16</v>
      </c>
      <c r="B26" s="0" t="s">
        <v>3351</v>
      </c>
      <c r="C26" s="0" t="s">
        <v>3352</v>
      </c>
      <c r="D26" s="0" t="s">
        <v>3351</v>
      </c>
      <c r="E26" s="0" t="s">
        <v>3352</v>
      </c>
      <c r="F26" s="0" t="s">
        <v>3305</v>
      </c>
      <c r="G26" s="0" t="s">
        <v>1680</v>
      </c>
    </row>
    <row customHeight="1" ht="11.25">
      <c r="A27" s="885" t="s">
        <v>16</v>
      </c>
      <c r="B27" s="0" t="s">
        <v>3353</v>
      </c>
      <c r="C27" s="0" t="s">
        <v>3354</v>
      </c>
      <c r="D27" s="0" t="s">
        <v>3355</v>
      </c>
      <c r="E27" s="0" t="s">
        <v>3356</v>
      </c>
      <c r="F27" s="0" t="s">
        <v>3340</v>
      </c>
      <c r="G27" s="0" t="s">
        <v>1685</v>
      </c>
    </row>
    <row customHeight="1" ht="11.25">
      <c r="A28" s="885" t="s">
        <v>16</v>
      </c>
      <c r="B28" s="0" t="s">
        <v>3353</v>
      </c>
      <c r="C28" s="0" t="s">
        <v>3354</v>
      </c>
      <c r="D28" s="0" t="s">
        <v>3357</v>
      </c>
      <c r="E28" s="0" t="s">
        <v>3358</v>
      </c>
      <c r="F28" s="0" t="s">
        <v>3319</v>
      </c>
      <c r="G28" s="0" t="s">
        <v>1693</v>
      </c>
    </row>
    <row customHeight="1" ht="11.25">
      <c r="A29" s="885" t="s">
        <v>16</v>
      </c>
      <c r="B29" s="0" t="s">
        <v>3353</v>
      </c>
      <c r="C29" s="0" t="s">
        <v>3354</v>
      </c>
      <c r="D29" s="0" t="s">
        <v>3359</v>
      </c>
      <c r="E29" s="0" t="s">
        <v>3360</v>
      </c>
      <c r="F29" s="0" t="s">
        <v>3319</v>
      </c>
      <c r="G29" s="0" t="s">
        <v>1695</v>
      </c>
    </row>
    <row customHeight="1" ht="11.25">
      <c r="A30" s="885" t="s">
        <v>16</v>
      </c>
      <c r="B30" s="0" t="s">
        <v>3353</v>
      </c>
      <c r="C30" s="0" t="s">
        <v>3354</v>
      </c>
      <c r="D30" s="0" t="s">
        <v>3361</v>
      </c>
      <c r="E30" s="0" t="s">
        <v>3362</v>
      </c>
      <c r="F30" s="0" t="s">
        <v>3319</v>
      </c>
      <c r="G30" s="0" t="s">
        <v>1698</v>
      </c>
    </row>
    <row customHeight="1" ht="11.25">
      <c r="A31" s="885" t="s">
        <v>16</v>
      </c>
      <c r="B31" s="0" t="s">
        <v>3353</v>
      </c>
      <c r="C31" s="0" t="s">
        <v>3354</v>
      </c>
      <c r="D31" s="0" t="s">
        <v>3363</v>
      </c>
      <c r="E31" s="0" t="s">
        <v>3364</v>
      </c>
      <c r="F31" s="0" t="s">
        <v>3319</v>
      </c>
      <c r="G31" s="0" t="s">
        <v>1703</v>
      </c>
    </row>
    <row customHeight="1" ht="11.25">
      <c r="A32" s="885" t="s">
        <v>16</v>
      </c>
      <c r="B32" s="0" t="s">
        <v>3353</v>
      </c>
      <c r="C32" s="0" t="s">
        <v>3354</v>
      </c>
      <c r="D32" s="0" t="s">
        <v>3353</v>
      </c>
      <c r="E32" s="0" t="s">
        <v>3354</v>
      </c>
      <c r="F32" s="0" t="s">
        <v>3320</v>
      </c>
      <c r="G32" s="0" t="s">
        <v>1705</v>
      </c>
    </row>
    <row customHeight="1" ht="11.25">
      <c r="A33" s="885" t="s">
        <v>16</v>
      </c>
      <c r="B33" s="0" t="s">
        <v>3353</v>
      </c>
      <c r="C33" s="0" t="s">
        <v>3354</v>
      </c>
      <c r="D33" s="0" t="s">
        <v>3365</v>
      </c>
      <c r="E33" s="0" t="s">
        <v>3366</v>
      </c>
      <c r="F33" s="0" t="s">
        <v>3319</v>
      </c>
      <c r="G33" s="0" t="s">
        <v>1707</v>
      </c>
    </row>
    <row customHeight="1" ht="11.25">
      <c r="A34" s="885" t="s">
        <v>16</v>
      </c>
      <c r="B34" s="0" t="s">
        <v>3353</v>
      </c>
      <c r="C34" s="0" t="s">
        <v>3354</v>
      </c>
      <c r="D34" s="0" t="s">
        <v>3367</v>
      </c>
      <c r="E34" s="0" t="s">
        <v>3368</v>
      </c>
      <c r="F34" s="0" t="s">
        <v>3319</v>
      </c>
      <c r="G34" s="0" t="s">
        <v>1709</v>
      </c>
    </row>
    <row customHeight="1" ht="11.25">
      <c r="A35" s="885" t="s">
        <v>16</v>
      </c>
      <c r="B35" s="0" t="s">
        <v>3353</v>
      </c>
      <c r="C35" s="0" t="s">
        <v>3354</v>
      </c>
      <c r="D35" s="0" t="s">
        <v>3369</v>
      </c>
      <c r="E35" s="0" t="s">
        <v>3370</v>
      </c>
      <c r="F35" s="0" t="s">
        <v>3319</v>
      </c>
      <c r="G35" s="0" t="s">
        <v>1714</v>
      </c>
    </row>
    <row customHeight="1" ht="11.25">
      <c r="A36" s="885" t="s">
        <v>16</v>
      </c>
      <c r="B36" s="0" t="s">
        <v>3353</v>
      </c>
      <c r="C36" s="0" t="s">
        <v>3354</v>
      </c>
      <c r="D36" s="0" t="s">
        <v>3371</v>
      </c>
      <c r="E36" s="0" t="s">
        <v>3372</v>
      </c>
      <c r="F36" s="0" t="s">
        <v>3319</v>
      </c>
      <c r="G36" s="0" t="s">
        <v>1719</v>
      </c>
    </row>
    <row customHeight="1" ht="11.25">
      <c r="A37" s="885" t="s">
        <v>16</v>
      </c>
      <c r="B37" s="0" t="s">
        <v>3353</v>
      </c>
      <c r="C37" s="0" t="s">
        <v>3354</v>
      </c>
      <c r="D37" s="0" t="s">
        <v>3373</v>
      </c>
      <c r="E37" s="0" t="s">
        <v>3374</v>
      </c>
      <c r="F37" s="0" t="s">
        <v>3319</v>
      </c>
      <c r="G37" s="0" t="s">
        <v>1723</v>
      </c>
    </row>
    <row customHeight="1" ht="11.25">
      <c r="A38" s="885" t="s">
        <v>16</v>
      </c>
      <c r="B38" s="0" t="s">
        <v>3375</v>
      </c>
      <c r="C38" s="0" t="s">
        <v>3376</v>
      </c>
      <c r="D38" s="0" t="s">
        <v>3375</v>
      </c>
      <c r="E38" s="0" t="s">
        <v>3376</v>
      </c>
      <c r="F38" s="0" t="s">
        <v>3305</v>
      </c>
      <c r="G38" s="0" t="s">
        <v>1731</v>
      </c>
    </row>
    <row customHeight="1" ht="11.25">
      <c r="A39" s="885" t="s">
        <v>16</v>
      </c>
      <c r="B39" s="0" t="s">
        <v>3377</v>
      </c>
      <c r="C39" s="0" t="s">
        <v>3378</v>
      </c>
      <c r="D39" s="0" t="s">
        <v>3377</v>
      </c>
      <c r="E39" s="0" t="s">
        <v>3378</v>
      </c>
      <c r="F39" s="0" t="s">
        <v>3308</v>
      </c>
      <c r="G39" s="0" t="s">
        <v>1737</v>
      </c>
    </row>
    <row customHeight="1" ht="11.25">
      <c r="A40" s="885" t="s">
        <v>16</v>
      </c>
      <c r="B40" s="0" t="s">
        <v>109</v>
      </c>
      <c r="C40" s="0" t="s">
        <v>3379</v>
      </c>
      <c r="D40" s="0" t="s">
        <v>3380</v>
      </c>
      <c r="E40" s="0" t="s">
        <v>3381</v>
      </c>
      <c r="F40" s="0" t="s">
        <v>3319</v>
      </c>
      <c r="G40" s="0" t="s">
        <v>1742</v>
      </c>
    </row>
    <row customHeight="1" ht="11.25">
      <c r="A41" s="885" t="s">
        <v>16</v>
      </c>
      <c r="B41" s="0" t="s">
        <v>109</v>
      </c>
      <c r="C41" s="0" t="s">
        <v>3379</v>
      </c>
      <c r="D41" s="0" t="s">
        <v>3382</v>
      </c>
      <c r="E41" s="0" t="s">
        <v>3383</v>
      </c>
      <c r="F41" s="0" t="s">
        <v>3319</v>
      </c>
      <c r="G41" s="0" t="s">
        <v>1746</v>
      </c>
    </row>
    <row customHeight="1" ht="11.25">
      <c r="A42" s="885" t="s">
        <v>16</v>
      </c>
      <c r="B42" s="0" t="s">
        <v>109</v>
      </c>
      <c r="C42" s="0" t="s">
        <v>3379</v>
      </c>
      <c r="D42" s="0" t="s">
        <v>3384</v>
      </c>
      <c r="E42" s="0" t="s">
        <v>3385</v>
      </c>
      <c r="F42" s="0" t="s">
        <v>3319</v>
      </c>
      <c r="G42" s="0" t="s">
        <v>1749</v>
      </c>
    </row>
    <row customHeight="1" ht="11.25">
      <c r="A43" s="885" t="s">
        <v>16</v>
      </c>
      <c r="B43" s="0" t="s">
        <v>109</v>
      </c>
      <c r="C43" s="0" t="s">
        <v>3379</v>
      </c>
      <c r="D43" s="0" t="s">
        <v>109</v>
      </c>
      <c r="E43" s="0" t="s">
        <v>3379</v>
      </c>
      <c r="F43" s="0" t="s">
        <v>3320</v>
      </c>
      <c r="G43" s="0" t="s">
        <v>1756</v>
      </c>
    </row>
    <row customHeight="1" ht="11.25">
      <c r="A44" s="885" t="s">
        <v>16</v>
      </c>
      <c r="B44" s="0" t="s">
        <v>109</v>
      </c>
      <c r="C44" s="0" t="s">
        <v>3379</v>
      </c>
      <c r="D44" s="0" t="s">
        <v>3386</v>
      </c>
      <c r="E44" s="0" t="s">
        <v>3387</v>
      </c>
      <c r="F44" s="0" t="s">
        <v>3319</v>
      </c>
      <c r="G44" s="0" t="s">
        <v>1765</v>
      </c>
    </row>
    <row customHeight="1" ht="11.25">
      <c r="A45" s="885" t="s">
        <v>16</v>
      </c>
      <c r="B45" s="0" t="s">
        <v>109</v>
      </c>
      <c r="C45" s="0" t="s">
        <v>3379</v>
      </c>
      <c r="D45" s="0" t="s">
        <v>110</v>
      </c>
      <c r="E45" s="0" t="s">
        <v>111</v>
      </c>
      <c r="F45" s="0" t="s">
        <v>3340</v>
      </c>
      <c r="G45" s="0" t="s">
        <v>108</v>
      </c>
    </row>
    <row customHeight="1" ht="11.25">
      <c r="A46" s="885" t="s">
        <v>16</v>
      </c>
      <c r="B46" s="0" t="s">
        <v>109</v>
      </c>
      <c r="C46" s="0" t="s">
        <v>3379</v>
      </c>
      <c r="D46" s="0" t="s">
        <v>3388</v>
      </c>
      <c r="E46" s="0" t="s">
        <v>3389</v>
      </c>
      <c r="F46" s="0" t="s">
        <v>3319</v>
      </c>
      <c r="G46" s="0" t="s">
        <v>1773</v>
      </c>
    </row>
    <row customHeight="1" ht="11.25">
      <c r="A47" s="885" t="s">
        <v>16</v>
      </c>
      <c r="B47" s="0" t="s">
        <v>109</v>
      </c>
      <c r="C47" s="0" t="s">
        <v>3379</v>
      </c>
      <c r="D47" s="0" t="s">
        <v>3390</v>
      </c>
      <c r="E47" s="0" t="s">
        <v>3391</v>
      </c>
      <c r="F47" s="0" t="s">
        <v>3319</v>
      </c>
      <c r="G47" s="0" t="s">
        <v>1779</v>
      </c>
    </row>
    <row customHeight="1" ht="11.25">
      <c r="A48" s="885" t="s">
        <v>16</v>
      </c>
      <c r="B48" s="0" t="s">
        <v>3392</v>
      </c>
      <c r="C48" s="0" t="s">
        <v>3393</v>
      </c>
      <c r="D48" s="0" t="s">
        <v>3392</v>
      </c>
      <c r="E48" s="0" t="s">
        <v>3393</v>
      </c>
      <c r="F48" s="0" t="s">
        <v>3320</v>
      </c>
      <c r="G48" s="0" t="s">
        <v>1783</v>
      </c>
    </row>
    <row customHeight="1" ht="11.25">
      <c r="A49" s="885" t="s">
        <v>16</v>
      </c>
      <c r="B49" s="0" t="s">
        <v>3392</v>
      </c>
      <c r="C49" s="0" t="s">
        <v>3393</v>
      </c>
      <c r="D49" s="0" t="s">
        <v>3394</v>
      </c>
      <c r="E49" s="0" t="s">
        <v>3395</v>
      </c>
      <c r="F49" s="0" t="s">
        <v>3319</v>
      </c>
      <c r="G49" s="0" t="s">
        <v>1786</v>
      </c>
    </row>
    <row customHeight="1" ht="11.25">
      <c r="A50" s="885" t="s">
        <v>16</v>
      </c>
      <c r="B50" s="0" t="s">
        <v>3392</v>
      </c>
      <c r="C50" s="0" t="s">
        <v>3393</v>
      </c>
      <c r="D50" s="0" t="s">
        <v>3396</v>
      </c>
      <c r="E50" s="0" t="s">
        <v>3397</v>
      </c>
      <c r="F50" s="0" t="s">
        <v>3319</v>
      </c>
      <c r="G50" s="0" t="s">
        <v>1790</v>
      </c>
    </row>
    <row customHeight="1" ht="11.25">
      <c r="A51" s="885" t="s">
        <v>16</v>
      </c>
      <c r="B51" s="0" t="s">
        <v>3392</v>
      </c>
      <c r="C51" s="0" t="s">
        <v>3393</v>
      </c>
      <c r="D51" s="0" t="s">
        <v>3398</v>
      </c>
      <c r="E51" s="0" t="s">
        <v>3399</v>
      </c>
      <c r="F51" s="0" t="s">
        <v>3319</v>
      </c>
      <c r="G51" s="0" t="s">
        <v>1794</v>
      </c>
    </row>
    <row customHeight="1" ht="11.25">
      <c r="A52" s="885" t="s">
        <v>16</v>
      </c>
      <c r="B52" s="0" t="s">
        <v>3400</v>
      </c>
      <c r="C52" s="0" t="s">
        <v>3401</v>
      </c>
      <c r="D52" s="0" t="s">
        <v>3400</v>
      </c>
      <c r="E52" s="0" t="s">
        <v>3401</v>
      </c>
      <c r="F52" s="0" t="s">
        <v>3308</v>
      </c>
      <c r="G52" s="0" t="s">
        <v>1798</v>
      </c>
    </row>
    <row customHeight="1" ht="11.25">
      <c r="A53" s="885" t="s">
        <v>16</v>
      </c>
      <c r="B53" s="0" t="s">
        <v>3402</v>
      </c>
      <c r="C53" s="0" t="s">
        <v>3403</v>
      </c>
      <c r="D53" s="0" t="s">
        <v>3402</v>
      </c>
      <c r="E53" s="0" t="s">
        <v>3403</v>
      </c>
      <c r="F53" s="0" t="s">
        <v>3305</v>
      </c>
      <c r="G53" s="0" t="s">
        <v>1800</v>
      </c>
    </row>
    <row customHeight="1" ht="11.25">
      <c r="A54" s="885" t="s">
        <v>16</v>
      </c>
      <c r="B54" s="0" t="s">
        <v>3404</v>
      </c>
      <c r="C54" s="0" t="s">
        <v>3405</v>
      </c>
      <c r="D54" s="0" t="s">
        <v>3404</v>
      </c>
      <c r="E54" s="0" t="s">
        <v>3405</v>
      </c>
      <c r="F54" s="0" t="s">
        <v>3305</v>
      </c>
      <c r="G54" s="0" t="s">
        <v>1803</v>
      </c>
    </row>
    <row customHeight="1" ht="11.25">
      <c r="A55" s="885" t="s">
        <v>16</v>
      </c>
      <c r="B55" s="0" t="s">
        <v>3406</v>
      </c>
      <c r="C55" s="0" t="s">
        <v>3407</v>
      </c>
      <c r="D55" s="0" t="s">
        <v>3406</v>
      </c>
      <c r="E55" s="0" t="s">
        <v>3407</v>
      </c>
      <c r="F55" s="0" t="s">
        <v>3308</v>
      </c>
      <c r="G55" s="0" t="s">
        <v>1808</v>
      </c>
    </row>
    <row customHeight="1" ht="11.25">
      <c r="A56" s="885" t="s">
        <v>16</v>
      </c>
      <c r="B56" s="0" t="s">
        <v>3408</v>
      </c>
      <c r="C56" s="0" t="s">
        <v>3409</v>
      </c>
      <c r="D56" s="0" t="s">
        <v>3408</v>
      </c>
      <c r="E56" s="0" t="s">
        <v>3409</v>
      </c>
      <c r="F56" s="0" t="s">
        <v>3305</v>
      </c>
      <c r="G56" s="0" t="s">
        <v>1811</v>
      </c>
    </row>
    <row customHeight="1" ht="11.25">
      <c r="A57" s="885" t="s">
        <v>16</v>
      </c>
      <c r="B57" s="0" t="s">
        <v>3410</v>
      </c>
      <c r="C57" s="0" t="s">
        <v>3411</v>
      </c>
      <c r="D57" s="0" t="s">
        <v>3412</v>
      </c>
      <c r="E57" s="0" t="s">
        <v>3413</v>
      </c>
      <c r="F57" s="0" t="s">
        <v>3319</v>
      </c>
      <c r="G57" s="0" t="s">
        <v>1814</v>
      </c>
    </row>
    <row customHeight="1" ht="11.25">
      <c r="A58" s="885" t="s">
        <v>16</v>
      </c>
      <c r="B58" s="0" t="s">
        <v>3410</v>
      </c>
      <c r="C58" s="0" t="s">
        <v>3411</v>
      </c>
      <c r="D58" s="0" t="s">
        <v>3414</v>
      </c>
      <c r="E58" s="0" t="s">
        <v>3415</v>
      </c>
      <c r="F58" s="0" t="s">
        <v>3319</v>
      </c>
      <c r="G58" s="0" t="s">
        <v>1817</v>
      </c>
    </row>
    <row customHeight="1" ht="11.25">
      <c r="A59" s="885" t="s">
        <v>16</v>
      </c>
      <c r="B59" s="0" t="s">
        <v>3410</v>
      </c>
      <c r="C59" s="0" t="s">
        <v>3411</v>
      </c>
      <c r="D59" s="0" t="s">
        <v>3416</v>
      </c>
      <c r="E59" s="0" t="s">
        <v>3417</v>
      </c>
      <c r="F59" s="0" t="s">
        <v>3319</v>
      </c>
      <c r="G59" s="0" t="s">
        <v>1821</v>
      </c>
    </row>
    <row customHeight="1" ht="11.25">
      <c r="A60" s="885" t="s">
        <v>16</v>
      </c>
      <c r="B60" s="0" t="s">
        <v>3410</v>
      </c>
      <c r="C60" s="0" t="s">
        <v>3411</v>
      </c>
      <c r="D60" s="0" t="s">
        <v>3418</v>
      </c>
      <c r="E60" s="0" t="s">
        <v>3419</v>
      </c>
      <c r="F60" s="0" t="s">
        <v>3325</v>
      </c>
      <c r="G60" s="0" t="s">
        <v>1824</v>
      </c>
    </row>
    <row customHeight="1" ht="11.25">
      <c r="A61" s="885" t="s">
        <v>16</v>
      </c>
      <c r="B61" s="0" t="s">
        <v>3410</v>
      </c>
      <c r="C61" s="0" t="s">
        <v>3411</v>
      </c>
      <c r="D61" s="0" t="s">
        <v>3420</v>
      </c>
      <c r="E61" s="0" t="s">
        <v>3421</v>
      </c>
      <c r="F61" s="0" t="s">
        <v>3319</v>
      </c>
      <c r="G61" s="0" t="s">
        <v>3422</v>
      </c>
    </row>
    <row customHeight="1" ht="11.25">
      <c r="A62" s="885" t="s">
        <v>16</v>
      </c>
      <c r="B62" s="0" t="s">
        <v>3410</v>
      </c>
      <c r="C62" s="0" t="s">
        <v>3411</v>
      </c>
      <c r="D62" s="0" t="s">
        <v>3423</v>
      </c>
      <c r="E62" s="0" t="s">
        <v>3424</v>
      </c>
      <c r="F62" s="0" t="s">
        <v>3319</v>
      </c>
      <c r="G62" s="0" t="s">
        <v>3425</v>
      </c>
    </row>
    <row customHeight="1" ht="11.25">
      <c r="A63" s="885" t="s">
        <v>16</v>
      </c>
      <c r="B63" s="0" t="s">
        <v>3410</v>
      </c>
      <c r="C63" s="0" t="s">
        <v>3411</v>
      </c>
      <c r="D63" s="0" t="s">
        <v>3410</v>
      </c>
      <c r="E63" s="0" t="s">
        <v>3411</v>
      </c>
      <c r="F63" s="0" t="s">
        <v>3320</v>
      </c>
      <c r="G63" s="0" t="s">
        <v>3426</v>
      </c>
    </row>
    <row customHeight="1" ht="11.25">
      <c r="A64" s="885" t="s">
        <v>16</v>
      </c>
      <c r="B64" s="0" t="s">
        <v>3410</v>
      </c>
      <c r="C64" s="0" t="s">
        <v>3411</v>
      </c>
      <c r="D64" s="0" t="s">
        <v>3427</v>
      </c>
      <c r="E64" s="0" t="s">
        <v>3428</v>
      </c>
      <c r="F64" s="0" t="s">
        <v>3319</v>
      </c>
      <c r="G64" s="0" t="s">
        <v>3429</v>
      </c>
    </row>
    <row customHeight="1" ht="11.25">
      <c r="A65" s="885" t="s">
        <v>16</v>
      </c>
      <c r="B65" s="0" t="s">
        <v>3430</v>
      </c>
      <c r="C65" s="0" t="s">
        <v>3431</v>
      </c>
      <c r="D65" s="0" t="s">
        <v>3430</v>
      </c>
      <c r="E65" s="0" t="s">
        <v>3431</v>
      </c>
      <c r="F65" s="0" t="s">
        <v>3305</v>
      </c>
      <c r="G65" s="0" t="s">
        <v>3432</v>
      </c>
    </row>
    <row customHeight="1" ht="11.25">
      <c r="A66" s="885" t="s">
        <v>16</v>
      </c>
      <c r="B66" s="0" t="s">
        <v>3433</v>
      </c>
      <c r="C66" s="0" t="s">
        <v>3434</v>
      </c>
      <c r="D66" s="0" t="s">
        <v>3433</v>
      </c>
      <c r="E66" s="0" t="s">
        <v>3434</v>
      </c>
      <c r="F66" s="0" t="s">
        <v>3305</v>
      </c>
      <c r="G66" s="0" t="s">
        <v>3435</v>
      </c>
    </row>
    <row customHeight="1" ht="11.25">
      <c r="A67" s="885" t="s">
        <v>16</v>
      </c>
      <c r="B67" s="0" t="s">
        <v>3436</v>
      </c>
      <c r="C67" s="0" t="s">
        <v>3437</v>
      </c>
      <c r="D67" s="0" t="s">
        <v>3438</v>
      </c>
      <c r="E67" s="0" t="s">
        <v>3439</v>
      </c>
      <c r="F67" s="0" t="s">
        <v>3319</v>
      </c>
      <c r="G67" s="0" t="s">
        <v>2143</v>
      </c>
    </row>
    <row customHeight="1" ht="11.25">
      <c r="A68" s="885" t="s">
        <v>16</v>
      </c>
      <c r="B68" s="0" t="s">
        <v>3436</v>
      </c>
      <c r="C68" s="0" t="s">
        <v>3437</v>
      </c>
      <c r="D68" s="0" t="s">
        <v>3440</v>
      </c>
      <c r="E68" s="0" t="s">
        <v>3441</v>
      </c>
      <c r="F68" s="0" t="s">
        <v>3319</v>
      </c>
      <c r="G68" s="0" t="s">
        <v>3442</v>
      </c>
    </row>
    <row customHeight="1" ht="11.25">
      <c r="A69" s="885" t="s">
        <v>16</v>
      </c>
      <c r="B69" s="0" t="s">
        <v>3436</v>
      </c>
      <c r="C69" s="0" t="s">
        <v>3437</v>
      </c>
      <c r="D69" s="0" t="s">
        <v>3443</v>
      </c>
      <c r="E69" s="0" t="s">
        <v>3444</v>
      </c>
      <c r="F69" s="0" t="s">
        <v>3319</v>
      </c>
      <c r="G69" s="0" t="s">
        <v>2346</v>
      </c>
    </row>
    <row customHeight="1" ht="11.25">
      <c r="A70" s="885" t="s">
        <v>16</v>
      </c>
      <c r="B70" s="0" t="s">
        <v>3436</v>
      </c>
      <c r="C70" s="0" t="s">
        <v>3437</v>
      </c>
      <c r="D70" s="0" t="s">
        <v>3445</v>
      </c>
      <c r="E70" s="0" t="s">
        <v>3446</v>
      </c>
      <c r="F70" s="0" t="s">
        <v>3319</v>
      </c>
      <c r="G70" s="0" t="s">
        <v>3447</v>
      </c>
    </row>
    <row customHeight="1" ht="11.25">
      <c r="A71" s="885" t="s">
        <v>16</v>
      </c>
      <c r="B71" s="0" t="s">
        <v>3436</v>
      </c>
      <c r="C71" s="0" t="s">
        <v>3437</v>
      </c>
      <c r="D71" s="0" t="s">
        <v>3448</v>
      </c>
      <c r="E71" s="0" t="s">
        <v>3449</v>
      </c>
      <c r="F71" s="0" t="s">
        <v>3319</v>
      </c>
      <c r="G71" s="0" t="s">
        <v>3450</v>
      </c>
    </row>
    <row customHeight="1" ht="11.25">
      <c r="A72" s="885" t="s">
        <v>16</v>
      </c>
      <c r="B72" s="0" t="s">
        <v>3436</v>
      </c>
      <c r="C72" s="0" t="s">
        <v>3437</v>
      </c>
      <c r="D72" s="0" t="s">
        <v>3436</v>
      </c>
      <c r="E72" s="0" t="s">
        <v>3437</v>
      </c>
      <c r="F72" s="0" t="s">
        <v>3320</v>
      </c>
      <c r="G72" s="0" t="s">
        <v>3451</v>
      </c>
    </row>
    <row customHeight="1" ht="11.25">
      <c r="A73" s="885" t="s">
        <v>16</v>
      </c>
      <c r="B73" s="0" t="s">
        <v>3436</v>
      </c>
      <c r="C73" s="0" t="s">
        <v>3437</v>
      </c>
      <c r="D73" s="0" t="s">
        <v>3452</v>
      </c>
      <c r="E73" s="0" t="s">
        <v>3453</v>
      </c>
      <c r="F73" s="0" t="s">
        <v>3319</v>
      </c>
      <c r="G73" s="0" t="s">
        <v>3454</v>
      </c>
    </row>
    <row customHeight="1" ht="11.25">
      <c r="A74" s="885" t="s">
        <v>16</v>
      </c>
      <c r="B74" s="0" t="s">
        <v>3436</v>
      </c>
      <c r="C74" s="0" t="s">
        <v>3437</v>
      </c>
      <c r="D74" s="0" t="s">
        <v>3455</v>
      </c>
      <c r="E74" s="0" t="s">
        <v>3456</v>
      </c>
      <c r="F74" s="0" t="s">
        <v>3319</v>
      </c>
      <c r="G74" s="0" t="s">
        <v>3457</v>
      </c>
    </row>
    <row customHeight="1" ht="11.25">
      <c r="A75" s="885" t="s">
        <v>16</v>
      </c>
      <c r="B75" s="0" t="s">
        <v>3436</v>
      </c>
      <c r="C75" s="0" t="s">
        <v>3437</v>
      </c>
      <c r="D75" s="0" t="s">
        <v>3458</v>
      </c>
      <c r="E75" s="0" t="s">
        <v>3459</v>
      </c>
      <c r="F75" s="0" t="s">
        <v>3319</v>
      </c>
      <c r="G75" s="0" t="s">
        <v>3460</v>
      </c>
    </row>
    <row customHeight="1" ht="11.25">
      <c r="A76" s="885" t="s">
        <v>16</v>
      </c>
      <c r="B76" s="0" t="s">
        <v>3461</v>
      </c>
      <c r="C76" s="0" t="s">
        <v>3462</v>
      </c>
      <c r="D76" s="0" t="s">
        <v>3461</v>
      </c>
      <c r="E76" s="0" t="s">
        <v>3462</v>
      </c>
      <c r="F76" s="0" t="s">
        <v>3305</v>
      </c>
      <c r="G76" s="0" t="s">
        <v>3463</v>
      </c>
    </row>
    <row customHeight="1" ht="11.25">
      <c r="A77" s="885" t="s">
        <v>16</v>
      </c>
      <c r="B77" s="0" t="s">
        <v>3464</v>
      </c>
      <c r="C77" s="0" t="s">
        <v>3465</v>
      </c>
      <c r="D77" s="0" t="s">
        <v>3464</v>
      </c>
      <c r="E77" s="0" t="s">
        <v>3465</v>
      </c>
      <c r="F77" s="0" t="s">
        <v>3308</v>
      </c>
      <c r="G77" s="0" t="s">
        <v>3466</v>
      </c>
    </row>
    <row customHeight="1" ht="11.25">
      <c r="A78" s="885" t="s">
        <v>16</v>
      </c>
      <c r="B78" s="0" t="s">
        <v>3467</v>
      </c>
      <c r="C78" s="0" t="s">
        <v>3468</v>
      </c>
      <c r="D78" s="0" t="s">
        <v>3467</v>
      </c>
      <c r="E78" s="0" t="s">
        <v>3468</v>
      </c>
      <c r="F78" s="0" t="s">
        <v>3305</v>
      </c>
      <c r="G78" s="0" t="s">
        <v>3469</v>
      </c>
    </row>
    <row customHeight="1" ht="11.25">
      <c r="A79" s="885" t="s">
        <v>16</v>
      </c>
      <c r="B79" s="0" t="s">
        <v>118</v>
      </c>
      <c r="C79" s="0" t="s">
        <v>119</v>
      </c>
      <c r="D79" s="0" t="s">
        <v>118</v>
      </c>
      <c r="E79" s="0" t="s">
        <v>119</v>
      </c>
      <c r="F79" s="0" t="s">
        <v>3305</v>
      </c>
      <c r="G79" s="0" t="s">
        <v>117</v>
      </c>
    </row>
    <row customHeight="1" ht="11.25">
      <c r="A80" s="885" t="s">
        <v>16</v>
      </c>
      <c r="B80" s="0" t="s">
        <v>3470</v>
      </c>
      <c r="C80" s="0" t="s">
        <v>3471</v>
      </c>
      <c r="D80" s="0" t="s">
        <v>3470</v>
      </c>
      <c r="E80" s="0" t="s">
        <v>3471</v>
      </c>
      <c r="F80" s="0" t="s">
        <v>3305</v>
      </c>
      <c r="G80" s="0" t="s">
        <v>3472</v>
      </c>
    </row>
    <row customHeight="1" ht="11.25">
      <c r="A81" s="885" t="s">
        <v>16</v>
      </c>
      <c r="B81" s="0" t="s">
        <v>137</v>
      </c>
      <c r="C81" s="0" t="s">
        <v>138</v>
      </c>
      <c r="D81" s="0" t="s">
        <v>137</v>
      </c>
      <c r="E81" s="0" t="s">
        <v>138</v>
      </c>
      <c r="F81" s="0" t="s">
        <v>3305</v>
      </c>
      <c r="G81" s="0" t="s">
        <v>136</v>
      </c>
    </row>
    <row customHeight="1" ht="11.25">
      <c r="A82" s="885" t="s">
        <v>16</v>
      </c>
      <c r="B82" s="0" t="s">
        <v>123</v>
      </c>
      <c r="C82" s="0" t="s">
        <v>3473</v>
      </c>
      <c r="D82" s="0" t="s">
        <v>124</v>
      </c>
      <c r="E82" s="0" t="s">
        <v>125</v>
      </c>
      <c r="F82" s="0" t="s">
        <v>3319</v>
      </c>
      <c r="G82" s="0" t="s">
        <v>122</v>
      </c>
    </row>
    <row customHeight="1" ht="11.25">
      <c r="A83" s="885" t="s">
        <v>16</v>
      </c>
      <c r="B83" s="0" t="s">
        <v>123</v>
      </c>
      <c r="C83" s="0" t="s">
        <v>3473</v>
      </c>
      <c r="D83" s="0" t="s">
        <v>3474</v>
      </c>
      <c r="E83" s="0" t="s">
        <v>3475</v>
      </c>
      <c r="F83" s="0" t="s">
        <v>3325</v>
      </c>
      <c r="G83" s="0" t="s">
        <v>3476</v>
      </c>
    </row>
    <row customHeight="1" ht="11.25">
      <c r="A84" s="885" t="s">
        <v>16</v>
      </c>
      <c r="B84" s="0" t="s">
        <v>123</v>
      </c>
      <c r="C84" s="0" t="s">
        <v>3473</v>
      </c>
      <c r="D84" s="0" t="s">
        <v>128</v>
      </c>
      <c r="E84" s="0" t="s">
        <v>129</v>
      </c>
      <c r="F84" s="0" t="s">
        <v>3319</v>
      </c>
      <c r="G84" s="0" t="s">
        <v>127</v>
      </c>
    </row>
    <row customHeight="1" ht="11.25">
      <c r="A85" s="885" t="s">
        <v>16</v>
      </c>
      <c r="B85" s="0" t="s">
        <v>123</v>
      </c>
      <c r="C85" s="0" t="s">
        <v>3473</v>
      </c>
      <c r="D85" s="0" t="s">
        <v>3477</v>
      </c>
      <c r="E85" s="0" t="s">
        <v>3478</v>
      </c>
      <c r="F85" s="0" t="s">
        <v>3340</v>
      </c>
      <c r="G85" s="0" t="s">
        <v>3479</v>
      </c>
    </row>
    <row customHeight="1" ht="11.25">
      <c r="A86" s="885" t="s">
        <v>16</v>
      </c>
      <c r="B86" s="0" t="s">
        <v>123</v>
      </c>
      <c r="C86" s="0" t="s">
        <v>3473</v>
      </c>
      <c r="D86" s="0" t="s">
        <v>132</v>
      </c>
      <c r="E86" s="0" t="s">
        <v>133</v>
      </c>
      <c r="F86" s="0" t="s">
        <v>3319</v>
      </c>
      <c r="G86" s="0" t="s">
        <v>131</v>
      </c>
    </row>
    <row customHeight="1" ht="11.25">
      <c r="A87" s="885" t="s">
        <v>16</v>
      </c>
      <c r="B87" s="0" t="s">
        <v>123</v>
      </c>
      <c r="C87" s="0" t="s">
        <v>3473</v>
      </c>
      <c r="D87" s="0" t="s">
        <v>123</v>
      </c>
      <c r="E87" s="0" t="s">
        <v>3473</v>
      </c>
      <c r="F87" s="0" t="s">
        <v>3320</v>
      </c>
      <c r="G87" s="0" t="s">
        <v>3480</v>
      </c>
    </row>
    <row customHeight="1" ht="11.25">
      <c r="A88" s="885" t="s">
        <v>16</v>
      </c>
      <c r="B88" s="0" t="s">
        <v>123</v>
      </c>
      <c r="C88" s="0" t="s">
        <v>3473</v>
      </c>
      <c r="D88" s="0" t="s">
        <v>3481</v>
      </c>
      <c r="E88" s="0" t="s">
        <v>3482</v>
      </c>
      <c r="F88" s="0" t="s">
        <v>3319</v>
      </c>
      <c r="G88" s="0" t="s">
        <v>3483</v>
      </c>
    </row>
    <row customHeight="1" ht="11.25">
      <c r="A89" s="885" t="s">
        <v>16</v>
      </c>
      <c r="B89" s="0" t="s">
        <v>3484</v>
      </c>
      <c r="C89" s="0" t="s">
        <v>3485</v>
      </c>
      <c r="D89" s="0" t="s">
        <v>3484</v>
      </c>
      <c r="E89" s="0" t="s">
        <v>3485</v>
      </c>
      <c r="F89" s="0" t="s">
        <v>3305</v>
      </c>
      <c r="G89" s="0" t="s">
        <v>3486</v>
      </c>
    </row>
    <row customHeight="1" ht="11.25">
      <c r="A90" s="885" t="s">
        <v>16</v>
      </c>
      <c r="B90" s="0" t="s">
        <v>148</v>
      </c>
      <c r="C90" s="0" t="s">
        <v>149</v>
      </c>
      <c r="D90" s="0" t="s">
        <v>148</v>
      </c>
      <c r="E90" s="0" t="s">
        <v>149</v>
      </c>
      <c r="F90" s="0" t="s">
        <v>3305</v>
      </c>
      <c r="G90" s="0" t="s">
        <v>147</v>
      </c>
    </row>
    <row customHeight="1" ht="11.25">
      <c r="A91" s="885" t="s">
        <v>16</v>
      </c>
      <c r="B91" s="0" t="s">
        <v>142</v>
      </c>
      <c r="C91" s="0" t="s">
        <v>3487</v>
      </c>
      <c r="D91" s="0" t="s">
        <v>3488</v>
      </c>
      <c r="E91" s="0" t="s">
        <v>3489</v>
      </c>
      <c r="F91" s="0" t="s">
        <v>3319</v>
      </c>
      <c r="G91" s="0" t="s">
        <v>3490</v>
      </c>
    </row>
    <row customHeight="1" ht="11.25">
      <c r="A92" s="885" t="s">
        <v>16</v>
      </c>
      <c r="B92" s="0" t="s">
        <v>142</v>
      </c>
      <c r="C92" s="0" t="s">
        <v>3487</v>
      </c>
      <c r="D92" s="0" t="s">
        <v>3491</v>
      </c>
      <c r="E92" s="0" t="s">
        <v>3492</v>
      </c>
      <c r="F92" s="0" t="s">
        <v>3319</v>
      </c>
      <c r="G92" s="0" t="s">
        <v>3493</v>
      </c>
    </row>
    <row customHeight="1" ht="11.25">
      <c r="A93" s="885" t="s">
        <v>16</v>
      </c>
      <c r="B93" s="0" t="s">
        <v>142</v>
      </c>
      <c r="C93" s="0" t="s">
        <v>3487</v>
      </c>
      <c r="D93" s="0" t="s">
        <v>143</v>
      </c>
      <c r="E93" s="0" t="s">
        <v>144</v>
      </c>
      <c r="F93" s="0" t="s">
        <v>3319</v>
      </c>
      <c r="G93" s="0" t="s">
        <v>141</v>
      </c>
    </row>
    <row customHeight="1" ht="11.25">
      <c r="A94" s="885" t="s">
        <v>16</v>
      </c>
      <c r="B94" s="0" t="s">
        <v>142</v>
      </c>
      <c r="C94" s="0" t="s">
        <v>3487</v>
      </c>
      <c r="D94" s="0" t="s">
        <v>3494</v>
      </c>
      <c r="E94" s="0" t="s">
        <v>3495</v>
      </c>
      <c r="F94" s="0" t="s">
        <v>3340</v>
      </c>
      <c r="G94" s="0" t="s">
        <v>3496</v>
      </c>
    </row>
    <row customHeight="1" ht="11.25">
      <c r="A95" s="885" t="s">
        <v>16</v>
      </c>
      <c r="B95" s="0" t="s">
        <v>142</v>
      </c>
      <c r="C95" s="0" t="s">
        <v>3487</v>
      </c>
      <c r="D95" s="0" t="s">
        <v>3497</v>
      </c>
      <c r="E95" s="0" t="s">
        <v>3498</v>
      </c>
      <c r="F95" s="0" t="s">
        <v>3319</v>
      </c>
      <c r="G95" s="0" t="s">
        <v>3499</v>
      </c>
    </row>
    <row customHeight="1" ht="11.25">
      <c r="A96" s="885" t="s">
        <v>16</v>
      </c>
      <c r="B96" s="0" t="s">
        <v>142</v>
      </c>
      <c r="C96" s="0" t="s">
        <v>3487</v>
      </c>
      <c r="D96" s="0" t="s">
        <v>142</v>
      </c>
      <c r="E96" s="0" t="s">
        <v>3487</v>
      </c>
      <c r="F96" s="0" t="s">
        <v>3320</v>
      </c>
      <c r="G96" s="0" t="s">
        <v>3500</v>
      </c>
    </row>
    <row customHeight="1" ht="11.25">
      <c r="A97" s="885" t="s">
        <v>16</v>
      </c>
      <c r="B97" s="0" t="s">
        <v>142</v>
      </c>
      <c r="C97" s="0" t="s">
        <v>3487</v>
      </c>
      <c r="D97" s="0" t="s">
        <v>3501</v>
      </c>
      <c r="E97" s="0" t="s">
        <v>3502</v>
      </c>
      <c r="F97" s="0" t="s">
        <v>3340</v>
      </c>
      <c r="G97" s="0" t="s">
        <v>3503</v>
      </c>
    </row>
    <row customHeight="1" ht="11.25">
      <c r="A98" s="885" t="s">
        <v>16</v>
      </c>
      <c r="B98" s="0" t="s">
        <v>142</v>
      </c>
      <c r="C98" s="0" t="s">
        <v>3487</v>
      </c>
      <c r="D98" s="0" t="s">
        <v>3504</v>
      </c>
      <c r="E98" s="0" t="s">
        <v>3505</v>
      </c>
      <c r="F98" s="0" t="s">
        <v>3319</v>
      </c>
      <c r="G98" s="0" t="s">
        <v>3506</v>
      </c>
    </row>
    <row customHeight="1" ht="11.25">
      <c r="A99" s="885" t="s">
        <v>16</v>
      </c>
      <c r="B99" s="0" t="s">
        <v>3507</v>
      </c>
      <c r="C99" s="0" t="s">
        <v>3508</v>
      </c>
      <c r="D99" s="0" t="s">
        <v>3507</v>
      </c>
      <c r="E99" s="0" t="s">
        <v>3508</v>
      </c>
      <c r="F99" s="0" t="s">
        <v>3305</v>
      </c>
      <c r="G99" s="0" t="s">
        <v>3509</v>
      </c>
    </row>
    <row customHeight="1" ht="11.25">
      <c r="A100" s="885" t="s">
        <v>16</v>
      </c>
      <c r="B100" s="0" t="s">
        <v>3510</v>
      </c>
      <c r="C100" s="0" t="s">
        <v>3511</v>
      </c>
      <c r="D100" s="0" t="s">
        <v>3512</v>
      </c>
      <c r="E100" s="0" t="s">
        <v>3513</v>
      </c>
      <c r="F100" s="0" t="s">
        <v>3319</v>
      </c>
      <c r="G100" s="0" t="s">
        <v>3514</v>
      </c>
    </row>
    <row customHeight="1" ht="11.25">
      <c r="A101" s="885" t="s">
        <v>16</v>
      </c>
      <c r="B101" s="0" t="s">
        <v>3510</v>
      </c>
      <c r="C101" s="0" t="s">
        <v>3511</v>
      </c>
      <c r="D101" s="0" t="s">
        <v>3515</v>
      </c>
      <c r="E101" s="0" t="s">
        <v>3516</v>
      </c>
      <c r="F101" s="0" t="s">
        <v>3319</v>
      </c>
      <c r="G101" s="0" t="s">
        <v>3517</v>
      </c>
    </row>
    <row customHeight="1" ht="11.25">
      <c r="A102" s="885" t="s">
        <v>16</v>
      </c>
      <c r="B102" s="0" t="s">
        <v>3510</v>
      </c>
      <c r="C102" s="0" t="s">
        <v>3511</v>
      </c>
      <c r="D102" s="0" t="s">
        <v>3518</v>
      </c>
      <c r="E102" s="0" t="s">
        <v>3519</v>
      </c>
      <c r="F102" s="0" t="s">
        <v>3319</v>
      </c>
      <c r="G102" s="0" t="s">
        <v>3520</v>
      </c>
    </row>
    <row customHeight="1" ht="11.25">
      <c r="A103" s="885" t="s">
        <v>16</v>
      </c>
      <c r="B103" s="0" t="s">
        <v>3510</v>
      </c>
      <c r="C103" s="0" t="s">
        <v>3511</v>
      </c>
      <c r="D103" s="0" t="s">
        <v>3521</v>
      </c>
      <c r="E103" s="0" t="s">
        <v>3522</v>
      </c>
      <c r="F103" s="0" t="s">
        <v>3319</v>
      </c>
      <c r="G103" s="0" t="s">
        <v>3523</v>
      </c>
    </row>
    <row customHeight="1" ht="11.25">
      <c r="A104" s="885" t="s">
        <v>16</v>
      </c>
      <c r="B104" s="0" t="s">
        <v>3510</v>
      </c>
      <c r="C104" s="0" t="s">
        <v>3511</v>
      </c>
      <c r="D104" s="0" t="s">
        <v>3510</v>
      </c>
      <c r="E104" s="0" t="s">
        <v>3511</v>
      </c>
      <c r="F104" s="0" t="s">
        <v>3320</v>
      </c>
      <c r="G104" s="0" t="s">
        <v>3524</v>
      </c>
    </row>
    <row customHeight="1" ht="11.25">
      <c r="A105" s="885" t="s">
        <v>16</v>
      </c>
      <c r="B105" s="0" t="s">
        <v>3510</v>
      </c>
      <c r="C105" s="0" t="s">
        <v>3511</v>
      </c>
      <c r="D105" s="0" t="s">
        <v>3525</v>
      </c>
      <c r="E105" s="0" t="s">
        <v>3526</v>
      </c>
      <c r="F105" s="0" t="s">
        <v>3319</v>
      </c>
      <c r="G105" s="0" t="s">
        <v>3527</v>
      </c>
    </row>
    <row customHeight="1" ht="11.25">
      <c r="A106" s="885" t="s">
        <v>16</v>
      </c>
      <c r="B106" s="0" t="s">
        <v>3528</v>
      </c>
      <c r="C106" s="0" t="s">
        <v>3529</v>
      </c>
      <c r="D106" s="0" t="s">
        <v>3528</v>
      </c>
      <c r="E106" s="0" t="s">
        <v>3529</v>
      </c>
      <c r="F106" s="0" t="s">
        <v>3308</v>
      </c>
      <c r="G106" s="0" t="s">
        <v>3530</v>
      </c>
    </row>
    <row customHeight="1" ht="11.25">
      <c r="A107" s="885" t="s">
        <v>16</v>
      </c>
      <c r="B107" s="0" t="s">
        <v>161</v>
      </c>
      <c r="C107" s="0" t="s">
        <v>162</v>
      </c>
      <c r="D107" s="0" t="s">
        <v>161</v>
      </c>
      <c r="E107" s="0" t="s">
        <v>162</v>
      </c>
      <c r="F107" s="0" t="s">
        <v>3308</v>
      </c>
      <c r="G107" s="0" t="s">
        <v>160</v>
      </c>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E574719-640E-4E7C-42E6-74959D9170CE}" mc:Ignorable="x14ac xr xr2 xr3">
  <sheetPr>
    <tabColor rgb="FFFFCC99"/>
  </sheetPr>
  <dimension ref="A1:I13"/>
  <sheetViews>
    <sheetView topLeftCell="A1" showGridLines="0" workbookViewId="0">
      <selection activeCell="A1" sqref="A1"/>
    </sheetView>
  </sheetViews>
  <sheetFormatPr defaultColWidth="9.140625" customHeight="1" defaultRowHeight="11.25"/>
  <cols>
    <col min="1" max="1" style="55906" width="13.8515625" customWidth="1"/>
    <col min="2" max="2" style="55906" width="10.421875" customWidth="1"/>
    <col min="3" max="3" style="55906" width="7.57421875" customWidth="1"/>
    <col min="4" max="4" style="55906" width="13.8515625" customWidth="1"/>
    <col min="5" max="5" style="55906" width="11.57421875" customWidth="1"/>
    <col min="6" max="6" style="55906" width="16.28125" customWidth="1"/>
    <col min="7" max="7" style="55906" width="16.00390625" customWidth="1"/>
    <col min="8" max="9" style="55906" width="16.140625" customWidth="1"/>
  </cols>
  <sheetData>
    <row customHeight="1" ht="11.25">
      <c r="A1" s="1347" t="s">
        <v>3531</v>
      </c>
      <c r="B1" s="1347" t="s">
        <v>3532</v>
      </c>
      <c r="C1" s="1671" t="s">
        <v>3533</v>
      </c>
      <c r="D1" s="1347" t="s">
        <v>3534</v>
      </c>
      <c r="E1" s="1347" t="s">
        <v>3535</v>
      </c>
      <c r="F1" s="1671" t="s">
        <v>3536</v>
      </c>
      <c r="G1" s="1671" t="s">
        <v>3537</v>
      </c>
      <c r="H1" s="1671" t="s">
        <v>3538</v>
      </c>
      <c r="I1" s="1671" t="s">
        <v>3539</v>
      </c>
    </row>
    <row customHeight="1" ht="11.25">
      <c r="A2" s="5676" t="s">
        <v>101</v>
      </c>
      <c r="B2" s="5676" t="s">
        <v>3540</v>
      </c>
      <c r="C2" s="5676" t="s">
        <v>28</v>
      </c>
      <c r="D2" s="5676" t="s">
        <v>3541</v>
      </c>
      <c r="E2" s="5676" t="s">
        <v>3542</v>
      </c>
      <c r="F2" s="5676" t="s">
        <v>28</v>
      </c>
      <c r="G2" s="5676" t="s">
        <v>28</v>
      </c>
      <c r="H2" s="5676" t="s">
        <v>28</v>
      </c>
      <c r="I2" s="5676" t="s">
        <v>28</v>
      </c>
    </row>
    <row customHeight="1" ht="11.25">
      <c r="A3" s="5676" t="s">
        <v>105</v>
      </c>
      <c r="B3" s="5676" t="s">
        <v>3543</v>
      </c>
      <c r="C3" s="5676" t="s">
        <v>28</v>
      </c>
      <c r="D3" s="5676" t="s">
        <v>3544</v>
      </c>
      <c r="E3" s="5676" t="s">
        <v>3545</v>
      </c>
      <c r="F3" s="5676" t="s">
        <v>28</v>
      </c>
      <c r="G3" s="5676" t="s">
        <v>28</v>
      </c>
      <c r="H3" s="5676" t="s">
        <v>28</v>
      </c>
      <c r="I3" s="5676" t="s">
        <v>28</v>
      </c>
    </row>
    <row customHeight="1" ht="11.25">
      <c r="A4" s="5676" t="s">
        <v>92</v>
      </c>
      <c r="B4" s="5676" t="s">
        <v>3546</v>
      </c>
      <c r="C4" s="5676" t="s">
        <v>28</v>
      </c>
      <c r="D4" s="5676" t="s">
        <v>3544</v>
      </c>
      <c r="E4" s="5676" t="s">
        <v>3547</v>
      </c>
      <c r="F4" s="5676" t="s">
        <v>28</v>
      </c>
      <c r="G4" s="5676" t="s">
        <v>28</v>
      </c>
      <c r="H4" s="5676" t="s">
        <v>28</v>
      </c>
      <c r="I4" s="5676" t="s">
        <v>28</v>
      </c>
    </row>
    <row customHeight="1" ht="11.25">
      <c r="A5" s="5676" t="s">
        <v>93</v>
      </c>
      <c r="B5" s="5676" t="s">
        <v>3548</v>
      </c>
      <c r="C5" s="5676" t="s">
        <v>28</v>
      </c>
      <c r="D5" s="5676" t="s">
        <v>3544</v>
      </c>
      <c r="E5" s="5676" t="s">
        <v>3549</v>
      </c>
      <c r="F5" s="5676" t="s">
        <v>28</v>
      </c>
      <c r="G5" s="5676" t="s">
        <v>28</v>
      </c>
      <c r="H5" s="5676" t="s">
        <v>28</v>
      </c>
      <c r="I5" s="5676" t="s">
        <v>28</v>
      </c>
    </row>
    <row customHeight="1" ht="11.25">
      <c r="A6" s="5676" t="s">
        <v>120</v>
      </c>
      <c r="B6" s="5676" t="s">
        <v>3550</v>
      </c>
      <c r="C6" s="5676" t="s">
        <v>28</v>
      </c>
      <c r="D6" s="5676" t="s">
        <v>3544</v>
      </c>
      <c r="E6" s="5676" t="s">
        <v>3551</v>
      </c>
      <c r="F6" s="5676" t="s">
        <v>28</v>
      </c>
      <c r="G6" s="5676" t="s">
        <v>28</v>
      </c>
      <c r="H6" s="5676" t="s">
        <v>28</v>
      </c>
      <c r="I6" s="5676" t="s">
        <v>28</v>
      </c>
    </row>
    <row customHeight="1" ht="11.25">
      <c r="A7" s="5676" t="s">
        <v>94</v>
      </c>
      <c r="B7" s="5676" t="s">
        <v>3552</v>
      </c>
      <c r="C7" s="5676" t="s">
        <v>28</v>
      </c>
      <c r="D7" s="5676" t="s">
        <v>3544</v>
      </c>
      <c r="E7" s="5676" t="s">
        <v>3549</v>
      </c>
      <c r="F7" s="5676" t="s">
        <v>28</v>
      </c>
      <c r="G7" s="5676" t="s">
        <v>28</v>
      </c>
      <c r="H7" s="5676" t="s">
        <v>28</v>
      </c>
      <c r="I7" s="5676" t="s">
        <v>28</v>
      </c>
    </row>
    <row customHeight="1" ht="11.25">
      <c r="A8" s="5676" t="s">
        <v>95</v>
      </c>
      <c r="B8" s="5676" t="s">
        <v>3553</v>
      </c>
      <c r="C8" s="5676" t="s">
        <v>28</v>
      </c>
      <c r="D8" s="5676" t="s">
        <v>3544</v>
      </c>
      <c r="E8" s="5676" t="s">
        <v>3551</v>
      </c>
      <c r="F8" s="5676" t="s">
        <v>28</v>
      </c>
      <c r="G8" s="5676" t="s">
        <v>28</v>
      </c>
      <c r="H8" s="5676" t="s">
        <v>28</v>
      </c>
      <c r="I8" s="5676" t="s">
        <v>28</v>
      </c>
    </row>
    <row customHeight="1" ht="11.25">
      <c r="A9" s="5676" t="s">
        <v>134</v>
      </c>
      <c r="B9" s="5676" t="s">
        <v>3554</v>
      </c>
      <c r="C9" s="5676" t="s">
        <v>28</v>
      </c>
      <c r="D9" s="5676" t="s">
        <v>3544</v>
      </c>
      <c r="E9" s="5676" t="s">
        <v>3555</v>
      </c>
      <c r="F9" s="5676" t="s">
        <v>28</v>
      </c>
      <c r="G9" s="5676" t="s">
        <v>28</v>
      </c>
      <c r="H9" s="5676" t="s">
        <v>28</v>
      </c>
      <c r="I9" s="5676" t="s">
        <v>28</v>
      </c>
    </row>
    <row customHeight="1" ht="11.25">
      <c r="A10" s="5676" t="s">
        <v>139</v>
      </c>
      <c r="B10" s="5676" t="s">
        <v>3556</v>
      </c>
      <c r="C10" s="5676" t="s">
        <v>28</v>
      </c>
      <c r="D10" s="5676" t="s">
        <v>3557</v>
      </c>
      <c r="E10" s="5676" t="s">
        <v>3545</v>
      </c>
      <c r="F10" s="5676" t="s">
        <v>28</v>
      </c>
      <c r="G10" s="5676" t="s">
        <v>28</v>
      </c>
      <c r="H10" s="5676" t="s">
        <v>28</v>
      </c>
      <c r="I10" s="5676" t="s">
        <v>28</v>
      </c>
    </row>
    <row customHeight="1" ht="11.25">
      <c r="A11" s="5676" t="s">
        <v>145</v>
      </c>
      <c r="B11" s="5676" t="s">
        <v>3558</v>
      </c>
      <c r="C11" s="5676" t="s">
        <v>28</v>
      </c>
      <c r="D11" s="5676" t="s">
        <v>3559</v>
      </c>
      <c r="E11" s="5676" t="s">
        <v>3551</v>
      </c>
      <c r="F11" s="5676" t="s">
        <v>28</v>
      </c>
      <c r="G11" s="5676" t="s">
        <v>28</v>
      </c>
      <c r="H11" s="5676" t="s">
        <v>28</v>
      </c>
      <c r="I11" s="5676" t="s">
        <v>28</v>
      </c>
    </row>
    <row customHeight="1" ht="11.25">
      <c r="A12" s="5676" t="s">
        <v>150</v>
      </c>
      <c r="B12" s="5676" t="s">
        <v>3560</v>
      </c>
      <c r="C12" s="5676" t="s">
        <v>28</v>
      </c>
      <c r="D12" s="5676" t="s">
        <v>3559</v>
      </c>
      <c r="E12" s="5676" t="s">
        <v>3551</v>
      </c>
      <c r="F12" s="5676" t="s">
        <v>28</v>
      </c>
      <c r="G12" s="5676" t="s">
        <v>28</v>
      </c>
      <c r="H12" s="5676" t="s">
        <v>28</v>
      </c>
      <c r="I12" s="5676" t="s">
        <v>28</v>
      </c>
    </row>
    <row customHeight="1" ht="11.25">
      <c r="A13" s="5676" t="s">
        <v>154</v>
      </c>
      <c r="B13" s="5676" t="s">
        <v>3561</v>
      </c>
      <c r="C13" s="5676" t="s">
        <v>28</v>
      </c>
      <c r="D13" s="5676" t="s">
        <v>3544</v>
      </c>
      <c r="E13" s="5676" t="s">
        <v>3562</v>
      </c>
      <c r="F13" s="5676" t="s">
        <v>28</v>
      </c>
      <c r="G13" s="5676" t="s">
        <v>28</v>
      </c>
      <c r="H13" s="5676" t="s">
        <v>28</v>
      </c>
      <c r="I13" s="5676" t="s">
        <v>28</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8029E54-7A65-F53A-72EF-5025257712C4}" mc:Ignorable="x14ac xr xr2 xr3">
  <sheetPr>
    <tabColor rgb="FFFFCC99"/>
  </sheetPr>
  <dimension ref="A1:A1"/>
  <sheetViews>
    <sheetView topLeftCell="A1"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2BC7BDA-5851-6CD2-357C-0968D685EED1}" mc:Ignorable="x14ac xr xr2 xr3">
  <sheetPr>
    <tabColor theme="3" tint="0.6"/>
  </sheetPr>
  <dimension ref="A1:AT18"/>
  <sheetViews>
    <sheetView topLeftCell="A1" showGridLines="0" zoomScale="90" workbookViewId="0">
      <selection activeCell="A1" sqref="A1"/>
    </sheetView>
  </sheetViews>
  <sheetFormatPr defaultColWidth="10.57421875" customHeight="1" defaultRowHeight="14.25"/>
  <cols>
    <col min="1" max="1" style="46772" width="9.140625" hidden="1" customWidth="1"/>
    <col min="2" max="2" style="46808" width="9.140625" hidden="1" customWidth="1"/>
    <col min="3" max="3" style="46988" width="3.00390625" customWidth="1"/>
    <col min="4" max="4" style="46808" width="5.00390625" customWidth="1"/>
    <col min="5" max="5" style="46808" width="48.00390625" customWidth="1"/>
    <col min="6" max="6" style="46808" width="38.00390625" customWidth="1"/>
    <col min="7" max="7" style="46808" width="1.7109375" hidden="1" customWidth="1"/>
    <col min="8" max="11" style="46808" width="19.8515625" hidden="1" customWidth="1"/>
    <col min="12" max="12" style="46808" width="9.7109375" hidden="1" customWidth="1"/>
    <col min="13" max="18" style="46808" width="19.8515625" hidden="1" customWidth="1"/>
    <col min="19" max="19" style="46808" width="1.7109375" hidden="1" customWidth="1"/>
    <col min="20" max="22" style="46808" width="19.8515625" customWidth="1"/>
    <col min="23" max="23" style="46808" width="1.7109375" hidden="1" customWidth="1"/>
    <col min="24" max="26" style="46808" width="19.8515625" hidden="1" customWidth="1"/>
    <col min="27" max="27" style="46808" width="1.7109375" hidden="1" customWidth="1"/>
    <col min="28" max="29" style="46808" width="19.8515625" hidden="1" customWidth="1"/>
    <col min="30" max="30" style="46808" width="1.7109375" hidden="1" customWidth="1"/>
    <col min="31" max="31" style="46808" width="103.7109375" hidden="1" customWidth="1"/>
    <col min="32" max="32" style="46808" width="103.7109375" customWidth="1"/>
    <col min="33" max="34" style="46808" width="103.7109375" hidden="1" customWidth="1"/>
    <col min="35" max="35" style="46905" width="3.00390625" customWidth="1"/>
    <col min="36" max="38" style="46890" width="10.00390625" customWidth="1"/>
    <col min="39" max="39" style="46890" width="13.7109375" hidden="1" customWidth="1"/>
    <col min="40" max="40" style="46890" width="15.00390625" customWidth="1"/>
    <col min="41" max="41" style="46890" width="16.00390625" customWidth="1"/>
    <col min="42" max="45" style="46890" width="10.00390625" customWidth="1"/>
    <col min="46" max="46" style="46808" width="10.57421875" hidden="1"/>
  </cols>
  <sheetData>
    <row customHeight="1" ht="22.5" hidden="1">
      <c r="E1" s="924"/>
      <c r="F1" s="924"/>
      <c r="G1" s="924"/>
      <c r="H1" s="2729" t="s">
        <v>470</v>
      </c>
      <c r="I1" s="2729"/>
      <c r="J1" s="2729"/>
      <c r="K1" s="2729"/>
      <c r="L1" s="2729"/>
      <c r="M1" s="2729"/>
      <c r="N1" s="2729"/>
      <c r="O1" s="2729"/>
      <c r="P1" s="2729"/>
      <c r="Q1" s="2729"/>
      <c r="R1" s="2729"/>
      <c r="T1" s="2729" t="s">
        <v>471</v>
      </c>
      <c r="U1" s="2729"/>
      <c r="V1" s="2729"/>
      <c r="X1" s="2729" t="s">
        <v>472</v>
      </c>
      <c r="Y1" s="2729"/>
      <c r="Z1" s="2729"/>
      <c r="AB1" s="2729" t="s">
        <v>473</v>
      </c>
      <c r="AC1" s="2729"/>
      <c r="AT1" s="959" t="s">
        <v>14</v>
      </c>
    </row>
    <row customHeight="1" ht="14.25" hidden="1">
      <c r="AT2" s="959">
        <v>0</v>
      </c>
    </row>
    <row s="47455" customFormat="1" customHeight="1" ht="5.25">
      <c r="C3" s="1213"/>
      <c r="D3" s="1214"/>
      <c r="E3" s="1214"/>
      <c r="F3" s="1214"/>
      <c r="G3" s="1214"/>
      <c r="H3" s="1214" t="s">
        <v>474</v>
      </c>
      <c r="I3" s="1214"/>
      <c r="J3" s="1214"/>
      <c r="K3" s="1214"/>
      <c r="L3" s="1214"/>
      <c r="M3" s="1214"/>
      <c r="N3" s="1214"/>
      <c r="O3" s="1214"/>
      <c r="P3" s="1214"/>
      <c r="Q3" s="1214"/>
      <c r="R3" s="1214"/>
      <c r="S3" s="1214"/>
      <c r="T3" s="1214"/>
      <c r="U3" s="1214"/>
      <c r="V3" s="1214"/>
      <c r="W3" s="1214"/>
      <c r="X3" s="1214"/>
      <c r="Y3" s="1214"/>
      <c r="Z3" s="1214"/>
      <c r="AA3" s="1214"/>
      <c r="AB3" s="1214"/>
      <c r="AC3" s="1214"/>
      <c r="AD3" s="1214"/>
      <c r="AE3" s="1214"/>
      <c r="AF3" s="1214"/>
      <c r="AG3" s="1214"/>
      <c r="AH3" s="1214"/>
      <c r="AJ3" s="1023"/>
      <c r="AK3" s="1023"/>
      <c r="AL3" s="1023"/>
      <c r="AM3" s="1023"/>
      <c r="AN3" s="1023"/>
      <c r="AO3" s="1023"/>
      <c r="AP3" s="1023"/>
      <c r="AQ3" s="1023"/>
      <c r="AR3" s="1023"/>
      <c r="AS3" s="1023"/>
      <c r="AT3" s="1212">
        <v>5</v>
      </c>
    </row>
    <row customHeight="1" ht="39.75">
      <c r="C4" s="962"/>
      <c r="D4" s="2669" t="str">
        <f>ORG_VD_NAME_FORM</f>
        <v>Форма 1. Информация об организации, осуществляющей водоотведение (общая информация)</v>
      </c>
      <c r="E4" s="2670"/>
      <c r="F4" s="2670"/>
      <c r="G4" s="2670"/>
      <c r="H4" s="2670"/>
      <c r="I4" s="2670"/>
      <c r="J4" s="2670"/>
      <c r="K4" s="2670"/>
      <c r="L4" s="2670"/>
      <c r="M4" s="2670"/>
      <c r="N4" s="2670"/>
      <c r="O4" s="2670"/>
      <c r="P4" s="2670"/>
      <c r="Q4" s="2670"/>
      <c r="R4" s="2671"/>
      <c r="S4" s="1365"/>
      <c r="T4" s="1211"/>
      <c r="U4" s="1211"/>
      <c r="V4" s="1211"/>
      <c r="W4" s="1211"/>
      <c r="X4" s="1211"/>
      <c r="Y4" s="1211"/>
      <c r="Z4" s="1211"/>
      <c r="AA4" s="1211"/>
      <c r="AB4" s="1211"/>
      <c r="AC4" s="1211"/>
      <c r="AD4" s="1211"/>
      <c r="AE4" s="1003"/>
      <c r="AF4" s="1003"/>
      <c r="AG4" s="1003"/>
      <c r="AH4" s="1003"/>
      <c r="AI4" s="1000"/>
      <c r="AT4" s="959">
        <v>38</v>
      </c>
    </row>
    <row s="46808" customFormat="1" customHeight="1" ht="18">
      <c r="A5" s="1271"/>
      <c r="C5" s="1334"/>
      <c r="D5" s="2726" t="str">
        <f>IF(org=0,"Не определено",org)</f>
        <v>КГУП "Примтеплоэнерго"</v>
      </c>
      <c r="E5" s="2727"/>
      <c r="F5" s="2727"/>
      <c r="G5" s="2727"/>
      <c r="H5" s="2727"/>
      <c r="I5" s="2727"/>
      <c r="J5" s="2727"/>
      <c r="K5" s="2727"/>
      <c r="L5" s="2727"/>
      <c r="M5" s="2727"/>
      <c r="N5" s="2727"/>
      <c r="O5" s="2727"/>
      <c r="P5" s="2727"/>
      <c r="Q5" s="2727"/>
      <c r="R5" s="2728"/>
      <c r="S5" s="1365"/>
      <c r="T5" s="1211"/>
      <c r="U5" s="1211"/>
      <c r="V5" s="1211"/>
      <c r="W5" s="1211"/>
      <c r="X5" s="1211"/>
      <c r="Y5" s="1211"/>
      <c r="Z5" s="1211"/>
      <c r="AA5" s="1211"/>
      <c r="AB5" s="1211"/>
      <c r="AC5" s="1211"/>
      <c r="AD5" s="1211"/>
      <c r="AE5" s="1003"/>
      <c r="AF5" s="1003"/>
      <c r="AG5" s="1003"/>
      <c r="AH5" s="1003"/>
      <c r="AI5" s="1000"/>
      <c r="AJ5" s="1023"/>
      <c r="AK5" s="1023"/>
      <c r="AL5" s="1023"/>
      <c r="AM5" s="1023"/>
      <c r="AN5" s="1023"/>
      <c r="AO5" s="1023"/>
      <c r="AP5" s="1023"/>
      <c r="AQ5" s="1023"/>
      <c r="AR5" s="1023"/>
      <c r="AS5" s="1023"/>
      <c r="AT5" s="1270">
        <v>17</v>
      </c>
    </row>
    <row s="46783" customFormat="1" customHeight="1" ht="11.549999999999999">
      <c r="A6" s="991"/>
      <c r="C6" s="998"/>
      <c r="D6" s="997"/>
      <c r="E6" s="997"/>
      <c r="F6" s="997"/>
      <c r="G6" s="997"/>
      <c r="H6" s="997"/>
      <c r="I6" s="997"/>
      <c r="J6" s="997"/>
      <c r="K6" s="997"/>
      <c r="L6" s="997"/>
      <c r="M6" s="997"/>
      <c r="N6" s="997"/>
      <c r="O6" s="997"/>
      <c r="P6" s="997"/>
      <c r="Q6" s="997"/>
      <c r="R6" s="1264"/>
      <c r="S6" s="1264"/>
      <c r="T6" s="997"/>
      <c r="U6" s="997"/>
      <c r="V6" s="1224"/>
      <c r="W6" s="1224"/>
      <c r="X6" s="997"/>
      <c r="Y6" s="997"/>
      <c r="Z6" s="1224"/>
      <c r="AA6" s="1224"/>
      <c r="AB6" s="997"/>
      <c r="AC6" s="1224"/>
      <c r="AD6" s="1224"/>
      <c r="AE6" s="997"/>
      <c r="AF6" s="997"/>
      <c r="AG6" s="997"/>
      <c r="AH6" s="997"/>
      <c r="AJ6" s="1001"/>
      <c r="AK6" s="1001"/>
      <c r="AL6" s="1001"/>
      <c r="AM6" s="1001"/>
      <c r="AN6" s="1001"/>
      <c r="AO6" s="1001"/>
      <c r="AP6" s="1001"/>
      <c r="AQ6" s="1001"/>
      <c r="AR6" s="1001"/>
      <c r="AS6" s="1001"/>
      <c r="AT6" s="992">
        <v>11</v>
      </c>
    </row>
    <row customHeight="1" ht="14.699999999999998">
      <c r="C7" s="962"/>
      <c r="D7" s="2730" t="s">
        <v>418</v>
      </c>
      <c r="E7" s="2731"/>
      <c r="F7" s="2731"/>
      <c r="G7" s="2731"/>
      <c r="H7" s="2731"/>
      <c r="I7" s="2731"/>
      <c r="J7" s="2731"/>
      <c r="K7" s="2731"/>
      <c r="L7" s="2731"/>
      <c r="M7" s="2731"/>
      <c r="N7" s="2731"/>
      <c r="O7" s="2731"/>
      <c r="P7" s="2731"/>
      <c r="Q7" s="2731"/>
      <c r="R7" s="2731"/>
      <c r="S7" s="2731"/>
      <c r="T7" s="2731"/>
      <c r="U7" s="2731"/>
      <c r="V7" s="2731"/>
      <c r="W7" s="2731"/>
      <c r="X7" s="2731"/>
      <c r="Y7" s="2731"/>
      <c r="Z7" s="2731"/>
      <c r="AA7" s="2731"/>
      <c r="AB7" s="2731"/>
      <c r="AC7" s="2731"/>
      <c r="AD7" s="2732"/>
      <c r="AE7" s="2735" t="s">
        <v>419</v>
      </c>
      <c r="AF7" s="2735" t="s">
        <v>419</v>
      </c>
      <c r="AG7" s="2735" t="s">
        <v>419</v>
      </c>
      <c r="AH7" s="2735" t="s">
        <v>419</v>
      </c>
      <c r="AT7" s="959">
        <v>14</v>
      </c>
    </row>
    <row customHeight="1" ht="27.299999999999997">
      <c r="C8" s="962"/>
      <c r="D8" s="2639" t="s">
        <v>90</v>
      </c>
      <c r="E8" s="2735" t="str">
        <f>"Наименование "&amp;IF(TEMPLATE_SPHERE&lt;&gt;"HEAT","централизованной ","")&amp;"системы "&amp;TEMPLATE_SPHERE_RUS</f>
        <v>Наименование централизованной системы водоотведения</v>
      </c>
      <c r="F8" s="2735" t="str">
        <f>IF(TEMPLATE_SPHERE&lt;&gt;"HEAT","Регулируемый вид деятельности","Вид регулируемой деятельности")</f>
        <v>Регулируемый вид деятельности</v>
      </c>
      <c r="G8" s="1340"/>
      <c r="H8" s="2736" t="s">
        <v>475</v>
      </c>
      <c r="I8" s="2738" t="s">
        <v>476</v>
      </c>
      <c r="J8" s="2735" t="s">
        <v>477</v>
      </c>
      <c r="K8" s="2735"/>
      <c r="L8" s="2735"/>
      <c r="M8" s="2730"/>
      <c r="N8" s="2735" t="s">
        <v>478</v>
      </c>
      <c r="O8" s="2735"/>
      <c r="P8" s="2735" t="s">
        <v>479</v>
      </c>
      <c r="Q8" s="2735"/>
      <c r="R8" s="2742" t="s">
        <v>480</v>
      </c>
      <c r="S8" s="1336"/>
      <c r="T8" s="2740" t="s">
        <v>481</v>
      </c>
      <c r="U8" s="2740" t="s">
        <v>482</v>
      </c>
      <c r="V8" s="2740" t="s">
        <v>483</v>
      </c>
      <c r="W8" s="1338"/>
      <c r="X8" s="2740" t="s">
        <v>484</v>
      </c>
      <c r="Y8" s="2740" t="s">
        <v>485</v>
      </c>
      <c r="Z8" s="2740" t="s">
        <v>486</v>
      </c>
      <c r="AA8" s="1338"/>
      <c r="AB8" s="2740" t="s">
        <v>487</v>
      </c>
      <c r="AC8" s="2740" t="s">
        <v>480</v>
      </c>
      <c r="AD8" s="1338"/>
      <c r="AE8" s="2735"/>
      <c r="AF8" s="2735"/>
      <c r="AG8" s="2735"/>
      <c r="AH8" s="2735"/>
      <c r="AT8" s="959">
        <v>26</v>
      </c>
    </row>
    <row customHeight="1" ht="46.199999999999996">
      <c r="C9" s="962"/>
      <c r="D9" s="2639"/>
      <c r="E9" s="2735"/>
      <c r="F9" s="2735"/>
      <c r="G9" s="1341"/>
      <c r="H9" s="2737"/>
      <c r="I9" s="2739"/>
      <c r="J9" s="937" t="s">
        <v>488</v>
      </c>
      <c r="K9" s="937" t="s">
        <v>489</v>
      </c>
      <c r="L9" s="937" t="s">
        <v>490</v>
      </c>
      <c r="M9" s="943" t="s">
        <v>491</v>
      </c>
      <c r="N9" s="937" t="s">
        <v>492</v>
      </c>
      <c r="O9" s="937" t="s">
        <v>491</v>
      </c>
      <c r="P9" s="937" t="s">
        <v>493</v>
      </c>
      <c r="Q9" s="937" t="s">
        <v>491</v>
      </c>
      <c r="R9" s="2743"/>
      <c r="S9" s="1337"/>
      <c r="T9" s="2741"/>
      <c r="U9" s="2741"/>
      <c r="V9" s="2741"/>
      <c r="W9" s="1339"/>
      <c r="X9" s="2741"/>
      <c r="Y9" s="2741"/>
      <c r="Z9" s="2741"/>
      <c r="AA9" s="1339"/>
      <c r="AB9" s="2741"/>
      <c r="AC9" s="2741"/>
      <c r="AD9" s="1339"/>
      <c r="AE9" s="2735"/>
      <c r="AF9" s="2735"/>
      <c r="AG9" s="2735"/>
      <c r="AH9" s="2735"/>
      <c r="AT9" s="959">
        <v>44</v>
      </c>
    </row>
    <row customHeight="1" ht="12" hidden="1">
      <c r="C10" s="999"/>
      <c r="D10" s="960"/>
      <c r="E10" s="960"/>
      <c r="F10" s="960"/>
      <c r="G10" s="960"/>
      <c r="H10" s="960"/>
      <c r="I10" s="960"/>
      <c r="J10" s="960"/>
      <c r="K10" s="960"/>
      <c r="L10" s="960"/>
      <c r="M10" s="960"/>
      <c r="N10" s="960"/>
      <c r="O10" s="960"/>
      <c r="P10" s="960"/>
      <c r="Q10" s="960"/>
      <c r="R10" s="960"/>
      <c r="S10" s="960"/>
      <c r="T10" s="960"/>
      <c r="U10" s="960"/>
      <c r="V10" s="960"/>
      <c r="W10" s="960"/>
      <c r="X10" s="960"/>
      <c r="Y10" s="960"/>
      <c r="Z10" s="960"/>
      <c r="AA10" s="960"/>
      <c r="AB10" s="960"/>
      <c r="AC10" s="960"/>
      <c r="AD10" s="960"/>
      <c r="AE10" s="960"/>
      <c r="AF10" s="960"/>
      <c r="AG10" s="960"/>
      <c r="AH10" s="960"/>
      <c r="AI10" s="959"/>
      <c r="AP10" s="1012"/>
      <c r="AQ10" s="1012"/>
      <c r="AT10" s="959">
        <v>0</v>
      </c>
    </row>
    <row s="47496" customFormat="1" customHeight="1" ht="11.25" hidden="1">
      <c r="C11" s="1010"/>
      <c r="D11" s="1011" t="s">
        <v>494</v>
      </c>
      <c r="E11" s="1011"/>
      <c r="F11" s="1011"/>
      <c r="G11" s="1011"/>
      <c r="H11" s="1009"/>
      <c r="I11" s="1009"/>
      <c r="J11" s="1009"/>
      <c r="K11" s="1009"/>
      <c r="L11" s="1009"/>
      <c r="M11" s="1009"/>
      <c r="N11" s="1009"/>
      <c r="O11" s="1009"/>
      <c r="P11" s="1009"/>
      <c r="Q11" s="1009"/>
      <c r="R11" s="1009"/>
      <c r="S11" s="1009"/>
      <c r="T11" s="1009"/>
      <c r="U11" s="1009"/>
      <c r="V11" s="1009"/>
      <c r="W11" s="1009"/>
      <c r="X11" s="1009"/>
      <c r="Y11" s="1009"/>
      <c r="Z11" s="1009"/>
      <c r="AA11" s="1009"/>
      <c r="AB11" s="1009"/>
      <c r="AC11" s="1009"/>
      <c r="AD11" s="1009"/>
      <c r="AE11" s="947"/>
      <c r="AF11" s="947"/>
      <c r="AG11" s="947"/>
      <c r="AH11" s="947"/>
      <c r="AJ11" s="1001"/>
      <c r="AK11" s="1001"/>
      <c r="AL11" s="1001"/>
      <c r="AM11" s="1001"/>
      <c r="AN11" s="1001"/>
      <c r="AO11" s="1001"/>
      <c r="AP11" s="1001"/>
      <c r="AQ11" s="1001"/>
      <c r="AR11" s="1001"/>
      <c r="AS11" s="1001"/>
      <c r="AT11" s="1008">
        <v>0</v>
      </c>
    </row>
    <row customHeight="1" ht="14.699999999999998">
      <c r="A12" s="959"/>
      <c r="C12" s="962"/>
      <c r="D12" s="946" t="s">
        <v>101</v>
      </c>
      <c r="E12" s="2289" t="s">
        <v>28</v>
      </c>
      <c r="F12" s="1367"/>
      <c r="G12" s="1368"/>
      <c r="H12" s="2290"/>
      <c r="I12" s="2290"/>
      <c r="J12" s="945"/>
      <c r="K12" s="2375"/>
      <c r="L12" s="944"/>
      <c r="M12" s="2375"/>
      <c r="N12" s="945"/>
      <c r="O12" s="2375"/>
      <c r="P12" s="945"/>
      <c r="Q12" s="2375"/>
      <c r="R12" s="945"/>
      <c r="S12" s="1366"/>
      <c r="T12" s="2290"/>
      <c r="U12" s="945"/>
      <c r="V12" s="945"/>
      <c r="W12" s="1339"/>
      <c r="X12" s="2290"/>
      <c r="Y12" s="945"/>
      <c r="Z12" s="945"/>
      <c r="AA12" s="1339"/>
      <c r="AB12" s="2290"/>
      <c r="AC12" s="945"/>
      <c r="AD12" s="1339"/>
      <c r="AE12" s="2733" t="s">
        <v>495</v>
      </c>
      <c r="AF12" s="2733" t="s">
        <v>496</v>
      </c>
      <c r="AG12" s="2733" t="s">
        <v>497</v>
      </c>
      <c r="AH12" s="2733" t="s">
        <v>498</v>
      </c>
      <c r="AI12" s="959"/>
      <c r="AM12" s="1023"/>
      <c r="AP12" s="1012" t="s">
        <v>499</v>
      </c>
      <c r="AQ12" s="1012" t="s">
        <v>499</v>
      </c>
      <c r="AT12" s="959">
        <v>14</v>
      </c>
    </row>
    <row customHeight="1" ht="18">
      <c r="A13" s="959"/>
      <c r="C13" s="962"/>
      <c r="D13" s="917"/>
      <c r="E13" s="1381" t="str">
        <f>IF(TITLE_DIFFERENTIATION_TYPE="нет","","Добавить систему")</f>
        <v/>
      </c>
      <c r="F13" s="1381" t="str">
        <f>IF(TITLE_DIFFERENTIATION_TYPE="нет","Добавить вид деятельности","")</f>
        <v>Добавить вид деятельности</v>
      </c>
      <c r="G13" s="825"/>
      <c r="H13" s="918"/>
      <c r="I13" s="918"/>
      <c r="J13" s="918"/>
      <c r="K13" s="918"/>
      <c r="L13" s="918"/>
      <c r="M13" s="918"/>
      <c r="N13" s="918"/>
      <c r="O13" s="918"/>
      <c r="P13" s="918"/>
      <c r="Q13" s="918"/>
      <c r="R13" s="918"/>
      <c r="S13" s="918"/>
      <c r="T13" s="918"/>
      <c r="U13" s="918"/>
      <c r="V13" s="918"/>
      <c r="W13" s="918"/>
      <c r="X13" s="918"/>
      <c r="Y13" s="918"/>
      <c r="Z13" s="918"/>
      <c r="AA13" s="918"/>
      <c r="AB13" s="918"/>
      <c r="AC13" s="918"/>
      <c r="AD13" s="1369"/>
      <c r="AE13" s="2734"/>
      <c r="AF13" s="2734"/>
      <c r="AG13" s="2734"/>
      <c r="AH13" s="2734"/>
      <c r="AI13" s="959"/>
      <c r="AT13" s="959">
        <v>17</v>
      </c>
    </row>
    <row customHeight="1" ht="14.699999999999998">
      <c r="AI14" s="959"/>
      <c r="AT14" s="959">
        <v>14</v>
      </c>
    </row>
    <row customHeight="1" ht="14.699999999999998">
      <c r="E15" s="1270"/>
      <c r="L15" s="1270"/>
      <c r="AT15" s="959">
        <v>14</v>
      </c>
    </row>
    <row customHeight="1" ht="14.699999999999998">
      <c r="L16" s="1270"/>
      <c r="AT16" s="959">
        <v>14</v>
      </c>
    </row>
    <row customHeight="1" ht="14.699999999999998">
      <c r="L17" s="1270"/>
      <c r="AT17" s="959">
        <v>14</v>
      </c>
    </row>
    <row customHeight="1" ht="22.5" hidden="1">
      <c r="A18" s="961" t="s">
        <v>84</v>
      </c>
      <c r="B18" s="959">
        <v>0</v>
      </c>
      <c r="C18" s="963">
        <v>3</v>
      </c>
      <c r="D18" s="959">
        <v>5</v>
      </c>
      <c r="E18" s="959">
        <v>48</v>
      </c>
      <c r="F18" s="959">
        <v>38</v>
      </c>
      <c r="G18" s="1270">
        <v>0</v>
      </c>
      <c r="H18" s="959">
        <v>0</v>
      </c>
      <c r="I18" s="959">
        <v>0</v>
      </c>
      <c r="J18" s="959">
        <v>0</v>
      </c>
      <c r="K18" s="959">
        <v>0</v>
      </c>
      <c r="L18" s="959">
        <v>0</v>
      </c>
      <c r="M18" s="959">
        <v>0</v>
      </c>
      <c r="N18" s="959">
        <v>0</v>
      </c>
      <c r="O18" s="959">
        <v>0</v>
      </c>
      <c r="P18" s="959">
        <v>0</v>
      </c>
      <c r="Q18" s="959">
        <v>0</v>
      </c>
      <c r="R18" s="959">
        <v>0</v>
      </c>
      <c r="S18" s="1270">
        <v>0</v>
      </c>
      <c r="T18" s="1017">
        <v>0</v>
      </c>
      <c r="U18" s="1017">
        <v>0</v>
      </c>
      <c r="V18" s="1017">
        <v>0</v>
      </c>
      <c r="W18" s="1270">
        <v>0</v>
      </c>
      <c r="X18" s="1017">
        <v>0</v>
      </c>
      <c r="Y18" s="1017">
        <v>0</v>
      </c>
      <c r="Z18" s="1017">
        <v>0</v>
      </c>
      <c r="AA18" s="1270">
        <v>0</v>
      </c>
      <c r="AB18" s="1017">
        <v>0</v>
      </c>
      <c r="AC18" s="1017">
        <v>0</v>
      </c>
      <c r="AD18" s="1270">
        <v>0</v>
      </c>
      <c r="AE18" s="959">
        <v>0</v>
      </c>
      <c r="AF18" s="1017">
        <v>0</v>
      </c>
      <c r="AG18" s="1017">
        <v>0</v>
      </c>
      <c r="AH18" s="1017">
        <v>0</v>
      </c>
      <c r="AI18" s="964">
        <v>3</v>
      </c>
      <c r="AJ18" s="1001">
        <v>10</v>
      </c>
      <c r="AK18" s="1001">
        <v>10</v>
      </c>
      <c r="AL18" s="1001">
        <v>10</v>
      </c>
      <c r="AM18" s="1001">
        <v>0</v>
      </c>
      <c r="AN18" s="1001">
        <v>15</v>
      </c>
      <c r="AO18" s="1001">
        <v>16</v>
      </c>
      <c r="AP18" s="1001">
        <v>10</v>
      </c>
      <c r="AQ18" s="1001">
        <v>10</v>
      </c>
      <c r="AR18" s="1001">
        <v>10</v>
      </c>
      <c r="AS18" s="1001">
        <v>10</v>
      </c>
      <c r="AT18" s="959">
        <v>23</v>
      </c>
    </row>
  </sheetData>
  <sheetProtection formatColumns="0" formatRows="0" autoFilter="0" sort="0" insertRows="0" insertColumns="1" deleteRows="0" deleteColumns="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68E8311-E42F-1BE8-3146-96F53E44FA4C}" mc:Ignorable="x14ac xr xr2 xr3">
  <sheetPr>
    <tabColor rgb="FFFFCC99"/>
  </sheetPr>
  <dimension ref="A1:B14"/>
  <sheetViews>
    <sheetView topLeftCell="A1" showGridLines="0" workbookViewId="0">
      <selection activeCell="A1" sqref="A1"/>
    </sheetView>
  </sheetViews>
  <sheetFormatPr defaultColWidth="9.140625" customHeight="1" defaultRowHeight="11.25"/>
  <cols>
    <col min="1" max="2" style="55909" width="9.140625"/>
  </cols>
  <sheetData>
    <row customHeight="1" ht="11.25">
      <c r="A1" s="695" t="s">
        <v>186</v>
      </c>
      <c r="B1" s="695" t="s">
        <v>3563</v>
      </c>
    </row>
    <row customHeight="1" ht="11.25">
      <c r="A2" s="22362" t="s">
        <v>100</v>
      </c>
      <c r="B2" s="22362" t="s">
        <v>3564</v>
      </c>
    </row>
    <row customHeight="1" ht="11.25">
      <c r="A3" s="22362" t="s">
        <v>107</v>
      </c>
      <c r="B3" s="22362" t="s">
        <v>3565</v>
      </c>
    </row>
    <row customHeight="1" ht="11.25">
      <c r="A4" s="22362" t="s">
        <v>112</v>
      </c>
      <c r="B4" s="22362" t="s">
        <v>3566</v>
      </c>
    </row>
    <row customHeight="1" ht="11.25">
      <c r="A5" s="22362" t="s">
        <v>116</v>
      </c>
      <c r="B5" s="22362" t="s">
        <v>3567</v>
      </c>
    </row>
    <row customHeight="1" ht="11.25">
      <c r="A6" s="22362" t="s">
        <v>121</v>
      </c>
      <c r="B6" s="22362" t="s">
        <v>3568</v>
      </c>
    </row>
    <row customHeight="1" ht="11.25">
      <c r="A7" s="22362" t="s">
        <v>126</v>
      </c>
      <c r="B7" s="22362" t="s">
        <v>3569</v>
      </c>
    </row>
    <row customHeight="1" ht="11.25">
      <c r="A8" s="22362" t="s">
        <v>130</v>
      </c>
      <c r="B8" s="22362" t="s">
        <v>3570</v>
      </c>
    </row>
    <row customHeight="1" ht="11.25">
      <c r="A9" s="22362" t="s">
        <v>135</v>
      </c>
      <c r="B9" s="22362" t="s">
        <v>3571</v>
      </c>
    </row>
    <row customHeight="1" ht="11.25">
      <c r="A10" s="22362" t="s">
        <v>140</v>
      </c>
      <c r="B10" s="22362" t="s">
        <v>3572</v>
      </c>
    </row>
    <row customHeight="1" ht="11.25">
      <c r="A11" s="22362" t="s">
        <v>146</v>
      </c>
      <c r="B11" s="22362" t="s">
        <v>3573</v>
      </c>
    </row>
    <row customHeight="1" ht="11.25">
      <c r="A12" s="22362" t="s">
        <v>151</v>
      </c>
      <c r="B12" s="22362" t="s">
        <v>3574</v>
      </c>
    </row>
    <row customHeight="1" ht="11.25">
      <c r="A13" s="22362" t="s">
        <v>155</v>
      </c>
      <c r="B13" s="22362" t="s">
        <v>3575</v>
      </c>
    </row>
    <row customHeight="1" ht="11.25">
      <c r="A14" s="22362" t="s">
        <v>159</v>
      </c>
      <c r="B14" s="22362" t="s">
        <v>3576</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18FE377-8447-D7D9-E3AB-2771B6FEC3FF}"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55906" width="9.140625"/>
    <col min="2" max="2" style="55906" width="65.28125" customWidth="1"/>
  </cols>
  <sheetData>
    <row customHeight="1" ht="11.25">
      <c r="A1" s="1347" t="s">
        <v>3577</v>
      </c>
      <c r="B1" s="1347" t="s">
        <v>3578</v>
      </c>
    </row>
    <row customHeight="1" ht="11.25">
      <c r="A2" s="1347">
        <v>4213775</v>
      </c>
      <c r="B2" s="1347" t="s">
        <v>1344</v>
      </c>
    </row>
    <row customHeight="1" ht="11.25">
      <c r="A3" s="1347">
        <v>4213784</v>
      </c>
      <c r="B3" s="1347" t="s">
        <v>1378</v>
      </c>
    </row>
    <row customHeight="1" ht="11.25">
      <c r="A4" s="1347">
        <v>4213781</v>
      </c>
      <c r="B4" s="1347" t="s">
        <v>1371</v>
      </c>
    </row>
    <row customHeight="1" ht="11.25">
      <c r="A5" s="1347">
        <v>4213776</v>
      </c>
      <c r="B5" s="1347" t="s">
        <v>217</v>
      </c>
    </row>
    <row customHeight="1" ht="11.25">
      <c r="A6" s="1347">
        <v>4213777</v>
      </c>
      <c r="B6" s="1347" t="s">
        <v>223</v>
      </c>
    </row>
    <row customHeight="1" ht="11.25">
      <c r="A7" s="1347">
        <v>4213778</v>
      </c>
      <c r="B7" s="1347" t="s">
        <v>229</v>
      </c>
    </row>
    <row customHeight="1" ht="11.25">
      <c r="A8" s="1347">
        <v>4213780</v>
      </c>
      <c r="B8" s="1347" t="s">
        <v>235</v>
      </c>
    </row>
    <row customHeight="1" ht="11.25">
      <c r="A9" s="1347">
        <v>4213779</v>
      </c>
      <c r="B9" s="1347" t="s">
        <v>1511</v>
      </c>
    </row>
    <row customHeight="1" ht="11.25">
      <c r="A10" s="1347">
        <v>4213783</v>
      </c>
      <c r="B10" s="1347" t="s">
        <v>1526</v>
      </c>
    </row>
    <row customHeight="1" ht="11.25">
      <c r="A11" s="1347">
        <v>4213782</v>
      </c>
      <c r="B11" s="1347" t="s">
        <v>241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88ABE9B-56AB-7633-A0B8-E9E9D4CE0C0B}" mc:Ignorable="x14ac xr xr2 xr3">
  <sheetPr>
    <tabColor rgb="FFFFCC99"/>
  </sheetPr>
  <dimension ref="A1:B4"/>
  <sheetViews>
    <sheetView topLeftCell="A1" showGridLines="0" workbookViewId="0">
      <selection activeCell="A1" sqref="A1"/>
    </sheetView>
  </sheetViews>
  <sheetFormatPr defaultColWidth="9.140625" customHeight="1" defaultRowHeight="11.25"/>
  <cols>
    <col min="1" max="1" style="55906" width="9.140625"/>
    <col min="2" max="2" style="55906" width="65.28125" customWidth="1"/>
  </cols>
  <sheetData>
    <row customHeight="1" ht="11.25">
      <c r="A1" s="1347" t="s">
        <v>3577</v>
      </c>
      <c r="B1" s="1347" t="s">
        <v>3579</v>
      </c>
    </row>
    <row customHeight="1" ht="11.25">
      <c r="A2" s="1347" t="s">
        <v>3580</v>
      </c>
      <c r="B2" s="1347" t="s">
        <v>1626</v>
      </c>
    </row>
    <row customHeight="1" ht="11.25">
      <c r="A3" s="1347" t="s">
        <v>3581</v>
      </c>
      <c r="B3" s="1347" t="s">
        <v>1635</v>
      </c>
    </row>
    <row customHeight="1" ht="11.25">
      <c r="A4" s="1347" t="s">
        <v>3582</v>
      </c>
      <c r="B4" s="1347" t="s">
        <v>1645</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45106A9-27DC-A4CC-F201-644017B641FF}" mc:Ignorable="x14ac xr xr2 xr3">
  <sheetPr>
    <tabColor rgb="FFFFCC99"/>
  </sheetPr>
  <dimension ref="A1:G106"/>
  <sheetViews>
    <sheetView topLeftCell="A1" showGridLines="0" workbookViewId="0">
      <selection activeCell="A1" sqref="A1"/>
    </sheetView>
  </sheetViews>
  <sheetFormatPr customHeight="1" defaultRowHeight="11.25"/>
  <sheetData>
    <row customHeight="1" ht="11.25">
      <c r="A1" s="885" t="s">
        <v>3298</v>
      </c>
      <c r="B1" s="885" t="s">
        <v>3299</v>
      </c>
      <c r="C1" s="885" t="s">
        <v>3300</v>
      </c>
      <c r="D1" s="885" t="s">
        <v>3301</v>
      </c>
      <c r="E1" s="0" t="s">
        <v>3302</v>
      </c>
      <c r="F1" s="0" t="s">
        <v>3303</v>
      </c>
      <c r="G1" s="0" t="s">
        <v>3304</v>
      </c>
    </row>
    <row customHeight="1" ht="11.25">
      <c r="A2" s="0" t="s">
        <v>16</v>
      </c>
      <c r="B2" s="0" t="s">
        <v>102</v>
      </c>
      <c r="C2" s="0" t="s">
        <v>103</v>
      </c>
      <c r="D2" s="0" t="s">
        <v>102</v>
      </c>
      <c r="E2" s="0" t="s">
        <v>103</v>
      </c>
      <c r="F2" s="0" t="s">
        <v>3305</v>
      </c>
      <c r="G2" s="0" t="s">
        <v>101</v>
      </c>
    </row>
    <row customHeight="1" ht="11.25">
      <c r="A3" s="0" t="s">
        <v>16</v>
      </c>
      <c r="B3" s="0" t="s">
        <v>3306</v>
      </c>
      <c r="C3" s="0" t="s">
        <v>3307</v>
      </c>
      <c r="D3" s="0" t="s">
        <v>3306</v>
      </c>
      <c r="E3" s="0" t="s">
        <v>3307</v>
      </c>
      <c r="F3" s="0" t="s">
        <v>3308</v>
      </c>
      <c r="G3" s="0" t="s">
        <v>105</v>
      </c>
    </row>
    <row customHeight="1" ht="11.25">
      <c r="A4" s="0" t="s">
        <v>16</v>
      </c>
      <c r="B4" s="0" t="s">
        <v>3309</v>
      </c>
      <c r="C4" s="0" t="s">
        <v>3310</v>
      </c>
      <c r="D4" s="0" t="s">
        <v>3309</v>
      </c>
      <c r="E4" s="0" t="s">
        <v>3310</v>
      </c>
      <c r="F4" s="0" t="s">
        <v>3308</v>
      </c>
      <c r="G4" s="0" t="s">
        <v>92</v>
      </c>
    </row>
    <row customHeight="1" ht="11.25">
      <c r="A5" s="0" t="s">
        <v>16</v>
      </c>
      <c r="B5" s="0" t="s">
        <v>3311</v>
      </c>
      <c r="C5" s="0" t="s">
        <v>3312</v>
      </c>
      <c r="D5" s="0" t="s">
        <v>3311</v>
      </c>
      <c r="E5" s="0" t="s">
        <v>3312</v>
      </c>
      <c r="F5" s="0" t="s">
        <v>3308</v>
      </c>
      <c r="G5" s="0" t="s">
        <v>93</v>
      </c>
    </row>
    <row customHeight="1" ht="11.25">
      <c r="A6" s="0" t="s">
        <v>16</v>
      </c>
      <c r="B6" s="0" t="s">
        <v>156</v>
      </c>
      <c r="C6" s="0" t="s">
        <v>157</v>
      </c>
      <c r="D6" s="0" t="s">
        <v>156</v>
      </c>
      <c r="E6" s="0" t="s">
        <v>157</v>
      </c>
      <c r="F6" s="0" t="s">
        <v>3308</v>
      </c>
      <c r="G6" s="0" t="s">
        <v>120</v>
      </c>
    </row>
    <row customHeight="1" ht="11.25">
      <c r="A7" s="0" t="s">
        <v>16</v>
      </c>
      <c r="B7" s="0" t="s">
        <v>152</v>
      </c>
      <c r="C7" s="0" t="s">
        <v>153</v>
      </c>
      <c r="D7" s="0" t="s">
        <v>152</v>
      </c>
      <c r="E7" s="0" t="s">
        <v>153</v>
      </c>
      <c r="F7" s="0" t="s">
        <v>3308</v>
      </c>
      <c r="G7" s="0" t="s">
        <v>94</v>
      </c>
    </row>
    <row customHeight="1" ht="11.25">
      <c r="A8" s="0" t="s">
        <v>16</v>
      </c>
      <c r="B8" s="0" t="s">
        <v>3313</v>
      </c>
      <c r="C8" s="0" t="s">
        <v>3314</v>
      </c>
      <c r="D8" s="0" t="s">
        <v>3313</v>
      </c>
      <c r="E8" s="0" t="s">
        <v>3314</v>
      </c>
      <c r="F8" s="0" t="s">
        <v>3308</v>
      </c>
      <c r="G8" s="0" t="s">
        <v>95</v>
      </c>
    </row>
    <row customHeight="1" ht="11.25">
      <c r="A9" s="0" t="s">
        <v>16</v>
      </c>
      <c r="B9" s="0" t="s">
        <v>3315</v>
      </c>
      <c r="C9" s="0" t="s">
        <v>3316</v>
      </c>
      <c r="D9" s="0" t="s">
        <v>3317</v>
      </c>
      <c r="E9" s="0" t="s">
        <v>3318</v>
      </c>
      <c r="F9" s="0" t="s">
        <v>3319</v>
      </c>
      <c r="G9" s="0" t="s">
        <v>134</v>
      </c>
    </row>
    <row customHeight="1" ht="11.25">
      <c r="A10" s="0" t="s">
        <v>16</v>
      </c>
      <c r="B10" s="0" t="s">
        <v>3315</v>
      </c>
      <c r="C10" s="0" t="s">
        <v>3316</v>
      </c>
      <c r="D10" s="0" t="s">
        <v>3315</v>
      </c>
      <c r="E10" s="0" t="s">
        <v>3316</v>
      </c>
      <c r="F10" s="0" t="s">
        <v>3320</v>
      </c>
      <c r="G10" s="0" t="s">
        <v>139</v>
      </c>
    </row>
    <row customHeight="1" ht="11.25">
      <c r="A11" s="0" t="s">
        <v>16</v>
      </c>
      <c r="B11" s="0" t="s">
        <v>3315</v>
      </c>
      <c r="C11" s="0" t="s">
        <v>3316</v>
      </c>
      <c r="D11" s="0" t="s">
        <v>3321</v>
      </c>
      <c r="E11" s="0" t="s">
        <v>3322</v>
      </c>
      <c r="F11" s="0" t="s">
        <v>3319</v>
      </c>
      <c r="G11" s="0" t="s">
        <v>145</v>
      </c>
    </row>
    <row customHeight="1" ht="11.25">
      <c r="A12" s="0" t="s">
        <v>16</v>
      </c>
      <c r="B12" s="0" t="s">
        <v>3315</v>
      </c>
      <c r="C12" s="0" t="s">
        <v>3316</v>
      </c>
      <c r="D12" s="0" t="s">
        <v>3323</v>
      </c>
      <c r="E12" s="0" t="s">
        <v>3324</v>
      </c>
      <c r="F12" s="0" t="s">
        <v>3325</v>
      </c>
      <c r="G12" s="0" t="s">
        <v>150</v>
      </c>
    </row>
    <row customHeight="1" ht="11.25">
      <c r="A13" s="0" t="s">
        <v>16</v>
      </c>
      <c r="B13" s="0" t="s">
        <v>3315</v>
      </c>
      <c r="C13" s="0" t="s">
        <v>3316</v>
      </c>
      <c r="D13" s="0" t="s">
        <v>3326</v>
      </c>
      <c r="E13" s="0" t="s">
        <v>3327</v>
      </c>
      <c r="F13" s="0" t="s">
        <v>3319</v>
      </c>
      <c r="G13" s="0" t="s">
        <v>154</v>
      </c>
    </row>
    <row customHeight="1" ht="11.25">
      <c r="A14" s="0" t="s">
        <v>16</v>
      </c>
      <c r="B14" s="0" t="s">
        <v>3315</v>
      </c>
      <c r="C14" s="0" t="s">
        <v>3316</v>
      </c>
      <c r="D14" s="0" t="s">
        <v>3328</v>
      </c>
      <c r="E14" s="0" t="s">
        <v>3329</v>
      </c>
      <c r="F14" s="0" t="s">
        <v>3319</v>
      </c>
      <c r="G14" s="0" t="s">
        <v>158</v>
      </c>
    </row>
    <row customHeight="1" ht="11.25">
      <c r="A15" s="0" t="s">
        <v>16</v>
      </c>
      <c r="B15" s="0" t="s">
        <v>3315</v>
      </c>
      <c r="C15" s="0" t="s">
        <v>3316</v>
      </c>
      <c r="D15" s="0" t="s">
        <v>3330</v>
      </c>
      <c r="E15" s="0" t="s">
        <v>3331</v>
      </c>
      <c r="F15" s="0" t="s">
        <v>3319</v>
      </c>
      <c r="G15" s="0" t="s">
        <v>204</v>
      </c>
    </row>
    <row customHeight="1" ht="11.25">
      <c r="A16" s="0" t="s">
        <v>16</v>
      </c>
      <c r="B16" s="0" t="s">
        <v>3315</v>
      </c>
      <c r="C16" s="0" t="s">
        <v>3316</v>
      </c>
      <c r="D16" s="0" t="s">
        <v>3332</v>
      </c>
      <c r="E16" s="0" t="s">
        <v>3333</v>
      </c>
      <c r="F16" s="0" t="s">
        <v>3319</v>
      </c>
      <c r="G16" s="0" t="s">
        <v>1586</v>
      </c>
    </row>
    <row customHeight="1" ht="11.25">
      <c r="A17" s="0" t="s">
        <v>16</v>
      </c>
      <c r="B17" s="0" t="s">
        <v>114</v>
      </c>
      <c r="C17" s="0" t="s">
        <v>115</v>
      </c>
      <c r="D17" s="0" t="s">
        <v>114</v>
      </c>
      <c r="E17" s="0" t="s">
        <v>115</v>
      </c>
      <c r="F17" s="0" t="s">
        <v>3305</v>
      </c>
      <c r="G17" s="0" t="s">
        <v>113</v>
      </c>
    </row>
    <row customHeight="1" ht="11.25">
      <c r="A18" s="0" t="s">
        <v>16</v>
      </c>
      <c r="B18" s="0" t="s">
        <v>3334</v>
      </c>
      <c r="C18" s="0" t="s">
        <v>3335</v>
      </c>
      <c r="D18" s="0" t="s">
        <v>3336</v>
      </c>
      <c r="E18" s="0" t="s">
        <v>3337</v>
      </c>
      <c r="F18" s="0" t="s">
        <v>3319</v>
      </c>
      <c r="G18" s="0" t="s">
        <v>1603</v>
      </c>
    </row>
    <row customHeight="1" ht="11.25">
      <c r="A19" s="0" t="s">
        <v>16</v>
      </c>
      <c r="B19" s="0" t="s">
        <v>3334</v>
      </c>
      <c r="C19" s="0" t="s">
        <v>3335</v>
      </c>
      <c r="D19" s="0" t="s">
        <v>3338</v>
      </c>
      <c r="E19" s="0" t="s">
        <v>3339</v>
      </c>
      <c r="F19" s="0" t="s">
        <v>3340</v>
      </c>
      <c r="G19" s="0" t="s">
        <v>1617</v>
      </c>
    </row>
    <row customHeight="1" ht="11.25">
      <c r="A20" s="0" t="s">
        <v>16</v>
      </c>
      <c r="B20" s="0" t="s">
        <v>3334</v>
      </c>
      <c r="C20" s="0" t="s">
        <v>3335</v>
      </c>
      <c r="D20" s="0" t="s">
        <v>3334</v>
      </c>
      <c r="E20" s="0" t="s">
        <v>3335</v>
      </c>
      <c r="F20" s="0" t="s">
        <v>3320</v>
      </c>
      <c r="G20" s="0" t="s">
        <v>1629</v>
      </c>
    </row>
    <row customHeight="1" ht="11.25">
      <c r="A21" s="0" t="s">
        <v>16</v>
      </c>
      <c r="B21" s="0" t="s">
        <v>3334</v>
      </c>
      <c r="C21" s="0" t="s">
        <v>3335</v>
      </c>
      <c r="D21" s="0" t="s">
        <v>3341</v>
      </c>
      <c r="E21" s="0" t="s">
        <v>3342</v>
      </c>
      <c r="F21" s="0" t="s">
        <v>3340</v>
      </c>
      <c r="G21" s="0" t="s">
        <v>1638</v>
      </c>
    </row>
    <row customHeight="1" ht="11.25">
      <c r="A22" s="0" t="s">
        <v>16</v>
      </c>
      <c r="B22" s="0" t="s">
        <v>3334</v>
      </c>
      <c r="C22" s="0" t="s">
        <v>3335</v>
      </c>
      <c r="D22" s="0" t="s">
        <v>3343</v>
      </c>
      <c r="E22" s="0" t="s">
        <v>3344</v>
      </c>
      <c r="F22" s="0" t="s">
        <v>3319</v>
      </c>
      <c r="G22" s="0" t="s">
        <v>1654</v>
      </c>
    </row>
    <row customHeight="1" ht="11.25">
      <c r="A23" s="0" t="s">
        <v>16</v>
      </c>
      <c r="B23" s="0" t="s">
        <v>3334</v>
      </c>
      <c r="C23" s="0" t="s">
        <v>3335</v>
      </c>
      <c r="D23" s="0" t="s">
        <v>3345</v>
      </c>
      <c r="E23" s="0" t="s">
        <v>3346</v>
      </c>
      <c r="F23" s="0" t="s">
        <v>3325</v>
      </c>
      <c r="G23" s="0" t="s">
        <v>1661</v>
      </c>
    </row>
    <row customHeight="1" ht="11.25">
      <c r="A24" s="0" t="s">
        <v>16</v>
      </c>
      <c r="B24" s="0" t="s">
        <v>3334</v>
      </c>
      <c r="C24" s="0" t="s">
        <v>3335</v>
      </c>
      <c r="D24" s="0" t="s">
        <v>3347</v>
      </c>
      <c r="E24" s="0" t="s">
        <v>3348</v>
      </c>
      <c r="F24" s="0" t="s">
        <v>3319</v>
      </c>
      <c r="G24" s="0" t="s">
        <v>1669</v>
      </c>
    </row>
    <row customHeight="1" ht="11.25">
      <c r="A25" s="0" t="s">
        <v>16</v>
      </c>
      <c r="B25" s="0" t="s">
        <v>3334</v>
      </c>
      <c r="C25" s="0" t="s">
        <v>3335</v>
      </c>
      <c r="D25" s="0" t="s">
        <v>3349</v>
      </c>
      <c r="E25" s="0" t="s">
        <v>3350</v>
      </c>
      <c r="F25" s="0" t="s">
        <v>3319</v>
      </c>
      <c r="G25" s="0" t="s">
        <v>1676</v>
      </c>
    </row>
    <row customHeight="1" ht="11.25">
      <c r="A26" s="0" t="s">
        <v>16</v>
      </c>
      <c r="B26" s="0" t="s">
        <v>3351</v>
      </c>
      <c r="C26" s="0" t="s">
        <v>3352</v>
      </c>
      <c r="D26" s="0" t="s">
        <v>3351</v>
      </c>
      <c r="E26" s="0" t="s">
        <v>3352</v>
      </c>
      <c r="F26" s="0" t="s">
        <v>3305</v>
      </c>
      <c r="G26" s="0" t="s">
        <v>1680</v>
      </c>
    </row>
    <row customHeight="1" ht="11.25">
      <c r="A27" s="0" t="s">
        <v>16</v>
      </c>
      <c r="B27" s="0" t="s">
        <v>3353</v>
      </c>
      <c r="C27" s="0" t="s">
        <v>3354</v>
      </c>
      <c r="D27" s="0" t="s">
        <v>3355</v>
      </c>
      <c r="E27" s="0" t="s">
        <v>3356</v>
      </c>
      <c r="F27" s="0" t="s">
        <v>3340</v>
      </c>
      <c r="G27" s="0" t="s">
        <v>1685</v>
      </c>
    </row>
    <row customHeight="1" ht="11.25">
      <c r="A28" s="0" t="s">
        <v>16</v>
      </c>
      <c r="B28" s="0" t="s">
        <v>3353</v>
      </c>
      <c r="C28" s="0" t="s">
        <v>3354</v>
      </c>
      <c r="D28" s="0" t="s">
        <v>3357</v>
      </c>
      <c r="E28" s="0" t="s">
        <v>3358</v>
      </c>
      <c r="F28" s="0" t="s">
        <v>3319</v>
      </c>
      <c r="G28" s="0" t="s">
        <v>1693</v>
      </c>
    </row>
    <row customHeight="1" ht="11.25">
      <c r="A29" s="0" t="s">
        <v>16</v>
      </c>
      <c r="B29" s="0" t="s">
        <v>3353</v>
      </c>
      <c r="C29" s="0" t="s">
        <v>3354</v>
      </c>
      <c r="D29" s="0" t="s">
        <v>3359</v>
      </c>
      <c r="E29" s="0" t="s">
        <v>3360</v>
      </c>
      <c r="F29" s="0" t="s">
        <v>3319</v>
      </c>
      <c r="G29" s="0" t="s">
        <v>1695</v>
      </c>
    </row>
    <row customHeight="1" ht="11.25">
      <c r="A30" s="0" t="s">
        <v>16</v>
      </c>
      <c r="B30" s="0" t="s">
        <v>3353</v>
      </c>
      <c r="C30" s="0" t="s">
        <v>3354</v>
      </c>
      <c r="D30" s="0" t="s">
        <v>3361</v>
      </c>
      <c r="E30" s="0" t="s">
        <v>3362</v>
      </c>
      <c r="F30" s="0" t="s">
        <v>3319</v>
      </c>
      <c r="G30" s="0" t="s">
        <v>1698</v>
      </c>
    </row>
    <row customHeight="1" ht="11.25">
      <c r="A31" s="0" t="s">
        <v>16</v>
      </c>
      <c r="B31" s="0" t="s">
        <v>3353</v>
      </c>
      <c r="C31" s="0" t="s">
        <v>3354</v>
      </c>
      <c r="D31" s="0" t="s">
        <v>3363</v>
      </c>
      <c r="E31" s="0" t="s">
        <v>3364</v>
      </c>
      <c r="F31" s="0" t="s">
        <v>3319</v>
      </c>
      <c r="G31" s="0" t="s">
        <v>1703</v>
      </c>
    </row>
    <row customHeight="1" ht="11.25">
      <c r="A32" s="0" t="s">
        <v>16</v>
      </c>
      <c r="B32" s="0" t="s">
        <v>3353</v>
      </c>
      <c r="C32" s="0" t="s">
        <v>3354</v>
      </c>
      <c r="D32" s="0" t="s">
        <v>3353</v>
      </c>
      <c r="E32" s="0" t="s">
        <v>3354</v>
      </c>
      <c r="F32" s="0" t="s">
        <v>3320</v>
      </c>
      <c r="G32" s="0" t="s">
        <v>1705</v>
      </c>
    </row>
    <row customHeight="1" ht="11.25">
      <c r="A33" s="0" t="s">
        <v>16</v>
      </c>
      <c r="B33" s="0" t="s">
        <v>3353</v>
      </c>
      <c r="C33" s="0" t="s">
        <v>3354</v>
      </c>
      <c r="D33" s="0" t="s">
        <v>3365</v>
      </c>
      <c r="E33" s="0" t="s">
        <v>3366</v>
      </c>
      <c r="F33" s="0" t="s">
        <v>3319</v>
      </c>
      <c r="G33" s="0" t="s">
        <v>1707</v>
      </c>
    </row>
    <row customHeight="1" ht="11.25">
      <c r="A34" s="0" t="s">
        <v>16</v>
      </c>
      <c r="B34" s="0" t="s">
        <v>3353</v>
      </c>
      <c r="C34" s="0" t="s">
        <v>3354</v>
      </c>
      <c r="D34" s="0" t="s">
        <v>3367</v>
      </c>
      <c r="E34" s="0" t="s">
        <v>3368</v>
      </c>
      <c r="F34" s="0" t="s">
        <v>3319</v>
      </c>
      <c r="G34" s="0" t="s">
        <v>1709</v>
      </c>
    </row>
    <row customHeight="1" ht="11.25">
      <c r="A35" s="0" t="s">
        <v>16</v>
      </c>
      <c r="B35" s="0" t="s">
        <v>3353</v>
      </c>
      <c r="C35" s="0" t="s">
        <v>3354</v>
      </c>
      <c r="D35" s="0" t="s">
        <v>3369</v>
      </c>
      <c r="E35" s="0" t="s">
        <v>3370</v>
      </c>
      <c r="F35" s="0" t="s">
        <v>3319</v>
      </c>
      <c r="G35" s="0" t="s">
        <v>1714</v>
      </c>
    </row>
    <row customHeight="1" ht="11.25">
      <c r="A36" s="0" t="s">
        <v>16</v>
      </c>
      <c r="B36" s="0" t="s">
        <v>3353</v>
      </c>
      <c r="C36" s="0" t="s">
        <v>3354</v>
      </c>
      <c r="D36" s="0" t="s">
        <v>3371</v>
      </c>
      <c r="E36" s="0" t="s">
        <v>3372</v>
      </c>
      <c r="F36" s="0" t="s">
        <v>3319</v>
      </c>
      <c r="G36" s="0" t="s">
        <v>1719</v>
      </c>
    </row>
    <row customHeight="1" ht="11.25">
      <c r="A37" s="0" t="s">
        <v>16</v>
      </c>
      <c r="B37" s="0" t="s">
        <v>3353</v>
      </c>
      <c r="C37" s="0" t="s">
        <v>3354</v>
      </c>
      <c r="D37" s="0" t="s">
        <v>3373</v>
      </c>
      <c r="E37" s="0" t="s">
        <v>3374</v>
      </c>
      <c r="F37" s="0" t="s">
        <v>3319</v>
      </c>
      <c r="G37" s="0" t="s">
        <v>1723</v>
      </c>
    </row>
    <row customHeight="1" ht="11.25">
      <c r="A38" s="0" t="s">
        <v>16</v>
      </c>
      <c r="B38" s="0" t="s">
        <v>3375</v>
      </c>
      <c r="C38" s="0" t="s">
        <v>3376</v>
      </c>
      <c r="D38" s="0" t="s">
        <v>3375</v>
      </c>
      <c r="E38" s="0" t="s">
        <v>3376</v>
      </c>
      <c r="F38" s="0" t="s">
        <v>3305</v>
      </c>
      <c r="G38" s="0" t="s">
        <v>1731</v>
      </c>
    </row>
    <row customHeight="1" ht="11.25">
      <c r="A39" s="0" t="s">
        <v>16</v>
      </c>
      <c r="B39" s="0" t="s">
        <v>3377</v>
      </c>
      <c r="C39" s="0" t="s">
        <v>3378</v>
      </c>
      <c r="D39" s="0" t="s">
        <v>3377</v>
      </c>
      <c r="E39" s="0" t="s">
        <v>3378</v>
      </c>
      <c r="F39" s="0" t="s">
        <v>3308</v>
      </c>
      <c r="G39" s="0" t="s">
        <v>1737</v>
      </c>
    </row>
    <row customHeight="1" ht="11.25">
      <c r="A40" s="0" t="s">
        <v>16</v>
      </c>
      <c r="B40" s="0" t="s">
        <v>109</v>
      </c>
      <c r="C40" s="0" t="s">
        <v>3379</v>
      </c>
      <c r="D40" s="0" t="s">
        <v>3380</v>
      </c>
      <c r="E40" s="0" t="s">
        <v>3381</v>
      </c>
      <c r="F40" s="0" t="s">
        <v>3319</v>
      </c>
      <c r="G40" s="0" t="s">
        <v>1742</v>
      </c>
    </row>
    <row customHeight="1" ht="11.25">
      <c r="A41" s="0" t="s">
        <v>16</v>
      </c>
      <c r="B41" s="0" t="s">
        <v>109</v>
      </c>
      <c r="C41" s="0" t="s">
        <v>3379</v>
      </c>
      <c r="D41" s="0" t="s">
        <v>3382</v>
      </c>
      <c r="E41" s="0" t="s">
        <v>3383</v>
      </c>
      <c r="F41" s="0" t="s">
        <v>3319</v>
      </c>
      <c r="G41" s="0" t="s">
        <v>1746</v>
      </c>
    </row>
    <row customHeight="1" ht="11.25">
      <c r="A42" s="0" t="s">
        <v>16</v>
      </c>
      <c r="B42" s="0" t="s">
        <v>109</v>
      </c>
      <c r="C42" s="0" t="s">
        <v>3379</v>
      </c>
      <c r="D42" s="0" t="s">
        <v>3384</v>
      </c>
      <c r="E42" s="0" t="s">
        <v>3385</v>
      </c>
      <c r="F42" s="0" t="s">
        <v>3319</v>
      </c>
      <c r="G42" s="0" t="s">
        <v>1749</v>
      </c>
    </row>
    <row customHeight="1" ht="11.25">
      <c r="A43" s="0" t="s">
        <v>16</v>
      </c>
      <c r="B43" s="0" t="s">
        <v>109</v>
      </c>
      <c r="C43" s="0" t="s">
        <v>3379</v>
      </c>
      <c r="D43" s="0" t="s">
        <v>109</v>
      </c>
      <c r="E43" s="0" t="s">
        <v>3379</v>
      </c>
      <c r="F43" s="0" t="s">
        <v>3320</v>
      </c>
      <c r="G43" s="0" t="s">
        <v>1756</v>
      </c>
    </row>
    <row customHeight="1" ht="11.25">
      <c r="A44" s="0" t="s">
        <v>16</v>
      </c>
      <c r="B44" s="0" t="s">
        <v>109</v>
      </c>
      <c r="C44" s="0" t="s">
        <v>3379</v>
      </c>
      <c r="D44" s="0" t="s">
        <v>3386</v>
      </c>
      <c r="E44" s="0" t="s">
        <v>3387</v>
      </c>
      <c r="F44" s="0" t="s">
        <v>3319</v>
      </c>
      <c r="G44" s="0" t="s">
        <v>1765</v>
      </c>
    </row>
    <row customHeight="1" ht="11.25">
      <c r="A45" s="0" t="s">
        <v>16</v>
      </c>
      <c r="B45" s="0" t="s">
        <v>109</v>
      </c>
      <c r="C45" s="0" t="s">
        <v>3379</v>
      </c>
      <c r="D45" s="0" t="s">
        <v>110</v>
      </c>
      <c r="E45" s="0" t="s">
        <v>111</v>
      </c>
      <c r="F45" s="0" t="s">
        <v>3340</v>
      </c>
      <c r="G45" s="0" t="s">
        <v>108</v>
      </c>
    </row>
    <row customHeight="1" ht="11.25">
      <c r="A46" s="0" t="s">
        <v>16</v>
      </c>
      <c r="B46" s="0" t="s">
        <v>109</v>
      </c>
      <c r="C46" s="0" t="s">
        <v>3379</v>
      </c>
      <c r="D46" s="0" t="s">
        <v>3388</v>
      </c>
      <c r="E46" s="0" t="s">
        <v>3389</v>
      </c>
      <c r="F46" s="0" t="s">
        <v>3319</v>
      </c>
      <c r="G46" s="0" t="s">
        <v>1773</v>
      </c>
    </row>
    <row customHeight="1" ht="11.25">
      <c r="A47" s="0" t="s">
        <v>16</v>
      </c>
      <c r="B47" s="0" t="s">
        <v>109</v>
      </c>
      <c r="C47" s="0" t="s">
        <v>3379</v>
      </c>
      <c r="D47" s="0" t="s">
        <v>3390</v>
      </c>
      <c r="E47" s="0" t="s">
        <v>3391</v>
      </c>
      <c r="F47" s="0" t="s">
        <v>3319</v>
      </c>
      <c r="G47" s="0" t="s">
        <v>1779</v>
      </c>
    </row>
    <row customHeight="1" ht="11.25">
      <c r="A48" s="0" t="s">
        <v>16</v>
      </c>
      <c r="B48" s="0" t="s">
        <v>3392</v>
      </c>
      <c r="C48" s="0" t="s">
        <v>3393</v>
      </c>
      <c r="D48" s="0" t="s">
        <v>3392</v>
      </c>
      <c r="E48" s="0" t="s">
        <v>3393</v>
      </c>
      <c r="F48" s="0" t="s">
        <v>3320</v>
      </c>
      <c r="G48" s="0" t="s">
        <v>1783</v>
      </c>
    </row>
    <row customHeight="1" ht="11.25">
      <c r="A49" s="0" t="s">
        <v>16</v>
      </c>
      <c r="B49" s="0" t="s">
        <v>3392</v>
      </c>
      <c r="C49" s="0" t="s">
        <v>3393</v>
      </c>
      <c r="D49" s="0" t="s">
        <v>3394</v>
      </c>
      <c r="E49" s="0" t="s">
        <v>3395</v>
      </c>
      <c r="F49" s="0" t="s">
        <v>3319</v>
      </c>
      <c r="G49" s="0" t="s">
        <v>1786</v>
      </c>
    </row>
    <row customHeight="1" ht="11.25">
      <c r="A50" s="0" t="s">
        <v>16</v>
      </c>
      <c r="B50" s="0" t="s">
        <v>3392</v>
      </c>
      <c r="C50" s="0" t="s">
        <v>3393</v>
      </c>
      <c r="D50" s="0" t="s">
        <v>3396</v>
      </c>
      <c r="E50" s="0" t="s">
        <v>3397</v>
      </c>
      <c r="F50" s="0" t="s">
        <v>3319</v>
      </c>
      <c r="G50" s="0" t="s">
        <v>1790</v>
      </c>
    </row>
    <row customHeight="1" ht="11.25">
      <c r="A51" s="0" t="s">
        <v>16</v>
      </c>
      <c r="B51" s="0" t="s">
        <v>3392</v>
      </c>
      <c r="C51" s="0" t="s">
        <v>3393</v>
      </c>
      <c r="D51" s="0" t="s">
        <v>3398</v>
      </c>
      <c r="E51" s="0" t="s">
        <v>3399</v>
      </c>
      <c r="F51" s="0" t="s">
        <v>3319</v>
      </c>
      <c r="G51" s="0" t="s">
        <v>1794</v>
      </c>
    </row>
    <row customHeight="1" ht="11.25">
      <c r="A52" s="0" t="s">
        <v>16</v>
      </c>
      <c r="B52" s="0" t="s">
        <v>3400</v>
      </c>
      <c r="C52" s="0" t="s">
        <v>3401</v>
      </c>
      <c r="D52" s="0" t="s">
        <v>3400</v>
      </c>
      <c r="E52" s="0" t="s">
        <v>3401</v>
      </c>
      <c r="F52" s="0" t="s">
        <v>3308</v>
      </c>
      <c r="G52" s="0" t="s">
        <v>1798</v>
      </c>
    </row>
    <row customHeight="1" ht="11.25">
      <c r="A53" s="0" t="s">
        <v>16</v>
      </c>
      <c r="B53" s="0" t="s">
        <v>3402</v>
      </c>
      <c r="C53" s="0" t="s">
        <v>3403</v>
      </c>
      <c r="D53" s="0" t="s">
        <v>3402</v>
      </c>
      <c r="E53" s="0" t="s">
        <v>3403</v>
      </c>
      <c r="F53" s="0" t="s">
        <v>3305</v>
      </c>
      <c r="G53" s="0" t="s">
        <v>1800</v>
      </c>
    </row>
    <row customHeight="1" ht="11.25">
      <c r="A54" s="0" t="s">
        <v>16</v>
      </c>
      <c r="B54" s="0" t="s">
        <v>3404</v>
      </c>
      <c r="C54" s="0" t="s">
        <v>3405</v>
      </c>
      <c r="D54" s="0" t="s">
        <v>3404</v>
      </c>
      <c r="E54" s="0" t="s">
        <v>3405</v>
      </c>
      <c r="F54" s="0" t="s">
        <v>3305</v>
      </c>
      <c r="G54" s="0" t="s">
        <v>1803</v>
      </c>
    </row>
    <row customHeight="1" ht="11.25">
      <c r="A55" s="0" t="s">
        <v>16</v>
      </c>
      <c r="B55" s="0" t="s">
        <v>3406</v>
      </c>
      <c r="C55" s="0" t="s">
        <v>3407</v>
      </c>
      <c r="D55" s="0" t="s">
        <v>3406</v>
      </c>
      <c r="E55" s="0" t="s">
        <v>3407</v>
      </c>
      <c r="F55" s="0" t="s">
        <v>3308</v>
      </c>
      <c r="G55" s="0" t="s">
        <v>1808</v>
      </c>
    </row>
    <row customHeight="1" ht="11.25">
      <c r="A56" s="0" t="s">
        <v>16</v>
      </c>
      <c r="B56" s="0" t="s">
        <v>3408</v>
      </c>
      <c r="C56" s="0" t="s">
        <v>3409</v>
      </c>
      <c r="D56" s="0" t="s">
        <v>3408</v>
      </c>
      <c r="E56" s="0" t="s">
        <v>3409</v>
      </c>
      <c r="F56" s="0" t="s">
        <v>3305</v>
      </c>
      <c r="G56" s="0" t="s">
        <v>1811</v>
      </c>
    </row>
    <row customHeight="1" ht="11.25">
      <c r="A57" s="0" t="s">
        <v>16</v>
      </c>
      <c r="B57" s="0" t="s">
        <v>3410</v>
      </c>
      <c r="C57" s="0" t="s">
        <v>3411</v>
      </c>
      <c r="D57" s="0" t="s">
        <v>3412</v>
      </c>
      <c r="E57" s="0" t="s">
        <v>3413</v>
      </c>
      <c r="F57" s="0" t="s">
        <v>3319</v>
      </c>
      <c r="G57" s="0" t="s">
        <v>1814</v>
      </c>
    </row>
    <row customHeight="1" ht="11.25">
      <c r="A58" s="0" t="s">
        <v>16</v>
      </c>
      <c r="B58" s="0" t="s">
        <v>3410</v>
      </c>
      <c r="C58" s="0" t="s">
        <v>3411</v>
      </c>
      <c r="D58" s="0" t="s">
        <v>3414</v>
      </c>
      <c r="E58" s="0" t="s">
        <v>3415</v>
      </c>
      <c r="F58" s="0" t="s">
        <v>3319</v>
      </c>
      <c r="G58" s="0" t="s">
        <v>1817</v>
      </c>
    </row>
    <row customHeight="1" ht="11.25">
      <c r="A59" s="0" t="s">
        <v>16</v>
      </c>
      <c r="B59" s="0" t="s">
        <v>3410</v>
      </c>
      <c r="C59" s="0" t="s">
        <v>3411</v>
      </c>
      <c r="D59" s="0" t="s">
        <v>3416</v>
      </c>
      <c r="E59" s="0" t="s">
        <v>3417</v>
      </c>
      <c r="F59" s="0" t="s">
        <v>3319</v>
      </c>
      <c r="G59" s="0" t="s">
        <v>1821</v>
      </c>
    </row>
    <row customHeight="1" ht="11.25">
      <c r="A60" s="0" t="s">
        <v>16</v>
      </c>
      <c r="B60" s="0" t="s">
        <v>3410</v>
      </c>
      <c r="C60" s="0" t="s">
        <v>3411</v>
      </c>
      <c r="D60" s="0" t="s">
        <v>3418</v>
      </c>
      <c r="E60" s="0" t="s">
        <v>3419</v>
      </c>
      <c r="F60" s="0" t="s">
        <v>3325</v>
      </c>
      <c r="G60" s="0" t="s">
        <v>1824</v>
      </c>
    </row>
    <row customHeight="1" ht="11.25">
      <c r="A61" s="0" t="s">
        <v>16</v>
      </c>
      <c r="B61" s="0" t="s">
        <v>3410</v>
      </c>
      <c r="C61" s="0" t="s">
        <v>3411</v>
      </c>
      <c r="D61" s="0" t="s">
        <v>3420</v>
      </c>
      <c r="E61" s="0" t="s">
        <v>3421</v>
      </c>
      <c r="F61" s="0" t="s">
        <v>3319</v>
      </c>
      <c r="G61" s="0" t="s">
        <v>3422</v>
      </c>
    </row>
    <row customHeight="1" ht="11.25">
      <c r="A62" s="0" t="s">
        <v>16</v>
      </c>
      <c r="B62" s="0" t="s">
        <v>3410</v>
      </c>
      <c r="C62" s="0" t="s">
        <v>3411</v>
      </c>
      <c r="D62" s="0" t="s">
        <v>3423</v>
      </c>
      <c r="E62" s="0" t="s">
        <v>3424</v>
      </c>
      <c r="F62" s="0" t="s">
        <v>3319</v>
      </c>
      <c r="G62" s="0" t="s">
        <v>3425</v>
      </c>
    </row>
    <row customHeight="1" ht="11.25">
      <c r="A63" s="0" t="s">
        <v>16</v>
      </c>
      <c r="B63" s="0" t="s">
        <v>3410</v>
      </c>
      <c r="C63" s="0" t="s">
        <v>3411</v>
      </c>
      <c r="D63" s="0" t="s">
        <v>3410</v>
      </c>
      <c r="E63" s="0" t="s">
        <v>3411</v>
      </c>
      <c r="F63" s="0" t="s">
        <v>3320</v>
      </c>
      <c r="G63" s="0" t="s">
        <v>3426</v>
      </c>
    </row>
    <row customHeight="1" ht="11.25">
      <c r="A64" s="0" t="s">
        <v>16</v>
      </c>
      <c r="B64" s="0" t="s">
        <v>3410</v>
      </c>
      <c r="C64" s="0" t="s">
        <v>3411</v>
      </c>
      <c r="D64" s="0" t="s">
        <v>3427</v>
      </c>
      <c r="E64" s="0" t="s">
        <v>3428</v>
      </c>
      <c r="F64" s="0" t="s">
        <v>3319</v>
      </c>
      <c r="G64" s="0" t="s">
        <v>3429</v>
      </c>
    </row>
    <row customHeight="1" ht="11.25">
      <c r="A65" s="0" t="s">
        <v>16</v>
      </c>
      <c r="B65" s="0" t="s">
        <v>3430</v>
      </c>
      <c r="C65" s="0" t="s">
        <v>3431</v>
      </c>
      <c r="D65" s="0" t="s">
        <v>3430</v>
      </c>
      <c r="E65" s="0" t="s">
        <v>3431</v>
      </c>
      <c r="F65" s="0" t="s">
        <v>3305</v>
      </c>
      <c r="G65" s="0" t="s">
        <v>3432</v>
      </c>
    </row>
    <row customHeight="1" ht="11.25">
      <c r="A66" s="0" t="s">
        <v>16</v>
      </c>
      <c r="B66" s="0" t="s">
        <v>3433</v>
      </c>
      <c r="C66" s="0" t="s">
        <v>3434</v>
      </c>
      <c r="D66" s="0" t="s">
        <v>3433</v>
      </c>
      <c r="E66" s="0" t="s">
        <v>3434</v>
      </c>
      <c r="F66" s="0" t="s">
        <v>3305</v>
      </c>
      <c r="G66" s="0" t="s">
        <v>3435</v>
      </c>
    </row>
    <row customHeight="1" ht="11.25">
      <c r="A67" s="0" t="s">
        <v>16</v>
      </c>
      <c r="B67" s="0" t="s">
        <v>3436</v>
      </c>
      <c r="C67" s="0" t="s">
        <v>3437</v>
      </c>
      <c r="D67" s="0" t="s">
        <v>3438</v>
      </c>
      <c r="E67" s="0" t="s">
        <v>3439</v>
      </c>
      <c r="F67" s="0" t="s">
        <v>3319</v>
      </c>
      <c r="G67" s="0" t="s">
        <v>2143</v>
      </c>
    </row>
    <row customHeight="1" ht="11.25">
      <c r="A68" s="0" t="s">
        <v>16</v>
      </c>
      <c r="B68" s="0" t="s">
        <v>3436</v>
      </c>
      <c r="C68" s="0" t="s">
        <v>3437</v>
      </c>
      <c r="D68" s="0" t="s">
        <v>3440</v>
      </c>
      <c r="E68" s="0" t="s">
        <v>3441</v>
      </c>
      <c r="F68" s="0" t="s">
        <v>3319</v>
      </c>
      <c r="G68" s="0" t="s">
        <v>3442</v>
      </c>
    </row>
    <row customHeight="1" ht="11.25">
      <c r="A69" s="0" t="s">
        <v>16</v>
      </c>
      <c r="B69" s="0" t="s">
        <v>3436</v>
      </c>
      <c r="C69" s="0" t="s">
        <v>3437</v>
      </c>
      <c r="D69" s="0" t="s">
        <v>3443</v>
      </c>
      <c r="E69" s="0" t="s">
        <v>3444</v>
      </c>
      <c r="F69" s="0" t="s">
        <v>3319</v>
      </c>
      <c r="G69" s="0" t="s">
        <v>2346</v>
      </c>
    </row>
    <row customHeight="1" ht="11.25">
      <c r="A70" s="0" t="s">
        <v>16</v>
      </c>
      <c r="B70" s="0" t="s">
        <v>3436</v>
      </c>
      <c r="C70" s="0" t="s">
        <v>3437</v>
      </c>
      <c r="D70" s="0" t="s">
        <v>3445</v>
      </c>
      <c r="E70" s="0" t="s">
        <v>3446</v>
      </c>
      <c r="F70" s="0" t="s">
        <v>3319</v>
      </c>
      <c r="G70" s="0" t="s">
        <v>3447</v>
      </c>
    </row>
    <row customHeight="1" ht="11.25">
      <c r="A71" s="0" t="s">
        <v>16</v>
      </c>
      <c r="B71" s="0" t="s">
        <v>3436</v>
      </c>
      <c r="C71" s="0" t="s">
        <v>3437</v>
      </c>
      <c r="D71" s="0" t="s">
        <v>3448</v>
      </c>
      <c r="E71" s="0" t="s">
        <v>3449</v>
      </c>
      <c r="F71" s="0" t="s">
        <v>3319</v>
      </c>
      <c r="G71" s="0" t="s">
        <v>3450</v>
      </c>
    </row>
    <row customHeight="1" ht="11.25">
      <c r="A72" s="0" t="s">
        <v>16</v>
      </c>
      <c r="B72" s="0" t="s">
        <v>3436</v>
      </c>
      <c r="C72" s="0" t="s">
        <v>3437</v>
      </c>
      <c r="D72" s="0" t="s">
        <v>3436</v>
      </c>
      <c r="E72" s="0" t="s">
        <v>3437</v>
      </c>
      <c r="F72" s="0" t="s">
        <v>3320</v>
      </c>
      <c r="G72" s="0" t="s">
        <v>3451</v>
      </c>
    </row>
    <row customHeight="1" ht="11.25">
      <c r="A73" s="0" t="s">
        <v>16</v>
      </c>
      <c r="B73" s="0" t="s">
        <v>3436</v>
      </c>
      <c r="C73" s="0" t="s">
        <v>3437</v>
      </c>
      <c r="D73" s="0" t="s">
        <v>3452</v>
      </c>
      <c r="E73" s="0" t="s">
        <v>3453</v>
      </c>
      <c r="F73" s="0" t="s">
        <v>3319</v>
      </c>
      <c r="G73" s="0" t="s">
        <v>3454</v>
      </c>
    </row>
    <row customHeight="1" ht="11.25">
      <c r="A74" s="0" t="s">
        <v>16</v>
      </c>
      <c r="B74" s="0" t="s">
        <v>3436</v>
      </c>
      <c r="C74" s="0" t="s">
        <v>3437</v>
      </c>
      <c r="D74" s="0" t="s">
        <v>3455</v>
      </c>
      <c r="E74" s="0" t="s">
        <v>3456</v>
      </c>
      <c r="F74" s="0" t="s">
        <v>3319</v>
      </c>
      <c r="G74" s="0" t="s">
        <v>3457</v>
      </c>
    </row>
    <row customHeight="1" ht="11.25">
      <c r="A75" s="0" t="s">
        <v>16</v>
      </c>
      <c r="B75" s="0" t="s">
        <v>3436</v>
      </c>
      <c r="C75" s="0" t="s">
        <v>3437</v>
      </c>
      <c r="D75" s="0" t="s">
        <v>3458</v>
      </c>
      <c r="E75" s="0" t="s">
        <v>3459</v>
      </c>
      <c r="F75" s="0" t="s">
        <v>3319</v>
      </c>
      <c r="G75" s="0" t="s">
        <v>3460</v>
      </c>
    </row>
    <row customHeight="1" ht="11.25">
      <c r="A76" s="0" t="s">
        <v>16</v>
      </c>
      <c r="B76" s="0" t="s">
        <v>3461</v>
      </c>
      <c r="C76" s="0" t="s">
        <v>3462</v>
      </c>
      <c r="D76" s="0" t="s">
        <v>3461</v>
      </c>
      <c r="E76" s="0" t="s">
        <v>3462</v>
      </c>
      <c r="F76" s="0" t="s">
        <v>3305</v>
      </c>
      <c r="G76" s="0" t="s">
        <v>3463</v>
      </c>
    </row>
    <row customHeight="1" ht="11.25">
      <c r="A77" s="0" t="s">
        <v>16</v>
      </c>
      <c r="B77" s="0" t="s">
        <v>3464</v>
      </c>
      <c r="C77" s="0" t="s">
        <v>3465</v>
      </c>
      <c r="D77" s="0" t="s">
        <v>3464</v>
      </c>
      <c r="E77" s="0" t="s">
        <v>3465</v>
      </c>
      <c r="F77" s="0" t="s">
        <v>3308</v>
      </c>
      <c r="G77" s="0" t="s">
        <v>3466</v>
      </c>
    </row>
    <row customHeight="1" ht="11.25">
      <c r="A78" s="0" t="s">
        <v>16</v>
      </c>
      <c r="B78" s="0" t="s">
        <v>3467</v>
      </c>
      <c r="C78" s="0" t="s">
        <v>3468</v>
      </c>
      <c r="D78" s="0" t="s">
        <v>3467</v>
      </c>
      <c r="E78" s="0" t="s">
        <v>3468</v>
      </c>
      <c r="F78" s="0" t="s">
        <v>3305</v>
      </c>
      <c r="G78" s="0" t="s">
        <v>3469</v>
      </c>
    </row>
    <row customHeight="1" ht="11.25">
      <c r="A79" s="0" t="s">
        <v>16</v>
      </c>
      <c r="B79" s="0" t="s">
        <v>3470</v>
      </c>
      <c r="C79" s="0" t="s">
        <v>3471</v>
      </c>
      <c r="D79" s="0" t="s">
        <v>3470</v>
      </c>
      <c r="E79" s="0" t="s">
        <v>3471</v>
      </c>
      <c r="F79" s="0" t="s">
        <v>3305</v>
      </c>
      <c r="G79" s="0" t="s">
        <v>3472</v>
      </c>
    </row>
    <row customHeight="1" ht="11.25">
      <c r="A80" s="0" t="s">
        <v>16</v>
      </c>
      <c r="B80" s="0" t="s">
        <v>137</v>
      </c>
      <c r="C80" s="0" t="s">
        <v>138</v>
      </c>
      <c r="D80" s="0" t="s">
        <v>137</v>
      </c>
      <c r="E80" s="0" t="s">
        <v>138</v>
      </c>
      <c r="F80" s="0" t="s">
        <v>3305</v>
      </c>
      <c r="G80" s="0" t="s">
        <v>136</v>
      </c>
    </row>
    <row customHeight="1" ht="11.25">
      <c r="A81" s="0" t="s">
        <v>16</v>
      </c>
      <c r="B81" s="0" t="s">
        <v>123</v>
      </c>
      <c r="C81" s="0" t="s">
        <v>3473</v>
      </c>
      <c r="D81" s="0" t="s">
        <v>124</v>
      </c>
      <c r="E81" s="0" t="s">
        <v>125</v>
      </c>
      <c r="F81" s="0" t="s">
        <v>3319</v>
      </c>
      <c r="G81" s="0" t="s">
        <v>122</v>
      </c>
    </row>
    <row customHeight="1" ht="11.25">
      <c r="A82" s="0" t="s">
        <v>16</v>
      </c>
      <c r="B82" s="0" t="s">
        <v>123</v>
      </c>
      <c r="C82" s="0" t="s">
        <v>3473</v>
      </c>
      <c r="D82" s="0" t="s">
        <v>3474</v>
      </c>
      <c r="E82" s="0" t="s">
        <v>3475</v>
      </c>
      <c r="F82" s="0" t="s">
        <v>3325</v>
      </c>
      <c r="G82" s="0" t="s">
        <v>3476</v>
      </c>
    </row>
    <row customHeight="1" ht="11.25">
      <c r="A83" s="0" t="s">
        <v>16</v>
      </c>
      <c r="B83" s="0" t="s">
        <v>123</v>
      </c>
      <c r="C83" s="0" t="s">
        <v>3473</v>
      </c>
      <c r="D83" s="0" t="s">
        <v>128</v>
      </c>
      <c r="E83" s="0" t="s">
        <v>129</v>
      </c>
      <c r="F83" s="0" t="s">
        <v>3319</v>
      </c>
      <c r="G83" s="0" t="s">
        <v>127</v>
      </c>
    </row>
    <row customHeight="1" ht="11.25">
      <c r="A84" s="0" t="s">
        <v>16</v>
      </c>
      <c r="B84" s="0" t="s">
        <v>123</v>
      </c>
      <c r="C84" s="0" t="s">
        <v>3473</v>
      </c>
      <c r="D84" s="0" t="s">
        <v>3477</v>
      </c>
      <c r="E84" s="0" t="s">
        <v>3478</v>
      </c>
      <c r="F84" s="0" t="s">
        <v>3340</v>
      </c>
      <c r="G84" s="0" t="s">
        <v>3479</v>
      </c>
    </row>
    <row customHeight="1" ht="11.25">
      <c r="A85" s="0" t="s">
        <v>16</v>
      </c>
      <c r="B85" s="0" t="s">
        <v>123</v>
      </c>
      <c r="C85" s="0" t="s">
        <v>3473</v>
      </c>
      <c r="D85" s="0" t="s">
        <v>132</v>
      </c>
      <c r="E85" s="0" t="s">
        <v>133</v>
      </c>
      <c r="F85" s="0" t="s">
        <v>3319</v>
      </c>
      <c r="G85" s="0" t="s">
        <v>131</v>
      </c>
    </row>
    <row customHeight="1" ht="11.25">
      <c r="A86" s="0" t="s">
        <v>16</v>
      </c>
      <c r="B86" s="0" t="s">
        <v>123</v>
      </c>
      <c r="C86" s="0" t="s">
        <v>3473</v>
      </c>
      <c r="D86" s="0" t="s">
        <v>123</v>
      </c>
      <c r="E86" s="0" t="s">
        <v>3473</v>
      </c>
      <c r="F86" s="0" t="s">
        <v>3320</v>
      </c>
      <c r="G86" s="0" t="s">
        <v>3480</v>
      </c>
    </row>
    <row customHeight="1" ht="11.25">
      <c r="A87" s="0" t="s">
        <v>16</v>
      </c>
      <c r="B87" s="0" t="s">
        <v>123</v>
      </c>
      <c r="C87" s="0" t="s">
        <v>3473</v>
      </c>
      <c r="D87" s="0" t="s">
        <v>3481</v>
      </c>
      <c r="E87" s="0" t="s">
        <v>3482</v>
      </c>
      <c r="F87" s="0" t="s">
        <v>3319</v>
      </c>
      <c r="G87" s="0" t="s">
        <v>3483</v>
      </c>
    </row>
    <row customHeight="1" ht="11.25">
      <c r="A88" s="0" t="s">
        <v>16</v>
      </c>
      <c r="B88" s="0" t="s">
        <v>3484</v>
      </c>
      <c r="C88" s="0" t="s">
        <v>3485</v>
      </c>
      <c r="D88" s="0" t="s">
        <v>3484</v>
      </c>
      <c r="E88" s="0" t="s">
        <v>3485</v>
      </c>
      <c r="F88" s="0" t="s">
        <v>3305</v>
      </c>
      <c r="G88" s="0" t="s">
        <v>3486</v>
      </c>
    </row>
    <row customHeight="1" ht="11.25">
      <c r="A89" s="0" t="s">
        <v>16</v>
      </c>
      <c r="B89" s="0" t="s">
        <v>148</v>
      </c>
      <c r="C89" s="0" t="s">
        <v>149</v>
      </c>
      <c r="D89" s="0" t="s">
        <v>148</v>
      </c>
      <c r="E89" s="0" t="s">
        <v>149</v>
      </c>
      <c r="F89" s="0" t="s">
        <v>3305</v>
      </c>
      <c r="G89" s="0" t="s">
        <v>147</v>
      </c>
    </row>
    <row customHeight="1" ht="11.25">
      <c r="A90" s="0" t="s">
        <v>16</v>
      </c>
      <c r="B90" s="0" t="s">
        <v>142</v>
      </c>
      <c r="C90" s="0" t="s">
        <v>3487</v>
      </c>
      <c r="D90" s="0" t="s">
        <v>3488</v>
      </c>
      <c r="E90" s="0" t="s">
        <v>3489</v>
      </c>
      <c r="F90" s="0" t="s">
        <v>3319</v>
      </c>
      <c r="G90" s="0" t="s">
        <v>3490</v>
      </c>
    </row>
    <row customHeight="1" ht="11.25">
      <c r="A91" s="0" t="s">
        <v>16</v>
      </c>
      <c r="B91" s="0" t="s">
        <v>142</v>
      </c>
      <c r="C91" s="0" t="s">
        <v>3487</v>
      </c>
      <c r="D91" s="0" t="s">
        <v>3491</v>
      </c>
      <c r="E91" s="0" t="s">
        <v>3492</v>
      </c>
      <c r="F91" s="0" t="s">
        <v>3319</v>
      </c>
      <c r="G91" s="0" t="s">
        <v>3493</v>
      </c>
    </row>
    <row customHeight="1" ht="11.25">
      <c r="A92" s="0" t="s">
        <v>16</v>
      </c>
      <c r="B92" s="0" t="s">
        <v>142</v>
      </c>
      <c r="C92" s="0" t="s">
        <v>3487</v>
      </c>
      <c r="D92" s="0" t="s">
        <v>143</v>
      </c>
      <c r="E92" s="0" t="s">
        <v>144</v>
      </c>
      <c r="F92" s="0" t="s">
        <v>3319</v>
      </c>
      <c r="G92" s="0" t="s">
        <v>141</v>
      </c>
    </row>
    <row customHeight="1" ht="11.25">
      <c r="A93" s="0" t="s">
        <v>16</v>
      </c>
      <c r="B93" s="0" t="s">
        <v>142</v>
      </c>
      <c r="C93" s="0" t="s">
        <v>3487</v>
      </c>
      <c r="D93" s="0" t="s">
        <v>3494</v>
      </c>
      <c r="E93" s="0" t="s">
        <v>3495</v>
      </c>
      <c r="F93" s="0" t="s">
        <v>3340</v>
      </c>
      <c r="G93" s="0" t="s">
        <v>3496</v>
      </c>
    </row>
    <row customHeight="1" ht="11.25">
      <c r="A94" s="0" t="s">
        <v>16</v>
      </c>
      <c r="B94" s="0" t="s">
        <v>142</v>
      </c>
      <c r="C94" s="0" t="s">
        <v>3487</v>
      </c>
      <c r="D94" s="0" t="s">
        <v>3497</v>
      </c>
      <c r="E94" s="0" t="s">
        <v>3498</v>
      </c>
      <c r="F94" s="0" t="s">
        <v>3319</v>
      </c>
      <c r="G94" s="0" t="s">
        <v>3499</v>
      </c>
    </row>
    <row customHeight="1" ht="11.25">
      <c r="A95" s="0" t="s">
        <v>16</v>
      </c>
      <c r="B95" s="0" t="s">
        <v>142</v>
      </c>
      <c r="C95" s="0" t="s">
        <v>3487</v>
      </c>
      <c r="D95" s="0" t="s">
        <v>142</v>
      </c>
      <c r="E95" s="0" t="s">
        <v>3487</v>
      </c>
      <c r="F95" s="0" t="s">
        <v>3320</v>
      </c>
      <c r="G95" s="0" t="s">
        <v>3500</v>
      </c>
    </row>
    <row customHeight="1" ht="11.25">
      <c r="A96" s="0" t="s">
        <v>16</v>
      </c>
      <c r="B96" s="0" t="s">
        <v>142</v>
      </c>
      <c r="C96" s="0" t="s">
        <v>3487</v>
      </c>
      <c r="D96" s="0" t="s">
        <v>3501</v>
      </c>
      <c r="E96" s="0" t="s">
        <v>3502</v>
      </c>
      <c r="F96" s="0" t="s">
        <v>3340</v>
      </c>
      <c r="G96" s="0" t="s">
        <v>3503</v>
      </c>
    </row>
    <row customHeight="1" ht="11.25">
      <c r="A97" s="0" t="s">
        <v>16</v>
      </c>
      <c r="B97" s="0" t="s">
        <v>142</v>
      </c>
      <c r="C97" s="0" t="s">
        <v>3487</v>
      </c>
      <c r="D97" s="0" t="s">
        <v>3504</v>
      </c>
      <c r="E97" s="0" t="s">
        <v>3505</v>
      </c>
      <c r="F97" s="0" t="s">
        <v>3319</v>
      </c>
      <c r="G97" s="0" t="s">
        <v>3506</v>
      </c>
    </row>
    <row customHeight="1" ht="11.25">
      <c r="A98" s="0" t="s">
        <v>16</v>
      </c>
      <c r="B98" s="0" t="s">
        <v>3507</v>
      </c>
      <c r="C98" s="0" t="s">
        <v>3508</v>
      </c>
      <c r="D98" s="0" t="s">
        <v>3507</v>
      </c>
      <c r="E98" s="0" t="s">
        <v>3508</v>
      </c>
      <c r="F98" s="0" t="s">
        <v>3305</v>
      </c>
      <c r="G98" s="0" t="s">
        <v>3509</v>
      </c>
    </row>
    <row customHeight="1" ht="11.25">
      <c r="A99" s="0" t="s">
        <v>16</v>
      </c>
      <c r="B99" s="0" t="s">
        <v>3510</v>
      </c>
      <c r="C99" s="0" t="s">
        <v>3511</v>
      </c>
      <c r="D99" s="0" t="s">
        <v>3512</v>
      </c>
      <c r="E99" s="0" t="s">
        <v>3513</v>
      </c>
      <c r="F99" s="0" t="s">
        <v>3319</v>
      </c>
      <c r="G99" s="0" t="s">
        <v>3514</v>
      </c>
    </row>
    <row customHeight="1" ht="11.25">
      <c r="A100" s="0" t="s">
        <v>16</v>
      </c>
      <c r="B100" s="0" t="s">
        <v>3510</v>
      </c>
      <c r="C100" s="0" t="s">
        <v>3511</v>
      </c>
      <c r="D100" s="0" t="s">
        <v>3515</v>
      </c>
      <c r="E100" s="0" t="s">
        <v>3516</v>
      </c>
      <c r="F100" s="0" t="s">
        <v>3319</v>
      </c>
      <c r="G100" s="0" t="s">
        <v>3517</v>
      </c>
    </row>
    <row customHeight="1" ht="11.25">
      <c r="A101" s="0" t="s">
        <v>16</v>
      </c>
      <c r="B101" s="0" t="s">
        <v>3510</v>
      </c>
      <c r="C101" s="0" t="s">
        <v>3511</v>
      </c>
      <c r="D101" s="0" t="s">
        <v>3518</v>
      </c>
      <c r="E101" s="0" t="s">
        <v>3519</v>
      </c>
      <c r="F101" s="0" t="s">
        <v>3319</v>
      </c>
      <c r="G101" s="0" t="s">
        <v>3520</v>
      </c>
    </row>
    <row customHeight="1" ht="11.25">
      <c r="A102" s="0" t="s">
        <v>16</v>
      </c>
      <c r="B102" s="0" t="s">
        <v>3510</v>
      </c>
      <c r="C102" s="0" t="s">
        <v>3511</v>
      </c>
      <c r="D102" s="0" t="s">
        <v>3521</v>
      </c>
      <c r="E102" s="0" t="s">
        <v>3522</v>
      </c>
      <c r="F102" s="0" t="s">
        <v>3319</v>
      </c>
      <c r="G102" s="0" t="s">
        <v>3523</v>
      </c>
    </row>
    <row customHeight="1" ht="11.25">
      <c r="A103" s="0" t="s">
        <v>16</v>
      </c>
      <c r="B103" s="0" t="s">
        <v>3510</v>
      </c>
      <c r="C103" s="0" t="s">
        <v>3511</v>
      </c>
      <c r="D103" s="0" t="s">
        <v>3510</v>
      </c>
      <c r="E103" s="0" t="s">
        <v>3511</v>
      </c>
      <c r="F103" s="0" t="s">
        <v>3320</v>
      </c>
      <c r="G103" s="0" t="s">
        <v>3524</v>
      </c>
    </row>
    <row customHeight="1" ht="11.25">
      <c r="A104" s="0" t="s">
        <v>16</v>
      </c>
      <c r="B104" s="0" t="s">
        <v>3510</v>
      </c>
      <c r="C104" s="0" t="s">
        <v>3511</v>
      </c>
      <c r="D104" s="0" t="s">
        <v>3525</v>
      </c>
      <c r="E104" s="0" t="s">
        <v>3526</v>
      </c>
      <c r="F104" s="0" t="s">
        <v>3319</v>
      </c>
      <c r="G104" s="0" t="s">
        <v>3527</v>
      </c>
    </row>
    <row customHeight="1" ht="11.25">
      <c r="A105" s="0" t="s">
        <v>16</v>
      </c>
      <c r="B105" s="0" t="s">
        <v>3528</v>
      </c>
      <c r="C105" s="0" t="s">
        <v>3529</v>
      </c>
      <c r="D105" s="0" t="s">
        <v>3528</v>
      </c>
      <c r="E105" s="0" t="s">
        <v>3529</v>
      </c>
      <c r="F105" s="0" t="s">
        <v>3308</v>
      </c>
      <c r="G105" s="0" t="s">
        <v>3530</v>
      </c>
    </row>
    <row customHeight="1" ht="11.25">
      <c r="A106" s="0" t="s">
        <v>16</v>
      </c>
      <c r="B106" s="0" t="s">
        <v>161</v>
      </c>
      <c r="C106" s="0" t="s">
        <v>162</v>
      </c>
      <c r="D106" s="0" t="s">
        <v>161</v>
      </c>
      <c r="E106" s="0" t="s">
        <v>162</v>
      </c>
      <c r="F106" s="0" t="s">
        <v>3308</v>
      </c>
      <c r="G106" s="0" t="s">
        <v>160</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6259927-CFFE-AB4C-3876-04570B1B5036}"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55906" width="9.140625"/>
    <col min="2" max="2" style="55906" width="84.28125" customWidth="1"/>
    <col min="3" max="3" style="55906" width="9.140625"/>
  </cols>
  <sheetData>
    <row customHeight="1" ht="11.25">
      <c r="A1" s="1347" t="s">
        <v>3583</v>
      </c>
      <c r="B1" s="1347" t="s">
        <v>3584</v>
      </c>
      <c r="C1" s="1347" t="s">
        <v>1288</v>
      </c>
    </row>
    <row customHeight="1" ht="11.25">
      <c r="A2" s="1347">
        <v>4189678</v>
      </c>
      <c r="B2" s="1347" t="s">
        <v>3585</v>
      </c>
      <c r="C2" s="1347" t="s">
        <v>3586</v>
      </c>
    </row>
    <row customHeight="1" ht="11.25">
      <c r="A3" s="1347">
        <v>4190415</v>
      </c>
      <c r="B3" s="1347" t="s">
        <v>3587</v>
      </c>
      <c r="C3" s="1347" t="s">
        <v>3586</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1C58854-1CD7-F92F-4C5C-833A27EA8D53}"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55911" width="38.421875" customWidth="1"/>
    <col min="2" max="5" style="55911" width="9.140625"/>
  </cols>
  <sheetData>
    <row customHeight="1" ht="15">
      <c r="A1" s="675" t="s">
        <v>3588</v>
      </c>
      <c r="B1" s="675" t="s">
        <v>3589</v>
      </c>
      <c r="C1" s="675"/>
      <c r="D1" s="675"/>
      <c r="E1" s="675"/>
    </row>
    <row customHeight="1" ht="15">
      <c r="A2" s="675"/>
      <c r="B2" s="675"/>
      <c r="C2" s="675"/>
      <c r="D2" s="675"/>
      <c r="E2" s="675"/>
    </row>
    <row customHeight="1" ht="15">
      <c r="A3" s="675"/>
      <c r="B3" s="675"/>
      <c r="C3" s="675"/>
      <c r="D3" s="675"/>
      <c r="E3" s="675"/>
    </row>
    <row customHeight="1" ht="15">
      <c r="A4" s="675"/>
      <c r="B4" s="675"/>
      <c r="C4" s="675"/>
      <c r="D4" s="675"/>
      <c r="E4" s="675"/>
    </row>
    <row customHeight="1" ht="15">
      <c r="A5" s="675"/>
      <c r="B5" s="675"/>
      <c r="C5" s="675"/>
      <c r="D5" s="675"/>
      <c r="E5" s="675"/>
    </row>
    <row customHeight="1" ht="15">
      <c r="A6" s="675"/>
      <c r="B6" s="675"/>
      <c r="C6" s="675"/>
      <c r="D6" s="675"/>
      <c r="E6" s="675"/>
    </row>
    <row customHeight="1" ht="15">
      <c r="A7" s="675"/>
      <c r="B7" s="675"/>
      <c r="C7" s="675"/>
      <c r="D7" s="675"/>
      <c r="E7" s="675"/>
    </row>
    <row customHeight="1" ht="15">
      <c r="A8" s="675"/>
      <c r="B8" s="675"/>
      <c r="C8" s="675"/>
      <c r="D8" s="675"/>
      <c r="E8" s="675"/>
    </row>
  </sheetData>
  <sheetProtection formatColumns="0" formatRows="0"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112544D-A408-06A2-6C77-C9E38B8A2001}"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3590</v>
      </c>
      <c r="B1" s="0" t="b">
        <v>1</v>
      </c>
    </row>
    <row customHeight="1" ht="11.25">
      <c r="A2" s="0" t="s">
        <v>3591</v>
      </c>
      <c r="B2" s="0" t="b">
        <v>0</v>
      </c>
    </row>
    <row customHeight="1" ht="11.25">
      <c r="A3" s="0" t="s">
        <v>3592</v>
      </c>
      <c r="B3" s="0" t="b">
        <v>0</v>
      </c>
    </row>
    <row customHeight="1" ht="11.25">
      <c r="A4" s="0" t="s">
        <v>3593</v>
      </c>
      <c r="B4" s="0" t="b">
        <v>0</v>
      </c>
    </row>
    <row customHeight="1" ht="11.25">
      <c r="A5" s="0" t="s">
        <v>3594</v>
      </c>
      <c r="B5" s="0" t="b">
        <v>1</v>
      </c>
    </row>
    <row customHeight="1" ht="11.25">
      <c r="A6" s="0" t="s">
        <v>3595</v>
      </c>
      <c r="B6" s="0" t="b">
        <v>0</v>
      </c>
    </row>
    <row customHeight="1" ht="11.25">
      <c r="A7" s="0" t="s">
        <v>3596</v>
      </c>
      <c r="B7" s="0" t="b">
        <v>0</v>
      </c>
    </row>
    <row customHeight="1" ht="11.25">
      <c r="A8" s="0" t="s">
        <v>3597</v>
      </c>
      <c r="B8" s="0" t="b">
        <v>0</v>
      </c>
    </row>
    <row customHeight="1" ht="11.25">
      <c r="A9" s="0" t="s">
        <v>3598</v>
      </c>
      <c r="B9" s="0" t="b">
        <v>1</v>
      </c>
    </row>
    <row customHeight="1" ht="11.25">
      <c r="A10" s="0" t="s">
        <v>3599</v>
      </c>
      <c r="B10" s="0" t="b">
        <v>0</v>
      </c>
    </row>
    <row customHeight="1" ht="11.25">
      <c r="A11" s="0" t="s">
        <v>3600</v>
      </c>
      <c r="B11" s="0" t="b">
        <v>0</v>
      </c>
    </row>
    <row customHeight="1" ht="11.25">
      <c r="A12" s="0" t="s">
        <v>3601</v>
      </c>
      <c r="B12" s="0" t="b">
        <v>0</v>
      </c>
    </row>
    <row customHeight="1" ht="11.25">
      <c r="A13" s="0" t="s">
        <v>3602</v>
      </c>
      <c r="B13" s="0" t="b">
        <v>0</v>
      </c>
    </row>
    <row customHeight="1" ht="11.25">
      <c r="A14" s="0" t="s">
        <v>3603</v>
      </c>
      <c r="B14" s="0" t="b">
        <v>0</v>
      </c>
    </row>
    <row customHeight="1" ht="11.25">
      <c r="A15" s="0" t="s">
        <v>3604</v>
      </c>
      <c r="B15" s="0" t="b">
        <v>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9A2B0C2-5643-5126-66E5-84BF6575C363}"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46764" width="9.140625"/>
  </cols>
  <sheetData>
    <row customHeight="1" ht="12.75">
      <c r="A1" s="575"/>
    </row>
  </sheetData>
  <sheetProtection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A2336E6-7EC5-572A-9127-478E5B5CBA9A}"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46950" width="36.28125" customWidth="1"/>
    <col min="2" max="2" style="46950" width="21.140625" customWidth="1"/>
  </cols>
  <sheetData>
    <row customHeight="1" ht="11.25">
      <c r="A1" s="579" t="s">
        <v>3605</v>
      </c>
      <c r="B1" s="579" t="s">
        <v>3606</v>
      </c>
    </row>
    <row customHeight="1" ht="11.25">
      <c r="A2" s="574" t="s">
        <v>3607</v>
      </c>
      <c r="B2" s="574" t="s">
        <v>3608</v>
      </c>
    </row>
    <row customHeight="1" ht="11.25">
      <c r="A3" s="574" t="s">
        <v>3609</v>
      </c>
      <c r="B3" s="574" t="s">
        <v>3610</v>
      </c>
    </row>
    <row customHeight="1" ht="11.25">
      <c r="A4" s="574" t="s">
        <v>3611</v>
      </c>
      <c r="B4" s="574" t="s">
        <v>3612</v>
      </c>
    </row>
    <row customHeight="1" ht="11.25">
      <c r="A5" s="574" t="s">
        <v>3613</v>
      </c>
      <c r="B5" s="574" t="s">
        <v>3614</v>
      </c>
    </row>
    <row customHeight="1" ht="11.25">
      <c r="A6" s="574" t="s">
        <v>3615</v>
      </c>
      <c r="B6" s="574" t="s">
        <v>3616</v>
      </c>
    </row>
    <row customHeight="1" ht="11.25">
      <c r="A7" s="574" t="s">
        <v>3617</v>
      </c>
      <c r="B7" s="574" t="s">
        <v>3618</v>
      </c>
    </row>
    <row customHeight="1" ht="11.25">
      <c r="A8" s="574" t="s">
        <v>3619</v>
      </c>
      <c r="B8" s="574" t="s">
        <v>3620</v>
      </c>
    </row>
    <row customHeight="1" ht="11.25">
      <c r="A9" s="574" t="s">
        <v>3621</v>
      </c>
      <c r="B9" s="574" t="s">
        <v>3622</v>
      </c>
    </row>
    <row customHeight="1" ht="11.25">
      <c r="A10" s="574" t="s">
        <v>3623</v>
      </c>
      <c r="B10" s="574" t="s">
        <v>3624</v>
      </c>
    </row>
    <row customHeight="1" ht="11.25">
      <c r="A11" s="574" t="s">
        <v>3625</v>
      </c>
      <c r="B11" s="574" t="s">
        <v>3626</v>
      </c>
    </row>
    <row customHeight="1" ht="11.25">
      <c r="A12" s="574" t="s">
        <v>3627</v>
      </c>
      <c r="B12" s="574" t="s">
        <v>3628</v>
      </c>
    </row>
    <row customHeight="1" ht="11.25">
      <c r="A13" s="574" t="s">
        <v>3629</v>
      </c>
      <c r="B13" s="574" t="s">
        <v>3630</v>
      </c>
    </row>
    <row customHeight="1" ht="11.25">
      <c r="A14" s="574" t="s">
        <v>3631</v>
      </c>
      <c r="B14" s="574" t="s">
        <v>3632</v>
      </c>
    </row>
    <row customHeight="1" ht="11.25">
      <c r="A15" s="574" t="s">
        <v>3633</v>
      </c>
      <c r="B15" s="574" t="s">
        <v>3634</v>
      </c>
    </row>
    <row customHeight="1" ht="11.25">
      <c r="A16" s="574" t="s">
        <v>3635</v>
      </c>
      <c r="B16" s="574" t="s">
        <v>3636</v>
      </c>
    </row>
    <row customHeight="1" ht="11.25">
      <c r="A17" s="574" t="s">
        <v>3637</v>
      </c>
      <c r="B17" s="574" t="s">
        <v>3638</v>
      </c>
    </row>
    <row customHeight="1" ht="11.25">
      <c r="A18" s="574" t="s">
        <v>3639</v>
      </c>
      <c r="B18" s="574" t="s">
        <v>3640</v>
      </c>
    </row>
    <row customHeight="1" ht="11.25">
      <c r="A19" s="574" t="s">
        <v>3641</v>
      </c>
      <c r="B19" s="574" t="s">
        <v>3642</v>
      </c>
    </row>
    <row customHeight="1" ht="11.25">
      <c r="A20" s="574" t="s">
        <v>3643</v>
      </c>
      <c r="B20" s="574" t="s">
        <v>3644</v>
      </c>
    </row>
    <row customHeight="1" ht="11.25">
      <c r="A21" s="574" t="s">
        <v>3645</v>
      </c>
      <c r="B21" s="574" t="s">
        <v>3646</v>
      </c>
    </row>
    <row customHeight="1" ht="11.25">
      <c r="A22" s="574" t="s">
        <v>3647</v>
      </c>
      <c r="B22" s="574" t="s">
        <v>3648</v>
      </c>
    </row>
    <row customHeight="1" ht="11.25">
      <c r="A23" s="574" t="s">
        <v>3649</v>
      </c>
      <c r="B23" s="574" t="s">
        <v>3650</v>
      </c>
    </row>
    <row customHeight="1" ht="11.25">
      <c r="A24" s="574" t="s">
        <v>3651</v>
      </c>
      <c r="B24" s="574" t="s">
        <v>3652</v>
      </c>
    </row>
    <row customHeight="1" ht="11.25">
      <c r="A25" s="574" t="s">
        <v>3653</v>
      </c>
      <c r="B25" s="574" t="s">
        <v>3654</v>
      </c>
    </row>
    <row customHeight="1" ht="11.25">
      <c r="A26" s="574" t="s">
        <v>3655</v>
      </c>
      <c r="B26" s="574" t="s">
        <v>3656</v>
      </c>
    </row>
    <row customHeight="1" ht="11.25">
      <c r="A27" s="574" t="s">
        <v>3657</v>
      </c>
      <c r="B27" s="574" t="s">
        <v>3658</v>
      </c>
    </row>
    <row customHeight="1" ht="11.25">
      <c r="A28" s="574" t="s">
        <v>3659</v>
      </c>
      <c r="B28" s="574" t="s">
        <v>3660</v>
      </c>
    </row>
    <row customHeight="1" ht="11.25">
      <c r="A29" s="574" t="s">
        <v>3661</v>
      </c>
      <c r="B29" s="574" t="s">
        <v>3662</v>
      </c>
    </row>
    <row customHeight="1" ht="11.25">
      <c r="A30" s="574" t="s">
        <v>3663</v>
      </c>
      <c r="B30" s="574" t="s">
        <v>3664</v>
      </c>
    </row>
    <row customHeight="1" ht="11.25">
      <c r="A31" s="574" t="s">
        <v>3665</v>
      </c>
      <c r="B31" s="574" t="s">
        <v>3666</v>
      </c>
    </row>
    <row customHeight="1" ht="11.25">
      <c r="A32" s="574" t="s">
        <v>3667</v>
      </c>
      <c r="B32" s="574" t="s">
        <v>3668</v>
      </c>
    </row>
    <row customHeight="1" ht="11.25">
      <c r="A33" s="574" t="s">
        <v>3669</v>
      </c>
      <c r="B33" s="574" t="s">
        <v>3670</v>
      </c>
    </row>
    <row customHeight="1" ht="11.25">
      <c r="A34" s="574" t="s">
        <v>3671</v>
      </c>
      <c r="B34" s="574" t="s">
        <v>3672</v>
      </c>
    </row>
    <row customHeight="1" ht="11.25">
      <c r="A35" s="574" t="s">
        <v>3673</v>
      </c>
      <c r="B35" s="574" t="s">
        <v>3674</v>
      </c>
    </row>
    <row customHeight="1" ht="11.25">
      <c r="A36" s="574" t="s">
        <v>3675</v>
      </c>
      <c r="B36" s="574" t="s">
        <v>3676</v>
      </c>
    </row>
    <row customHeight="1" ht="11.25">
      <c r="A37" s="574" t="s">
        <v>3677</v>
      </c>
      <c r="B37" s="574" t="s">
        <v>3678</v>
      </c>
    </row>
    <row customHeight="1" ht="11.25">
      <c r="A38" s="574" t="s">
        <v>3679</v>
      </c>
      <c r="B38" s="574" t="s">
        <v>3680</v>
      </c>
    </row>
    <row customHeight="1" ht="11.25">
      <c r="A39" s="574" t="s">
        <v>3681</v>
      </c>
      <c r="B39" s="574" t="s">
        <v>3682</v>
      </c>
    </row>
    <row customHeight="1" ht="11.25">
      <c r="A40" s="574" t="s">
        <v>3683</v>
      </c>
      <c r="B40" s="574" t="s">
        <v>3684</v>
      </c>
    </row>
    <row customHeight="1" ht="11.25">
      <c r="A41" s="574" t="s">
        <v>3685</v>
      </c>
      <c r="B41" s="574" t="s">
        <v>3686</v>
      </c>
    </row>
    <row customHeight="1" ht="11.25">
      <c r="A42" s="574" t="s">
        <v>3687</v>
      </c>
      <c r="B42" s="574" t="s">
        <v>3688</v>
      </c>
    </row>
    <row customHeight="1" ht="11.25">
      <c r="A43" s="574" t="s">
        <v>3689</v>
      </c>
      <c r="B43" s="574" t="s">
        <v>3690</v>
      </c>
    </row>
    <row customHeight="1" ht="11.25">
      <c r="A44" s="574" t="s">
        <v>3691</v>
      </c>
      <c r="B44" s="574" t="s">
        <v>3692</v>
      </c>
    </row>
    <row customHeight="1" ht="11.25">
      <c r="A45" s="574" t="s">
        <v>3693</v>
      </c>
      <c r="B45" s="574" t="s">
        <v>3694</v>
      </c>
    </row>
    <row customHeight="1" ht="11.25">
      <c r="A46" s="574" t="s">
        <v>3695</v>
      </c>
      <c r="B46" s="574" t="s">
        <v>3696</v>
      </c>
    </row>
    <row customHeight="1" ht="11.25">
      <c r="A47" s="574" t="s">
        <v>3697</v>
      </c>
      <c r="B47" s="574" t="s">
        <v>3698</v>
      </c>
    </row>
    <row customHeight="1" ht="11.25">
      <c r="A48" s="574" t="s">
        <v>3699</v>
      </c>
      <c r="B48" s="574" t="s">
        <v>3700</v>
      </c>
    </row>
    <row customHeight="1" ht="11.25">
      <c r="A49" s="574" t="s">
        <v>3701</v>
      </c>
      <c r="B49" s="574" t="s">
        <v>3702</v>
      </c>
    </row>
    <row customHeight="1" ht="11.25">
      <c r="A50" s="574" t="s">
        <v>3703</v>
      </c>
      <c r="B50" s="574" t="s">
        <v>3704</v>
      </c>
    </row>
    <row customHeight="1" ht="11.25">
      <c r="A51" s="574" t="s">
        <v>3705</v>
      </c>
      <c r="B51" s="574" t="s">
        <v>3706</v>
      </c>
    </row>
    <row customHeight="1" ht="11.25">
      <c r="A52" s="574" t="s">
        <v>3707</v>
      </c>
      <c r="B52" s="574" t="s">
        <v>3708</v>
      </c>
    </row>
    <row customHeight="1" ht="11.25">
      <c r="A53" s="574" t="s">
        <v>3709</v>
      </c>
      <c r="B53" s="574" t="s">
        <v>3710</v>
      </c>
    </row>
    <row customHeight="1" ht="11.25">
      <c r="A54" s="574" t="s">
        <v>3711</v>
      </c>
      <c r="B54" s="574" t="s">
        <v>3712</v>
      </c>
    </row>
    <row customHeight="1" ht="11.25">
      <c r="A55" s="574" t="s">
        <v>3713</v>
      </c>
      <c r="B55" s="574" t="s">
        <v>3714</v>
      </c>
    </row>
    <row customHeight="1" ht="11.25">
      <c r="A56" s="574" t="s">
        <v>3715</v>
      </c>
      <c r="B56" s="574" t="s">
        <v>3716</v>
      </c>
    </row>
    <row customHeight="1" ht="11.25">
      <c r="A57" s="574" t="s">
        <v>3717</v>
      </c>
      <c r="B57" s="574" t="s">
        <v>3718</v>
      </c>
    </row>
    <row customHeight="1" ht="11.25">
      <c r="A58" s="574" t="s">
        <v>3719</v>
      </c>
      <c r="B58" s="574" t="s">
        <v>3720</v>
      </c>
    </row>
    <row customHeight="1" ht="11.25">
      <c r="A59" s="574" t="s">
        <v>3721</v>
      </c>
      <c r="B59" s="574" t="s">
        <v>3722</v>
      </c>
    </row>
    <row customHeight="1" ht="11.25">
      <c r="A60" s="574" t="s">
        <v>3723</v>
      </c>
      <c r="B60" s="574" t="s">
        <v>3724</v>
      </c>
    </row>
    <row customHeight="1" ht="11.25">
      <c r="A61" s="574"/>
      <c r="B61" s="574" t="s">
        <v>3725</v>
      </c>
    </row>
    <row customHeight="1" ht="11.25">
      <c r="A62" s="574"/>
      <c r="B62" s="574" t="s">
        <v>3726</v>
      </c>
    </row>
    <row customHeight="1" ht="11.25">
      <c r="A63" s="574"/>
      <c r="B63" s="574" t="s">
        <v>3727</v>
      </c>
    </row>
    <row customHeight="1" ht="11.25">
      <c r="A64" s="574"/>
      <c r="B64" s="574" t="s">
        <v>3728</v>
      </c>
    </row>
    <row customHeight="1" ht="11.25">
      <c r="A65" s="574"/>
      <c r="B65" s="574" t="s">
        <v>3729</v>
      </c>
    </row>
    <row customHeight="1" ht="11.25">
      <c r="A66" s="574"/>
      <c r="B66" s="574" t="s">
        <v>3730</v>
      </c>
    </row>
    <row customHeight="1" ht="11.25">
      <c r="A67" s="574"/>
      <c r="B67" s="574" t="s">
        <v>3731</v>
      </c>
    </row>
    <row customHeight="1" ht="11.25">
      <c r="A68" s="574"/>
      <c r="B68" s="574" t="s">
        <v>3732</v>
      </c>
    </row>
    <row customHeight="1" ht="11.25">
      <c r="A69" s="574"/>
      <c r="B69" s="574" t="s">
        <v>3733</v>
      </c>
    </row>
    <row customHeight="1" ht="11.25">
      <c r="A70" s="574"/>
      <c r="B70" s="574" t="s">
        <v>3734</v>
      </c>
    </row>
    <row customHeight="1" ht="11.25">
      <c r="A71" s="574"/>
      <c r="B71" s="574"/>
    </row>
    <row customHeight="1" ht="11.25">
      <c r="A72" s="574"/>
      <c r="B72" s="574"/>
    </row>
    <row customHeight="1" ht="11.25">
      <c r="A73" s="574"/>
      <c r="B73" s="574"/>
    </row>
    <row customHeight="1" ht="11.25">
      <c r="A74" s="574"/>
      <c r="B74" s="574"/>
    </row>
    <row customHeight="1" ht="11.25">
      <c r="A75" s="574"/>
      <c r="B75" s="574"/>
    </row>
    <row customHeight="1" ht="11.25">
      <c r="A76" s="574"/>
      <c r="B76" s="574"/>
    </row>
    <row customHeight="1" ht="11.25">
      <c r="A77" s="574"/>
      <c r="B77" s="574"/>
    </row>
    <row customHeight="1" ht="11.25">
      <c r="A78" s="574"/>
      <c r="B78" s="574"/>
    </row>
    <row customHeight="1" ht="11.25">
      <c r="A79" s="574"/>
      <c r="B79" s="574"/>
    </row>
    <row customHeight="1" ht="11.25">
      <c r="A80" s="574"/>
      <c r="B80" s="574"/>
    </row>
    <row customHeight="1" ht="11.25">
      <c r="A81" s="574"/>
      <c r="B81" s="574"/>
    </row>
    <row customHeight="1" ht="11.25">
      <c r="A82" s="574"/>
      <c r="B82" s="574"/>
    </row>
    <row customHeight="1" ht="11.25">
      <c r="A83" s="574"/>
      <c r="B83" s="574"/>
    </row>
    <row customHeight="1" ht="11.25">
      <c r="A84" s="574"/>
      <c r="B84" s="574"/>
    </row>
    <row customHeight="1" ht="11.25">
      <c r="A85" s="574"/>
      <c r="B85" s="574"/>
    </row>
    <row customHeight="1" ht="11.25">
      <c r="A86" s="574"/>
      <c r="B86" s="574"/>
    </row>
    <row customHeight="1" ht="11.25">
      <c r="A87" s="574"/>
      <c r="B87" s="574"/>
    </row>
    <row customHeight="1" ht="11.25">
      <c r="A88" s="574"/>
      <c r="B88" s="574"/>
    </row>
    <row customHeight="1" ht="11.25">
      <c r="A89" s="574"/>
      <c r="B89" s="574"/>
    </row>
    <row customHeight="1" ht="11.25">
      <c r="A90" s="574"/>
      <c r="B90" s="574"/>
    </row>
    <row customHeight="1" ht="11.25">
      <c r="A91" s="574"/>
      <c r="B91" s="574"/>
    </row>
    <row customHeight="1" ht="11.25">
      <c r="A92" s="574"/>
      <c r="B92" s="574"/>
    </row>
    <row customHeight="1" ht="11.25">
      <c r="A93" s="574"/>
      <c r="B93" s="574"/>
    </row>
    <row customHeight="1" ht="11.25">
      <c r="A94" s="574"/>
      <c r="B94" s="574"/>
    </row>
    <row customHeight="1" ht="11.25">
      <c r="A95" s="574"/>
      <c r="B95" s="574"/>
    </row>
    <row customHeight="1" ht="11.25">
      <c r="A96" s="574"/>
      <c r="B96" s="574"/>
    </row>
    <row customHeight="1" ht="11.25">
      <c r="A97" s="574"/>
      <c r="B97" s="574"/>
    </row>
    <row customHeight="1" ht="11.25">
      <c r="A98" s="574"/>
      <c r="B98" s="574"/>
    </row>
    <row customHeight="1" ht="11.25">
      <c r="A99" s="574"/>
      <c r="B99" s="574"/>
    </row>
    <row customHeight="1" ht="11.25">
      <c r="A100" s="574"/>
      <c r="B100" s="574"/>
    </row>
    <row customHeight="1" ht="11.25">
      <c r="A101" s="574"/>
      <c r="B101" s="574"/>
    </row>
    <row customHeight="1" ht="11.25">
      <c r="A102" s="574"/>
      <c r="B102" s="574"/>
    </row>
    <row customHeight="1" ht="11.25">
      <c r="A103" s="574"/>
      <c r="B103" s="574"/>
    </row>
    <row customHeight="1" ht="11.25">
      <c r="A104" s="574"/>
      <c r="B104" s="574"/>
    </row>
    <row customHeight="1" ht="11.25">
      <c r="A105" s="574"/>
      <c r="B105" s="574"/>
    </row>
    <row customHeight="1" ht="11.25">
      <c r="A106" s="574"/>
      <c r="B106" s="574"/>
    </row>
    <row customHeight="1" ht="11.25">
      <c r="A107" s="574"/>
      <c r="B107" s="574"/>
    </row>
    <row customHeight="1" ht="11.25">
      <c r="A108" s="574"/>
      <c r="B108" s="574"/>
    </row>
    <row customHeight="1" ht="11.25">
      <c r="A109" s="574"/>
      <c r="B109" s="574"/>
    </row>
    <row customHeight="1" ht="11.25">
      <c r="A110" s="574"/>
      <c r="B110" s="574"/>
    </row>
    <row customHeight="1" ht="11.25">
      <c r="A111" s="574"/>
      <c r="B111" s="574"/>
    </row>
    <row customHeight="1" ht="11.25">
      <c r="A112" s="574"/>
      <c r="B112" s="574"/>
    </row>
    <row customHeight="1" ht="11.25">
      <c r="A113" s="574"/>
      <c r="B113" s="574"/>
    </row>
    <row customHeight="1" ht="11.25">
      <c r="A114" s="574"/>
      <c r="B114" s="574"/>
    </row>
    <row customHeight="1" ht="11.25">
      <c r="A115" s="574"/>
      <c r="B115" s="574"/>
    </row>
    <row customHeight="1" ht="11.25">
      <c r="A116" s="574"/>
      <c r="B116" s="574"/>
    </row>
    <row customHeight="1" ht="11.25">
      <c r="A117" s="574"/>
      <c r="B117" s="574"/>
    </row>
    <row customHeight="1" ht="11.25">
      <c r="A118" s="574"/>
      <c r="B118" s="574"/>
    </row>
    <row customHeight="1" ht="11.25">
      <c r="A119" s="574"/>
      <c r="B119" s="574"/>
    </row>
    <row customHeight="1" ht="11.25">
      <c r="A120" s="574"/>
      <c r="B120" s="574"/>
    </row>
    <row customHeight="1" ht="11.25">
      <c r="A121" s="574"/>
      <c r="B121" s="574"/>
    </row>
    <row customHeight="1" ht="11.25">
      <c r="A122" s="574"/>
      <c r="B122" s="574"/>
    </row>
    <row customHeight="1" ht="11.25">
      <c r="A123" s="574"/>
      <c r="B123" s="574"/>
    </row>
    <row customHeight="1" ht="11.25">
      <c r="A124" s="574"/>
      <c r="B124" s="574"/>
    </row>
    <row customHeight="1" ht="11.25">
      <c r="A125" s="574"/>
      <c r="B125" s="574"/>
    </row>
    <row customHeight="1" ht="11.25">
      <c r="A126" s="574"/>
      <c r="B126" s="574"/>
    </row>
    <row customHeight="1" ht="11.25">
      <c r="A127" s="574"/>
      <c r="B127" s="574"/>
    </row>
    <row customHeight="1" ht="11.25">
      <c r="A128" s="574"/>
      <c r="B128" s="574"/>
    </row>
    <row customHeight="1" ht="11.25">
      <c r="A129" s="574"/>
      <c r="B129" s="574"/>
    </row>
    <row customHeight="1" ht="11.25">
      <c r="A130" s="574"/>
      <c r="B130" s="574"/>
    </row>
    <row customHeight="1" ht="11.25">
      <c r="A131" s="574"/>
      <c r="B131" s="574"/>
    </row>
    <row customHeight="1" ht="11.25">
      <c r="A132" s="574"/>
      <c r="B132" s="574"/>
    </row>
    <row customHeight="1" ht="11.25">
      <c r="A133" s="574"/>
      <c r="B133" s="574"/>
    </row>
    <row customHeight="1" ht="11.25">
      <c r="A134" s="574"/>
      <c r="B134" s="574"/>
    </row>
    <row customHeight="1" ht="11.25">
      <c r="A135" s="574"/>
      <c r="B135" s="574"/>
    </row>
    <row customHeight="1" ht="11.25">
      <c r="A136" s="574"/>
      <c r="B136" s="574"/>
    </row>
    <row customHeight="1" ht="11.25">
      <c r="A137" s="574"/>
      <c r="B137" s="574"/>
    </row>
    <row customHeight="1" ht="11.25">
      <c r="A138" s="574"/>
      <c r="B138" s="574"/>
    </row>
    <row customHeight="1" ht="11.25">
      <c r="A139" s="574"/>
      <c r="B139" s="574"/>
    </row>
    <row customHeight="1" ht="11.25">
      <c r="A140" s="574"/>
      <c r="B140" s="574"/>
    </row>
    <row customHeight="1" ht="11.25">
      <c r="A141" s="574"/>
      <c r="B141" s="574"/>
    </row>
    <row customHeight="1" ht="11.25">
      <c r="A142" s="574"/>
      <c r="B142" s="574"/>
    </row>
    <row customHeight="1" ht="11.25">
      <c r="A143" s="574"/>
      <c r="B143" s="574"/>
    </row>
    <row customHeight="1" ht="11.25">
      <c r="A144" s="574"/>
      <c r="B144" s="574"/>
    </row>
    <row customHeight="1" ht="11.25">
      <c r="A145" s="574"/>
      <c r="B145" s="574"/>
    </row>
    <row customHeight="1" ht="11.25">
      <c r="A146" s="574"/>
      <c r="B146" s="574"/>
    </row>
    <row customHeight="1" ht="11.25">
      <c r="A147" s="574"/>
      <c r="B147" s="574"/>
    </row>
    <row customHeight="1" ht="11.25">
      <c r="A148" s="574"/>
      <c r="B148" s="574"/>
    </row>
    <row customHeight="1" ht="11.25">
      <c r="A149" s="574"/>
      <c r="B149" s="574"/>
    </row>
    <row customHeight="1" ht="11.25">
      <c r="A150" s="574"/>
      <c r="B150" s="574"/>
    </row>
    <row customHeight="1" ht="11.25">
      <c r="A151" s="574"/>
      <c r="B151" s="574"/>
    </row>
    <row customHeight="1" ht="11.25">
      <c r="A152" s="574"/>
      <c r="B152" s="574"/>
    </row>
    <row customHeight="1" ht="11.25">
      <c r="A153" s="574"/>
      <c r="B153" s="574"/>
    </row>
    <row customHeight="1" ht="11.25">
      <c r="A154" s="574"/>
      <c r="B154" s="574"/>
    </row>
    <row customHeight="1" ht="11.25">
      <c r="A155" s="574"/>
      <c r="B155" s="574"/>
    </row>
    <row customHeight="1" ht="11.25">
      <c r="A156" s="574"/>
      <c r="B156" s="574"/>
    </row>
    <row customHeight="1" ht="11.25">
      <c r="A157" s="574"/>
      <c r="B157" s="574"/>
    </row>
    <row customHeight="1" ht="11.25">
      <c r="A158" s="574"/>
      <c r="B158" s="574"/>
    </row>
    <row customHeight="1" ht="11.25">
      <c r="A159" s="574"/>
      <c r="B159" s="574"/>
    </row>
    <row customHeight="1" ht="11.25">
      <c r="A160" s="574"/>
      <c r="B160" s="574"/>
    </row>
    <row customHeight="1" ht="11.25">
      <c r="A161" s="574"/>
      <c r="B161" s="574"/>
    </row>
    <row customHeight="1" ht="11.25">
      <c r="A162" s="574"/>
      <c r="B162" s="574"/>
    </row>
    <row customHeight="1" ht="11.25">
      <c r="A163" s="574"/>
      <c r="B163" s="574"/>
    </row>
    <row customHeight="1" ht="11.25">
      <c r="A164" s="574"/>
      <c r="B164" s="574"/>
    </row>
    <row customHeight="1" ht="11.25">
      <c r="A165" s="574"/>
      <c r="B165" s="574"/>
    </row>
    <row customHeight="1" ht="11.25">
      <c r="A166" s="574"/>
      <c r="B166" s="574"/>
    </row>
    <row customHeight="1" ht="11.25">
      <c r="A167" s="574"/>
      <c r="B167" s="574"/>
    </row>
    <row customHeight="1" ht="11.25">
      <c r="A168" s="574"/>
      <c r="B168" s="574"/>
    </row>
    <row customHeight="1" ht="11.25">
      <c r="A169" s="574"/>
      <c r="B169" s="574"/>
    </row>
    <row customHeight="1" ht="11.25">
      <c r="A170" s="574"/>
      <c r="B170" s="574"/>
    </row>
    <row customHeight="1" ht="11.25">
      <c r="A171" s="574"/>
      <c r="B171" s="574"/>
    </row>
    <row customHeight="1" ht="11.25">
      <c r="A172" s="574"/>
      <c r="B172" s="574"/>
    </row>
    <row customHeight="1" ht="11.25">
      <c r="A173" s="574"/>
      <c r="B173" s="574"/>
    </row>
    <row customHeight="1" ht="11.25">
      <c r="A174" s="574"/>
      <c r="B174" s="574"/>
    </row>
    <row customHeight="1" ht="11.25">
      <c r="A175" s="574"/>
      <c r="B175" s="574"/>
    </row>
    <row customHeight="1" ht="11.25">
      <c r="A176" s="574"/>
      <c r="B176" s="574"/>
    </row>
    <row customHeight="1" ht="11.25">
      <c r="A177" s="574"/>
      <c r="B177" s="574"/>
    </row>
    <row customHeight="1" ht="11.25">
      <c r="A178" s="574"/>
      <c r="B178" s="574"/>
    </row>
    <row customHeight="1" ht="11.25">
      <c r="A179" s="574"/>
      <c r="B179" s="574"/>
    </row>
    <row customHeight="1" ht="11.25">
      <c r="A180" s="574"/>
      <c r="B180" s="574"/>
    </row>
    <row customHeight="1" ht="11.25">
      <c r="A181" s="574"/>
      <c r="B181" s="574"/>
    </row>
    <row customHeight="1" ht="11.25">
      <c r="A182" s="574"/>
      <c r="B182" s="574"/>
    </row>
    <row customHeight="1" ht="11.25">
      <c r="A183" s="574"/>
      <c r="B183" s="574"/>
    </row>
    <row customHeight="1" ht="11.25">
      <c r="A184" s="574"/>
      <c r="B184" s="574"/>
    </row>
    <row customHeight="1" ht="11.25">
      <c r="A185" s="574"/>
      <c r="B185" s="574"/>
    </row>
    <row customHeight="1" ht="11.25">
      <c r="A186" s="574"/>
      <c r="B186" s="574"/>
    </row>
    <row customHeight="1" ht="11.25">
      <c r="A187" s="574"/>
      <c r="B187" s="574"/>
    </row>
    <row customHeight="1" ht="11.25">
      <c r="A188" s="574"/>
      <c r="B188" s="574"/>
    </row>
    <row customHeight="1" ht="11.25">
      <c r="A189" s="574"/>
      <c r="B189" s="574"/>
    </row>
    <row customHeight="1" ht="11.25">
      <c r="A190" s="574"/>
      <c r="B190" s="574"/>
    </row>
    <row customHeight="1" ht="11.25">
      <c r="A191" s="574"/>
      <c r="B191" s="574"/>
    </row>
    <row customHeight="1" ht="11.25">
      <c r="A192" s="574"/>
      <c r="B192" s="574"/>
    </row>
    <row customHeight="1" ht="11.25">
      <c r="A193" s="574"/>
      <c r="B193" s="574"/>
    </row>
    <row customHeight="1" ht="11.25">
      <c r="A194" s="574"/>
      <c r="B194" s="574"/>
    </row>
    <row customHeight="1" ht="11.25">
      <c r="A195" s="574"/>
      <c r="B195" s="574"/>
    </row>
    <row customHeight="1" ht="11.25">
      <c r="A196" s="574"/>
      <c r="B196" s="574"/>
    </row>
    <row customHeight="1" ht="11.25">
      <c r="A197" s="574"/>
      <c r="B197" s="574"/>
    </row>
    <row customHeight="1" ht="11.25">
      <c r="A198" s="574"/>
      <c r="B198" s="574"/>
    </row>
    <row customHeight="1" ht="11.25">
      <c r="A199" s="574"/>
      <c r="B199" s="574"/>
    </row>
    <row customHeight="1" ht="11.25">
      <c r="A200" s="574"/>
      <c r="B200" s="574"/>
    </row>
    <row customHeight="1" ht="11.25">
      <c r="A201" s="574"/>
      <c r="B201" s="574"/>
    </row>
    <row customHeight="1" ht="11.25">
      <c r="A202" s="574"/>
      <c r="B202" s="574"/>
    </row>
    <row customHeight="1" ht="11.25">
      <c r="A203" s="574"/>
      <c r="B203" s="574"/>
    </row>
    <row customHeight="1" ht="11.25">
      <c r="A204" s="574"/>
      <c r="B204" s="574"/>
    </row>
    <row customHeight="1" ht="11.25">
      <c r="A205" s="574"/>
      <c r="B205" s="574"/>
    </row>
    <row customHeight="1" ht="11.25">
      <c r="A206" s="574"/>
      <c r="B206" s="574"/>
    </row>
    <row customHeight="1" ht="11.25">
      <c r="A207" s="574"/>
      <c r="B207" s="574"/>
    </row>
    <row customHeight="1" ht="11.25">
      <c r="A208" s="574"/>
      <c r="B208" s="574"/>
    </row>
    <row customHeight="1" ht="11.25">
      <c r="A209" s="574"/>
      <c r="B209" s="574"/>
    </row>
    <row customHeight="1" ht="11.25">
      <c r="A210" s="574"/>
      <c r="B210" s="574"/>
    </row>
    <row customHeight="1" ht="11.25">
      <c r="A211" s="574"/>
      <c r="B211" s="574"/>
    </row>
    <row customHeight="1" ht="11.25">
      <c r="A212" s="574"/>
      <c r="B212" s="574"/>
    </row>
    <row customHeight="1" ht="11.25">
      <c r="A213" s="574"/>
      <c r="B213" s="574"/>
    </row>
    <row customHeight="1" ht="11.25">
      <c r="A214" s="574"/>
      <c r="B214" s="574"/>
    </row>
    <row customHeight="1" ht="11.25">
      <c r="A215" s="574"/>
      <c r="B215" s="574"/>
    </row>
    <row customHeight="1" ht="11.25">
      <c r="A216" s="574"/>
      <c r="B216" s="574"/>
    </row>
    <row customHeight="1" ht="11.25">
      <c r="A217" s="574"/>
      <c r="B217" s="574"/>
    </row>
    <row customHeight="1" ht="11.25">
      <c r="A218" s="574"/>
      <c r="B218" s="574"/>
    </row>
    <row customHeight="1" ht="11.25">
      <c r="A219" s="574"/>
      <c r="B219" s="574"/>
    </row>
    <row customHeight="1" ht="11.25">
      <c r="A220" s="574"/>
      <c r="B220" s="574"/>
    </row>
    <row customHeight="1" ht="11.25">
      <c r="A221" s="574"/>
      <c r="B221" s="574"/>
    </row>
    <row customHeight="1" ht="11.25">
      <c r="A222" s="574"/>
      <c r="B222" s="574"/>
    </row>
    <row customHeight="1" ht="11.25">
      <c r="A223" s="574"/>
      <c r="B223" s="574"/>
    </row>
    <row customHeight="1" ht="11.25">
      <c r="A224" s="574"/>
      <c r="B224" s="574"/>
    </row>
    <row customHeight="1" ht="11.25">
      <c r="A225" s="574"/>
      <c r="B225" s="574"/>
    </row>
    <row customHeight="1" ht="11.25">
      <c r="A226" s="574"/>
      <c r="B226" s="574"/>
    </row>
    <row customHeight="1" ht="11.25">
      <c r="A227" s="574"/>
      <c r="B227" s="574"/>
    </row>
    <row customHeight="1" ht="11.25">
      <c r="A228" s="574"/>
      <c r="B228" s="574"/>
    </row>
    <row customHeight="1" ht="11.25">
      <c r="A229" s="574"/>
      <c r="B229" s="574"/>
    </row>
    <row customHeight="1" ht="11.25">
      <c r="A230" s="574"/>
      <c r="B230" s="574"/>
    </row>
    <row customHeight="1" ht="11.25">
      <c r="A231" s="574"/>
      <c r="B231" s="574"/>
    </row>
    <row customHeight="1" ht="11.25">
      <c r="A232" s="574"/>
      <c r="B232" s="574"/>
    </row>
    <row customHeight="1" ht="11.25">
      <c r="A233" s="574"/>
      <c r="B233" s="574"/>
    </row>
    <row customHeight="1" ht="11.25">
      <c r="A234" s="574"/>
      <c r="B234" s="574"/>
    </row>
    <row customHeight="1" ht="11.25">
      <c r="A235" s="574"/>
      <c r="B235" s="574"/>
    </row>
    <row customHeight="1" ht="11.25">
      <c r="A236" s="574"/>
      <c r="B236" s="574"/>
    </row>
    <row customHeight="1" ht="11.25">
      <c r="A237" s="574"/>
      <c r="B237" s="574"/>
    </row>
    <row customHeight="1" ht="11.25">
      <c r="A238" s="574"/>
      <c r="B238" s="574"/>
    </row>
    <row customHeight="1" ht="11.25">
      <c r="A239" s="574"/>
      <c r="B239" s="574"/>
    </row>
    <row customHeight="1" ht="11.25">
      <c r="A240" s="574"/>
      <c r="B240" s="574"/>
    </row>
    <row customHeight="1" ht="11.25">
      <c r="A241" s="574"/>
      <c r="B241" s="574"/>
    </row>
    <row customHeight="1" ht="11.25">
      <c r="A242" s="574"/>
      <c r="B242" s="574"/>
    </row>
    <row customHeight="1" ht="11.25">
      <c r="A243" s="574"/>
      <c r="B243" s="574"/>
    </row>
    <row customHeight="1" ht="11.25">
      <c r="A244" s="574"/>
      <c r="B244" s="574"/>
    </row>
    <row customHeight="1" ht="11.25">
      <c r="A245" s="574"/>
      <c r="B245" s="574"/>
    </row>
    <row customHeight="1" ht="11.25">
      <c r="A246" s="574"/>
      <c r="B246" s="574"/>
    </row>
    <row customHeight="1" ht="11.25">
      <c r="A247" s="574"/>
      <c r="B247" s="574"/>
    </row>
    <row customHeight="1" ht="11.25">
      <c r="A248" s="574"/>
      <c r="B248" s="574"/>
    </row>
    <row customHeight="1" ht="11.25">
      <c r="A249" s="574"/>
      <c r="B249" s="574"/>
    </row>
    <row customHeight="1" ht="11.25">
      <c r="A250" s="574"/>
      <c r="B250" s="574"/>
    </row>
    <row customHeight="1" ht="11.25">
      <c r="A251" s="574"/>
      <c r="B251" s="574"/>
    </row>
    <row customHeight="1" ht="11.25">
      <c r="A252" s="574"/>
      <c r="B252" s="574"/>
    </row>
    <row customHeight="1" ht="11.25">
      <c r="A253" s="574"/>
      <c r="B253" s="574"/>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C2FEB14-0AE3-8A14-5865-AF0388309537}"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46950" width="3.7109375" customWidth="1"/>
    <col min="2" max="2" style="46950" width="90.7109375" customWidth="1"/>
    <col min="3" max="4" style="46950" width="9.140625"/>
  </cols>
  <sheetData>
    <row customHeight="1" ht="11.25">
      <c r="B1" s="605" t="s">
        <v>3735</v>
      </c>
    </row>
    <row customHeight="1" ht="90">
      <c r="B2" s="606" t="s">
        <v>3736</v>
      </c>
    </row>
    <row customHeight="1" ht="67.5">
      <c r="B3" s="606" t="s">
        <v>3737</v>
      </c>
    </row>
    <row customHeight="1" ht="33.75">
      <c r="B4" s="606" t="s">
        <v>3738</v>
      </c>
    </row>
    <row customHeight="1" ht="11.25">
      <c r="B5" s="606" t="s">
        <v>3739</v>
      </c>
    </row>
    <row customHeight="1" ht="22.5">
      <c r="B6" s="606" t="s">
        <v>3740</v>
      </c>
    </row>
    <row customHeight="1" ht="22.5">
      <c r="B7" s="606" t="s">
        <v>3741</v>
      </c>
    </row>
    <row customHeight="1" ht="22.5">
      <c r="B8" s="606" t="s">
        <v>3742</v>
      </c>
    </row>
    <row customHeight="1" ht="22.5">
      <c r="B9" s="606" t="s">
        <v>3743</v>
      </c>
    </row>
    <row customHeight="1" ht="56.25">
      <c r="B10" s="606" t="s">
        <v>3744</v>
      </c>
    </row>
    <row customHeight="1" ht="12.75">
      <c r="B11" s="671" t="s">
        <v>3745</v>
      </c>
    </row>
    <row customHeight="1" ht="11.25">
      <c r="B12" s="605" t="s">
        <v>3746</v>
      </c>
    </row>
    <row customHeight="1" ht="22.5">
      <c r="B13" s="606" t="s">
        <v>3747</v>
      </c>
    </row>
    <row customHeight="1" ht="67.5">
      <c r="B14" s="606" t="s">
        <v>3748</v>
      </c>
    </row>
    <row customHeight="1" ht="22.5">
      <c r="B15" s="606" t="s">
        <v>3749</v>
      </c>
    </row>
    <row customHeight="1" ht="11.25">
      <c r="B16" s="605" t="s">
        <v>3750</v>
      </c>
      <c r="D16" s="612"/>
    </row>
    <row customHeight="1" ht="33.75">
      <c r="B17" s="606" t="s">
        <v>3751</v>
      </c>
    </row>
    <row customHeight="1" ht="33.75">
      <c r="B18" s="606" t="s">
        <v>3752</v>
      </c>
    </row>
    <row customHeight="1" ht="11.25">
      <c r="B19" s="606" t="s">
        <v>3753</v>
      </c>
    </row>
    <row customHeight="1" ht="33.75">
      <c r="B20" s="606" t="s">
        <v>3754</v>
      </c>
    </row>
    <row customHeight="1" ht="11.25">
      <c r="B21" s="605" t="s">
        <v>3755</v>
      </c>
    </row>
    <row customHeight="1" ht="11.25">
      <c r="B22" s="606" t="s">
        <v>3756</v>
      </c>
    </row>
    <row r="24" customHeight="1" ht="22.5">
      <c r="B24" s="673" t="s">
        <v>3757</v>
      </c>
    </row>
    <row r="26" customHeight="1" ht="11.25">
      <c r="B26" s="605" t="s">
        <v>3758</v>
      </c>
    </row>
    <row customHeight="1" ht="22.5">
      <c r="B27" s="672" t="s">
        <v>514</v>
      </c>
    </row>
    <row customHeight="1" ht="56.25">
      <c r="B28" s="672" t="s">
        <v>3759</v>
      </c>
    </row>
    <row customHeight="1" ht="11.25">
      <c r="B29" s="722" t="s">
        <v>3760</v>
      </c>
    </row>
    <row customHeight="1" ht="22.5">
      <c r="B30" s="672" t="s">
        <v>3761</v>
      </c>
    </row>
    <row r="32" customHeight="1" ht="11.25">
      <c r="A32" s="700"/>
      <c r="B32" s="701" t="s">
        <v>3762</v>
      </c>
    </row>
    <row customHeight="1" ht="14.25">
      <c r="A33" s="702">
        <v>1</v>
      </c>
      <c r="B33" s="703" t="s">
        <v>3763</v>
      </c>
    </row>
    <row customHeight="1" ht="14.25">
      <c r="A34" s="702">
        <v>2</v>
      </c>
      <c r="B34" s="703" t="s">
        <v>3764</v>
      </c>
    </row>
    <row customHeight="1" ht="11.25">
      <c r="B35" s="701" t="s">
        <v>3765</v>
      </c>
    </row>
    <row customHeight="1" ht="11.25">
      <c r="B36" s="703" t="s">
        <v>3766</v>
      </c>
    </row>
  </sheetData>
  <sheetProtection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8EFA581-6A03-67CC-322A-9DE82752214F}" mc:Ignorable="x14ac xr xr2 xr3">
  <sheetPr>
    <tabColor theme="3" tint="0.6"/>
  </sheetPr>
  <dimension ref="A1:V18"/>
  <sheetViews>
    <sheetView topLeftCell="A1" showGridLines="0" zoomScale="90" workbookViewId="0">
      <selection activeCell="A1" sqref="A1"/>
    </sheetView>
  </sheetViews>
  <sheetFormatPr defaultColWidth="10.57421875" customHeight="1" defaultRowHeight="14.25"/>
  <cols>
    <col min="1" max="1" style="46772" width="9.140625" hidden="1" customWidth="1"/>
    <col min="2" max="2" style="46808" width="9.140625" hidden="1" customWidth="1"/>
    <col min="3" max="3" style="46988" width="3.00390625" customWidth="1"/>
    <col min="4" max="4" style="46808" width="5.00390625" customWidth="1"/>
    <col min="5" max="5" style="46808" width="38.00390625" customWidth="1"/>
    <col min="6" max="7" style="46808" width="3.00390625" customWidth="1"/>
    <col min="8" max="8" style="46808" width="38.00390625" customWidth="1"/>
    <col min="9" max="9" style="46808" width="35.00390625" customWidth="1"/>
    <col min="10" max="10" style="46808" width="103.00390625" customWidth="1"/>
    <col min="11" max="11" style="46905" width="3.00390625" customWidth="1"/>
    <col min="12" max="14" style="46890" width="10.00390625" customWidth="1"/>
    <col min="15" max="15" style="46890" width="13.00390625" customWidth="1"/>
    <col min="16" max="16" style="46890" width="15.00390625" customWidth="1"/>
    <col min="17" max="17" style="46890" width="16.00390625" customWidth="1"/>
    <col min="18" max="21" style="46890" width="10.00390625" customWidth="1"/>
    <col min="22" max="22" style="46808" width="10.57421875" hidden="1"/>
  </cols>
  <sheetData>
    <row customHeight="1" ht="22.5" hidden="1">
      <c r="E1" s="924"/>
      <c r="F1" s="924"/>
      <c r="G1" s="924"/>
      <c r="H1" s="2729" t="s">
        <v>470</v>
      </c>
      <c r="I1" s="2729"/>
      <c r="V1" s="2119" t="s">
        <v>14</v>
      </c>
    </row>
    <row s="46808" customFormat="1" customHeight="1" ht="14.25" hidden="1">
      <c r="C2" s="2131"/>
      <c r="D2" s="2745" t="s">
        <v>101</v>
      </c>
      <c r="E2" s="2747"/>
      <c r="F2" s="2137"/>
      <c r="G2" s="2132" t="s">
        <v>101</v>
      </c>
      <c r="H2" s="2135"/>
      <c r="I2" s="2133"/>
      <c r="L2" s="2134"/>
      <c r="M2" s="2134"/>
      <c r="N2" s="2134"/>
      <c r="O2" s="2134" t="s">
        <v>500</v>
      </c>
      <c r="P2" s="2134"/>
      <c r="Q2" s="2134"/>
      <c r="R2" s="2136" t="s">
        <v>499</v>
      </c>
      <c r="S2" s="2136" t="s">
        <v>499</v>
      </c>
      <c r="T2" s="2134"/>
      <c r="U2" s="2134"/>
      <c r="V2" s="2130">
        <v>0</v>
      </c>
    </row>
    <row s="46808" customFormat="1" customHeight="1" ht="14.25" hidden="1">
      <c r="C3" s="2131"/>
      <c r="D3" s="2746"/>
      <c r="E3" s="2748"/>
      <c r="F3" s="917"/>
      <c r="G3" s="1381"/>
      <c r="H3" s="1381" t="s">
        <v>501</v>
      </c>
      <c r="I3" s="825"/>
      <c r="L3" s="2134"/>
      <c r="M3" s="2134"/>
      <c r="N3" s="2134"/>
      <c r="O3" s="2134"/>
      <c r="P3" s="2134"/>
      <c r="Q3" s="2134"/>
      <c r="R3" s="2136"/>
      <c r="S3" s="2136"/>
      <c r="T3" s="2134"/>
      <c r="U3" s="2134"/>
      <c r="V3" s="2130">
        <v>0</v>
      </c>
    </row>
    <row customHeight="1" ht="14.25" hidden="1">
      <c r="V4" s="2119">
        <v>0</v>
      </c>
    </row>
    <row s="47455" customFormat="1" customHeight="1" ht="5.25">
      <c r="C5" s="1213"/>
      <c r="D5" s="1214"/>
      <c r="E5" s="1214"/>
      <c r="F5" s="1214"/>
      <c r="G5" s="1214"/>
      <c r="H5" s="1214" t="s">
        <v>474</v>
      </c>
      <c r="I5" s="1214"/>
      <c r="J5" s="1214"/>
      <c r="L5" s="2126"/>
      <c r="M5" s="2126"/>
      <c r="N5" s="2126"/>
      <c r="O5" s="2126"/>
      <c r="P5" s="2126"/>
      <c r="Q5" s="2126"/>
      <c r="R5" s="2126"/>
      <c r="S5" s="2126"/>
      <c r="T5" s="2126"/>
      <c r="U5" s="2126"/>
      <c r="V5" s="2125">
        <v>5</v>
      </c>
    </row>
    <row customHeight="1" ht="29.25">
      <c r="C6" s="2028"/>
      <c r="D6" s="2749" t="s">
        <v>502</v>
      </c>
      <c r="E6" s="2749"/>
      <c r="F6" s="2749"/>
      <c r="G6" s="2749"/>
      <c r="H6" s="2749"/>
      <c r="I6" s="2749"/>
      <c r="J6" s="1003"/>
      <c r="K6" s="2127"/>
      <c r="V6" s="2119">
        <v>28</v>
      </c>
    </row>
    <row customHeight="1" ht="18">
      <c r="C7" s="2028"/>
      <c r="D7" s="2688" t="str">
        <f>IF(org=0,"Не определено",org)</f>
        <v>КГУП "Примтеплоэнерго"</v>
      </c>
      <c r="E7" s="2688"/>
      <c r="F7" s="2688"/>
      <c r="G7" s="2688"/>
      <c r="H7" s="2688"/>
      <c r="I7" s="2688"/>
      <c r="J7" s="1003"/>
      <c r="K7" s="2127"/>
      <c r="V7" s="2119">
        <v>17</v>
      </c>
    </row>
    <row s="46783" customFormat="1" customHeight="1" ht="5.25">
      <c r="A8" s="2123"/>
      <c r="C8" s="998"/>
      <c r="D8" s="997"/>
      <c r="E8" s="997"/>
      <c r="F8" s="997"/>
      <c r="G8" s="997"/>
      <c r="H8" s="997"/>
      <c r="I8" s="997"/>
      <c r="J8" s="997"/>
      <c r="L8" s="2126"/>
      <c r="M8" s="2126"/>
      <c r="N8" s="2126"/>
      <c r="O8" s="2126"/>
      <c r="P8" s="2126"/>
      <c r="Q8" s="2126"/>
      <c r="R8" s="2126"/>
      <c r="S8" s="2126"/>
      <c r="T8" s="2126"/>
      <c r="U8" s="2126"/>
      <c r="V8" s="2124">
        <v>5</v>
      </c>
    </row>
    <row s="46783" customFormat="1" customHeight="1" ht="5.25">
      <c r="A9" s="2123"/>
      <c r="C9" s="998"/>
      <c r="D9" s="997"/>
      <c r="E9" s="997"/>
      <c r="F9" s="997"/>
      <c r="G9" s="997"/>
      <c r="H9" s="997"/>
      <c r="I9" s="997"/>
      <c r="J9" s="997"/>
      <c r="L9" s="2134"/>
      <c r="M9" s="2134"/>
      <c r="N9" s="2134"/>
      <c r="O9" s="2134"/>
      <c r="P9" s="2134"/>
      <c r="Q9" s="2134"/>
      <c r="R9" s="2134"/>
      <c r="S9" s="2134"/>
      <c r="T9" s="2134"/>
      <c r="U9" s="2134"/>
      <c r="V9" s="2124">
        <v>5</v>
      </c>
    </row>
    <row customHeight="1" ht="14.699999999999998">
      <c r="C10" s="2028"/>
      <c r="D10" s="2730" t="s">
        <v>418</v>
      </c>
      <c r="E10" s="2731"/>
      <c r="F10" s="2731"/>
      <c r="G10" s="2731"/>
      <c r="H10" s="2731"/>
      <c r="I10" s="2731"/>
      <c r="J10" s="2735" t="s">
        <v>419</v>
      </c>
      <c r="V10" s="2119">
        <v>14</v>
      </c>
    </row>
    <row customHeight="1" ht="27.299999999999997">
      <c r="C11" s="2028"/>
      <c r="D11" s="2639" t="s">
        <v>90</v>
      </c>
      <c r="E11" s="2735" t="s">
        <v>165</v>
      </c>
      <c r="F11" s="2704" t="s">
        <v>90</v>
      </c>
      <c r="G11" s="2705"/>
      <c r="H11" s="2687" t="s">
        <v>503</v>
      </c>
      <c r="I11" s="2687" t="s">
        <v>504</v>
      </c>
      <c r="J11" s="2735"/>
      <c r="V11" s="2119">
        <v>26</v>
      </c>
    </row>
    <row customHeight="1" ht="14.699999999999998">
      <c r="C12" s="2028"/>
      <c r="D12" s="2639"/>
      <c r="E12" s="2735"/>
      <c r="F12" s="2712"/>
      <c r="G12" s="2713"/>
      <c r="H12" s="2744"/>
      <c r="I12" s="2744"/>
      <c r="J12" s="2735"/>
      <c r="V12" s="2119">
        <v>14</v>
      </c>
    </row>
    <row s="47496" customFormat="1" customHeight="1" ht="11.25" hidden="1">
      <c r="C13" s="1010"/>
      <c r="D13" s="1011" t="s">
        <v>494</v>
      </c>
      <c r="E13" s="1011"/>
      <c r="F13" s="1011"/>
      <c r="G13" s="1011"/>
      <c r="H13" s="1009"/>
      <c r="I13" s="1009"/>
      <c r="J13" s="947"/>
      <c r="L13" s="2126"/>
      <c r="M13" s="2126"/>
      <c r="N13" s="2126"/>
      <c r="O13" s="2126"/>
      <c r="P13" s="2126"/>
      <c r="Q13" s="2126"/>
      <c r="R13" s="2126"/>
      <c r="S13" s="2126"/>
      <c r="T13" s="2126"/>
      <c r="U13" s="2126"/>
      <c r="V13" s="1008">
        <v>0</v>
      </c>
    </row>
    <row customHeight="1" ht="14.699999999999998">
      <c r="A14" s="2119"/>
      <c r="C14" s="2028"/>
      <c r="D14" s="2745" t="s">
        <v>101</v>
      </c>
      <c r="E14" s="2747"/>
      <c r="F14" s="2129"/>
      <c r="G14" s="2128" t="s">
        <v>101</v>
      </c>
      <c r="H14" s="2135"/>
      <c r="I14" s="2133"/>
      <c r="J14" s="2681" t="s">
        <v>505</v>
      </c>
      <c r="K14" s="2119"/>
      <c r="R14" s="1012" t="s">
        <v>499</v>
      </c>
      <c r="S14" s="1012" t="s">
        <v>499</v>
      </c>
      <c r="V14" s="2119">
        <v>14</v>
      </c>
    </row>
    <row customHeight="1" ht="14.699999999999998">
      <c r="A15" s="2119"/>
      <c r="C15" s="2028"/>
      <c r="D15" s="2746"/>
      <c r="E15" s="2748"/>
      <c r="F15" s="917"/>
      <c r="G15" s="1381"/>
      <c r="H15" s="1381" t="s">
        <v>501</v>
      </c>
      <c r="I15" s="825"/>
      <c r="J15" s="2682"/>
      <c r="K15" s="2119"/>
      <c r="R15" s="1012"/>
      <c r="S15" s="1012"/>
      <c r="V15" s="2119">
        <v>14</v>
      </c>
    </row>
    <row customHeight="1" ht="14.699999999999998">
      <c r="A16" s="2119"/>
      <c r="C16" s="2028"/>
      <c r="D16" s="917"/>
      <c r="E16" s="1381" t="s">
        <v>177</v>
      </c>
      <c r="F16" s="825"/>
      <c r="G16" s="825"/>
      <c r="H16" s="918"/>
      <c r="I16" s="918"/>
      <c r="J16" s="2683"/>
      <c r="K16" s="2119"/>
      <c r="V16" s="2119">
        <v>14</v>
      </c>
    </row>
    <row customHeight="1" ht="14.699999999999998">
      <c r="K17" s="2119"/>
      <c r="V17" s="2119">
        <v>14</v>
      </c>
    </row>
    <row customHeight="1" ht="22.5" hidden="1">
      <c r="A18" s="2120" t="s">
        <v>84</v>
      </c>
      <c r="B18" s="2119">
        <v>0</v>
      </c>
      <c r="C18" s="963">
        <v>3</v>
      </c>
      <c r="D18" s="2119">
        <v>5</v>
      </c>
      <c r="E18" s="2119">
        <v>38</v>
      </c>
      <c r="F18" s="2119">
        <v>3</v>
      </c>
      <c r="G18" s="2119">
        <v>3</v>
      </c>
      <c r="H18" s="2119">
        <v>38</v>
      </c>
      <c r="I18" s="2119">
        <v>35</v>
      </c>
      <c r="J18" s="2119">
        <v>103</v>
      </c>
      <c r="K18" s="2121">
        <v>3</v>
      </c>
      <c r="L18" s="2126">
        <v>10</v>
      </c>
      <c r="M18" s="2126">
        <v>10</v>
      </c>
      <c r="N18" s="2126">
        <v>10</v>
      </c>
      <c r="O18" s="2126">
        <v>13</v>
      </c>
      <c r="P18" s="2126">
        <v>15</v>
      </c>
      <c r="Q18" s="2126">
        <v>16</v>
      </c>
      <c r="R18" s="2126">
        <v>10</v>
      </c>
      <c r="S18" s="2126">
        <v>10</v>
      </c>
      <c r="T18" s="2126">
        <v>10</v>
      </c>
      <c r="U18" s="2126">
        <v>10</v>
      </c>
      <c r="V18" s="2119">
        <v>23</v>
      </c>
    </row>
  </sheetData>
  <sheetProtection formatColumns="0" formatRows="0" autoFilter="0" sort="0" insertRows="0" insertColumns="1" deleteRows="0" deleteColumns="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2199</vt:i4>
      </vt:variant>
    </vt:vector>
  </HeadingPairs>
  <TitlesOfParts>
    <vt:vector size="2200"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2024-03-31T15:42:24Z</dcterms:modified>
</cp:coreProperties>
</file>

<file path=docProps/custom.xml><?xml version="1.0" encoding="utf-8"?>
<Properties xmlns="http://schemas.openxmlformats.org/officeDocument/2006/custom-properties" xmlns:vt="http://schemas.openxmlformats.org/officeDocument/2006/docPropsVTypes"/>
</file>